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sterData"/>
    <sheet r:id="rId2" sheetId="2" name="Country"/>
    <sheet r:id="rId3" sheetId="3" name="Sorted Dep Types"/>
    <sheet r:id="rId4" sheetId="4" name="MainProd vs ByProd"/>
    <sheet r:id="rId5" sheetId="5" name="Sorted Size Grade Value"/>
    <sheet r:id="rId6" sheetId="6" name="Metal vs Grade Pb"/>
    <sheet r:id="rId7" sheetId="7" name="Metal vs Grade Zn"/>
    <sheet r:id="rId8" sheetId="8" name="Metal vs Grade ALL"/>
    <sheet r:id="rId9" sheetId="9" name="Metal vs Unit Ore Value ALL"/>
  </sheets>
  <definedNames>
    <definedName name="_xlnm._FilterDatabase" localSheetId="0">MasterData!$A$4:$AQ$855</definedName>
  </definedNames>
  <calcPr fullCalcOnLoad="1"/>
</workbook>
</file>

<file path=xl/sharedStrings.xml><?xml version="1.0" encoding="utf-8"?>
<sst xmlns="http://schemas.openxmlformats.org/spreadsheetml/2006/main" count="15557" uniqueCount="1792">
  <si>
    <t>Mt Pb+Zn+Cu</t>
  </si>
  <si>
    <t>%Pb+Zn+Cu</t>
  </si>
  <si>
    <t>US$/t</t>
  </si>
  <si>
    <t>US$million</t>
  </si>
  <si>
    <t>Antamina</t>
  </si>
  <si>
    <t>Holliday</t>
  </si>
  <si>
    <t>Virginia Silver</t>
  </si>
  <si>
    <t>Buckton-Buckton South</t>
  </si>
  <si>
    <t>McArthur River</t>
  </si>
  <si>
    <t>Angouran</t>
  </si>
  <si>
    <t>Kvanefjeld</t>
  </si>
  <si>
    <t>Mt Isa (Open Cut)</t>
  </si>
  <si>
    <t>Val</t>
  </si>
  <si>
    <t>Central Region (formerly Karaganda)</t>
  </si>
  <si>
    <t>Kholodninskoe</t>
  </si>
  <si>
    <t>Flinders Group</t>
  </si>
  <si>
    <t>Caledonia</t>
  </si>
  <si>
    <t>Gorevskoe</t>
  </si>
  <si>
    <t>Jabali Stockpile</t>
  </si>
  <si>
    <t>La Granja</t>
  </si>
  <si>
    <t>Mehdiabad</t>
  </si>
  <si>
    <t>Red Bird</t>
  </si>
  <si>
    <t>Peak</t>
  </si>
  <si>
    <t>Talvivaara (Kolmisoppi/Kuusilampi)</t>
  </si>
  <si>
    <t>Hudson Bay Mountain-Silver Lake 2</t>
  </si>
  <si>
    <t>Platosa</t>
  </si>
  <si>
    <t>Häggån</t>
  </si>
  <si>
    <t>Prairie Creek</t>
  </si>
  <si>
    <t>Jiama</t>
  </si>
  <si>
    <t>Mt Isa-George Fisher North</t>
  </si>
  <si>
    <t>Vazante</t>
  </si>
  <si>
    <t>Kokanee (Scranton/Sunset)</t>
  </si>
  <si>
    <t>Los Azules</t>
  </si>
  <si>
    <t>Rampura Agucha</t>
  </si>
  <si>
    <t>Dairi-Anjing Hitam</t>
  </si>
  <si>
    <t>Tambomayo</t>
  </si>
  <si>
    <t>Black Mountain-Gamsberg</t>
  </si>
  <si>
    <t>Sullivan</t>
  </si>
  <si>
    <t>Solwara 1</t>
  </si>
  <si>
    <t>Gai</t>
  </si>
  <si>
    <t>Goemdok (Gumdock)</t>
  </si>
  <si>
    <t>Shaimerden Stockpile</t>
  </si>
  <si>
    <t>Hysean</t>
  </si>
  <si>
    <t>Kherzet Youcef</t>
  </si>
  <si>
    <t>Solwara 12</t>
  </si>
  <si>
    <t>Viken</t>
  </si>
  <si>
    <t>Craig</t>
  </si>
  <si>
    <t>Tintina (Eagle)</t>
  </si>
  <si>
    <t>Red Dog</t>
  </si>
  <si>
    <t>Lady Loretta</t>
  </si>
  <si>
    <t>Topia</t>
  </si>
  <si>
    <t>Neves-Corvo</t>
  </si>
  <si>
    <t>Shalkiya</t>
  </si>
  <si>
    <t>Menghu</t>
  </si>
  <si>
    <t>Peñasquito (mill)</t>
  </si>
  <si>
    <t>Ozernoe (Ozerny)</t>
  </si>
  <si>
    <t>Kipushi</t>
  </si>
  <si>
    <t>Ishkinino</t>
  </si>
  <si>
    <t>Konimansur Kalon</t>
  </si>
  <si>
    <t>Kootenay King</t>
  </si>
  <si>
    <t>Wolverine (Fetish)</t>
  </si>
  <si>
    <t>Mengya</t>
  </si>
  <si>
    <t>Fault Creek</t>
  </si>
  <si>
    <t>Howard's Pass-Don Group</t>
  </si>
  <si>
    <t>Ganesh Himal-Suple</t>
  </si>
  <si>
    <t>Duthie</t>
  </si>
  <si>
    <t>Dugald River</t>
  </si>
  <si>
    <t>Polaris</t>
  </si>
  <si>
    <t>Olympias</t>
  </si>
  <si>
    <t>Stemwinder</t>
  </si>
  <si>
    <t>Greens Creek</t>
  </si>
  <si>
    <t>Boleo</t>
  </si>
  <si>
    <t>Cerro de Pasco</t>
  </si>
  <si>
    <t>Silver King</t>
  </si>
  <si>
    <t>Porter-Idaho</t>
  </si>
  <si>
    <t>Keno Hill-Lucky Queen</t>
  </si>
  <si>
    <t>Cannington</t>
  </si>
  <si>
    <t>Berg Aukus</t>
  </si>
  <si>
    <t>Miya-Emerald Glacier</t>
  </si>
  <si>
    <t>Goroblagodat</t>
  </si>
  <si>
    <t>Fossey-Fossey East</t>
  </si>
  <si>
    <t>Cronin</t>
  </si>
  <si>
    <t>Bahuerachi</t>
  </si>
  <si>
    <t>Teena</t>
  </si>
  <si>
    <t>Smith Copper</t>
  </si>
  <si>
    <t>Revenue (Virginius)</t>
  </si>
  <si>
    <t>East Region</t>
  </si>
  <si>
    <t>Mt Isa-George Fisher South (Hilton)</t>
  </si>
  <si>
    <t>Kabwe</t>
  </si>
  <si>
    <t>Big Showing (Teddy Glacier)</t>
  </si>
  <si>
    <t>Howard's Pass-XY Group</t>
  </si>
  <si>
    <t>Kabwe Tailings</t>
  </si>
  <si>
    <t>Silver Hart</t>
  </si>
  <si>
    <t>Cordero</t>
  </si>
  <si>
    <t>Sindesar Khurd</t>
  </si>
  <si>
    <t>Faro</t>
  </si>
  <si>
    <t>Madneuli</t>
  </si>
  <si>
    <t>Bulman</t>
  </si>
  <si>
    <t>Estrades-Caribou</t>
  </si>
  <si>
    <t>Kuh-e-Surmeh</t>
  </si>
  <si>
    <t>Uchaly</t>
  </si>
  <si>
    <t>Citronen</t>
  </si>
  <si>
    <t>Stratoni</t>
  </si>
  <si>
    <t>Slocan Group</t>
  </si>
  <si>
    <t>Howard's Pass-Anniv Group</t>
  </si>
  <si>
    <t>Minera Fresnillo (underground)</t>
  </si>
  <si>
    <t>Monarch-Kicking Horse</t>
  </si>
  <si>
    <t>Izok Lake</t>
  </si>
  <si>
    <t>Keno Hill-Bellekeno</t>
  </si>
  <si>
    <t>AntaKori-Sinchao</t>
  </si>
  <si>
    <t>Santa Barbara</t>
  </si>
  <si>
    <t>Mallay</t>
  </si>
  <si>
    <t>Broken Hill (Aust)</t>
  </si>
  <si>
    <t>Asmara-Adi Nefas</t>
  </si>
  <si>
    <t>Pitarrilla</t>
  </si>
  <si>
    <t>Silvertip (Midway)</t>
  </si>
  <si>
    <t>Zawar</t>
  </si>
  <si>
    <t>Comstock (Canada)</t>
  </si>
  <si>
    <t>Sunshine (inferred only)</t>
  </si>
  <si>
    <t>Hackett River</t>
  </si>
  <si>
    <t>San Gregorio</t>
  </si>
  <si>
    <t>Lenora (L.35G)</t>
  </si>
  <si>
    <t>Filizchay (Filizchai)</t>
  </si>
  <si>
    <t>Woodlawn Underground</t>
  </si>
  <si>
    <t>Cirque-South Cirque</t>
  </si>
  <si>
    <t>Pick Lake</t>
  </si>
  <si>
    <t>Navidad</t>
  </si>
  <si>
    <t>Admiral Bay</t>
  </si>
  <si>
    <t>Uzelga</t>
  </si>
  <si>
    <t>Rajpura Dariba</t>
  </si>
  <si>
    <t>Ganesh Himal-Lari I</t>
  </si>
  <si>
    <t>Alexandrinka</t>
  </si>
  <si>
    <t>Shizishan</t>
  </si>
  <si>
    <t>Sibay</t>
  </si>
  <si>
    <t>Garpenberg</t>
  </si>
  <si>
    <t>Dolinnoe</t>
  </si>
  <si>
    <t>Hassaï</t>
  </si>
  <si>
    <t>Akie-Cardiac Creek</t>
  </si>
  <si>
    <t>Silver Queen (Wrinch)</t>
  </si>
  <si>
    <t>Mt Bonnie</t>
  </si>
  <si>
    <t>Mulgul-Jillawarra (Abra)</t>
  </si>
  <si>
    <t>Zeehan Group Slag</t>
  </si>
  <si>
    <t>Minera Saucito</t>
  </si>
  <si>
    <t>Xinjiang Wulugentashi</t>
  </si>
  <si>
    <t>Driftpile Creek</t>
  </si>
  <si>
    <t>Vera</t>
  </si>
  <si>
    <t>Yauli</t>
  </si>
  <si>
    <t>Balta Tau</t>
  </si>
  <si>
    <t>Tala Hamza</t>
  </si>
  <si>
    <t>Rosebery-South Hercules</t>
  </si>
  <si>
    <t>Inner Mongolia Sanguikou</t>
  </si>
  <si>
    <t>Deri</t>
  </si>
  <si>
    <t>Plata</t>
  </si>
  <si>
    <t>Corani</t>
  </si>
  <si>
    <t>Howard's Pass-HC Group</t>
  </si>
  <si>
    <t>Masa Valverde</t>
  </si>
  <si>
    <t>Lisheen</t>
  </si>
  <si>
    <t>C.O.D.-Kingman</t>
  </si>
  <si>
    <t>Su-Lik</t>
  </si>
  <si>
    <t>Keno Hill-Onek</t>
  </si>
  <si>
    <t>Julcani</t>
  </si>
  <si>
    <t>Degtyarskoe</t>
  </si>
  <si>
    <t>Pallas Green</t>
  </si>
  <si>
    <t>Ambamata</t>
  </si>
  <si>
    <t>Yubilenoe (VMS Cu-Zn)</t>
  </si>
  <si>
    <t>Hilarion</t>
  </si>
  <si>
    <t>Duddar</t>
  </si>
  <si>
    <t>Keno Hill-Flame/Moth</t>
  </si>
  <si>
    <t>Podolskoe</t>
  </si>
  <si>
    <t>Cerro Lindo</t>
  </si>
  <si>
    <t>Sardana</t>
  </si>
  <si>
    <t>Zinkgruven</t>
  </si>
  <si>
    <t>Xietongmen</t>
  </si>
  <si>
    <t>Changba-Lijiagou</t>
  </si>
  <si>
    <t>Merlin-Little Wizard</t>
  </si>
  <si>
    <t>Kushk</t>
  </si>
  <si>
    <t>Sä Dena Hes (Mt Hundere)</t>
  </si>
  <si>
    <t>Coricancha</t>
  </si>
  <si>
    <t>Korbalikhinskoye</t>
  </si>
  <si>
    <t>Eclipse</t>
  </si>
  <si>
    <t>Atlin-Ruffner</t>
  </si>
  <si>
    <t>Kitsault (Mo)</t>
  </si>
  <si>
    <t>Obruchevskoe</t>
  </si>
  <si>
    <t>Berlin</t>
  </si>
  <si>
    <t>O'Callaghans</t>
  </si>
  <si>
    <t>Endeavour (Elura)</t>
  </si>
  <si>
    <t>Bentley</t>
  </si>
  <si>
    <t>Malku Khota</t>
  </si>
  <si>
    <t>Liziping</t>
  </si>
  <si>
    <t>Minera Juanicipio</t>
  </si>
  <si>
    <t>Upper Kobuk-Arctic</t>
  </si>
  <si>
    <t>Rey de Plata</t>
  </si>
  <si>
    <t>Rea / Extra High</t>
  </si>
  <si>
    <t>Aguas Teñidas</t>
  </si>
  <si>
    <t>Dairi-Lae Jahe</t>
  </si>
  <si>
    <t>Yaman Kasy</t>
  </si>
  <si>
    <t>Bongará-Florida Canyon</t>
  </si>
  <si>
    <t>Huangshaping</t>
  </si>
  <si>
    <t>Silver Valley-Star</t>
  </si>
  <si>
    <t>Tetagouche-Rocky Turn</t>
  </si>
  <si>
    <t>Holly-Banderas (HB)</t>
  </si>
  <si>
    <t>Lik</t>
  </si>
  <si>
    <t>Burns Peak</t>
  </si>
  <si>
    <t>Alaigyr (Alaigir)</t>
  </si>
  <si>
    <t>Nunngarut</t>
  </si>
  <si>
    <t>Gayna River</t>
  </si>
  <si>
    <t>Umm Gheig</t>
  </si>
  <si>
    <t>Goltsovoye</t>
  </si>
  <si>
    <t>La Ronde</t>
  </si>
  <si>
    <t>Maleevsky</t>
  </si>
  <si>
    <t>Tuva / Kyzyl-Tash Turk</t>
  </si>
  <si>
    <t>Big Bull</t>
  </si>
  <si>
    <t>Atlantis II</t>
  </si>
  <si>
    <t>Pavlovskoye</t>
  </si>
  <si>
    <t>Kayad</t>
  </si>
  <si>
    <t>Novo-Leninogorskoye</t>
  </si>
  <si>
    <t>El Porvenir</t>
  </si>
  <si>
    <t>Silvermines</t>
  </si>
  <si>
    <t>Beiya</t>
  </si>
  <si>
    <t>Qiandongshan</t>
  </si>
  <si>
    <t>Blyklippen</t>
  </si>
  <si>
    <t>Ox-C</t>
  </si>
  <si>
    <t>Daly River Anomaly A</t>
  </si>
  <si>
    <t>Treasure Mountain</t>
  </si>
  <si>
    <t>Lafontaine</t>
  </si>
  <si>
    <t>Trout Lake Camp</t>
  </si>
  <si>
    <t>Brown's-Brown's East</t>
  </si>
  <si>
    <t>McMillan</t>
  </si>
  <si>
    <t>Tara (Navan)</t>
  </si>
  <si>
    <t>Askot</t>
  </si>
  <si>
    <t>Lucky Friday</t>
  </si>
  <si>
    <t>Evelyn</t>
  </si>
  <si>
    <t>Boliden-Renström</t>
  </si>
  <si>
    <t>West Desert (Crypto)</t>
  </si>
  <si>
    <t>Broken Hill (Aust)-Rasp</t>
  </si>
  <si>
    <t>Mt Dore</t>
  </si>
  <si>
    <t>Bisha</t>
  </si>
  <si>
    <t>Khandiza</t>
  </si>
  <si>
    <t>Bolivar</t>
  </si>
  <si>
    <t>El Abed</t>
  </si>
  <si>
    <t>Black Angel</t>
  </si>
  <si>
    <t>Silver Queen (Cole Lake)</t>
  </si>
  <si>
    <t>Caijiaying</t>
  </si>
  <si>
    <t>Fej Lahdoum-Dar N’Hal Nord</t>
  </si>
  <si>
    <t>Urultun</t>
  </si>
  <si>
    <t>Yenice</t>
  </si>
  <si>
    <t>Amy</t>
  </si>
  <si>
    <t>Magellan</t>
  </si>
  <si>
    <t>Century-Century East</t>
  </si>
  <si>
    <t>Golden Grove</t>
  </si>
  <si>
    <t>Myrtle</t>
  </si>
  <si>
    <t>Asmara-Emba Derho</t>
  </si>
  <si>
    <t>SCC-IMMSA Group (Charcas-Santa Barbara-San Martin-Santa Eulalia-Taxco)</t>
  </si>
  <si>
    <t>Damascus</t>
  </si>
  <si>
    <t>Minera Parreña-Lucerito</t>
  </si>
  <si>
    <t>Januaria</t>
  </si>
  <si>
    <t>Recuperada</t>
  </si>
  <si>
    <t>San Agustín</t>
  </si>
  <si>
    <t>Limonitovoye</t>
  </si>
  <si>
    <t>Hellyer Remnants</t>
  </si>
  <si>
    <t>Ridder-Sokolny</t>
  </si>
  <si>
    <t>Northampton-Mary Springs</t>
  </si>
  <si>
    <t>Hudson Bay-Lalor</t>
  </si>
  <si>
    <t>Shamlugh</t>
  </si>
  <si>
    <t>J&amp;L (Main Zone-Yellowknife-Yellowjacket)</t>
  </si>
  <si>
    <t>Aripuanã (Ambrex-Arex-Expedito-Valley)</t>
  </si>
  <si>
    <t>Bear</t>
  </si>
  <si>
    <t>Cobre Las Cruces</t>
  </si>
  <si>
    <t>Grizzly (Dy)</t>
  </si>
  <si>
    <t>La Negra</t>
  </si>
  <si>
    <t>Thalanga Group</t>
  </si>
  <si>
    <t>Salt Creek</t>
  </si>
  <si>
    <t>Tulsequah Chief</t>
  </si>
  <si>
    <t>Lomero-Poyatos</t>
  </si>
  <si>
    <t>Gergarub</t>
  </si>
  <si>
    <t>Goz Creek (Barrier Reef)</t>
  </si>
  <si>
    <t>Mt Isa-Black Star</t>
  </si>
  <si>
    <t>Tizapa</t>
  </si>
  <si>
    <t>Tom</t>
  </si>
  <si>
    <t>Caballo Blanco</t>
  </si>
  <si>
    <t>Boumadine</t>
  </si>
  <si>
    <t>Horne 5</t>
  </si>
  <si>
    <t>Uchucchacua (Jancapata, Yumpag)</t>
  </si>
  <si>
    <t>Hajar</t>
  </si>
  <si>
    <t>Jason</t>
  </si>
  <si>
    <t>Zeshko</t>
  </si>
  <si>
    <t>San Sebastián</t>
  </si>
  <si>
    <t>50 Years October</t>
  </si>
  <si>
    <t>Kasi</t>
  </si>
  <si>
    <t>Huayuan Fenghuang</t>
  </si>
  <si>
    <t>Las Animas</t>
  </si>
  <si>
    <t>Toral</t>
  </si>
  <si>
    <t>High Lake</t>
  </si>
  <si>
    <t>Kidd Creek</t>
  </si>
  <si>
    <t>Boz Emchek</t>
  </si>
  <si>
    <t>Yauliyacu</t>
  </si>
  <si>
    <t>Langlois</t>
  </si>
  <si>
    <t>Sierra Mojada</t>
  </si>
  <si>
    <t>Clark</t>
  </si>
  <si>
    <t>River Jordan</t>
  </si>
  <si>
    <t>Matt Berry (Barb)</t>
  </si>
  <si>
    <t>Hudson Bay-Bur</t>
  </si>
  <si>
    <t>Kudz Ze Kayah (ABM)</t>
  </si>
  <si>
    <t>Minera Ciénega</t>
  </si>
  <si>
    <t>Bakr Tau</t>
  </si>
  <si>
    <t>Ming-Rambler</t>
  </si>
  <si>
    <t>Chungar</t>
  </si>
  <si>
    <t>Mae Sod (Padaeng)</t>
  </si>
  <si>
    <t>Boomerang-Domino (Tulks South)</t>
  </si>
  <si>
    <t>Xinjiang Ashele</t>
  </si>
  <si>
    <t>Caribou</t>
  </si>
  <si>
    <t>Pering</t>
  </si>
  <si>
    <t>Olza (Rokitno, Zawiercie, Chechlo)</t>
  </si>
  <si>
    <t>Ruth-Vermont</t>
  </si>
  <si>
    <t>Tajo Norte-La Llave</t>
  </si>
  <si>
    <t>La Arista-El Aguila</t>
  </si>
  <si>
    <t>El Brocal (Colquijirca)</t>
  </si>
  <si>
    <t>Kennedy Lake-BB Zone</t>
  </si>
  <si>
    <t>Campo Morado Group</t>
  </si>
  <si>
    <t>Terrazas</t>
  </si>
  <si>
    <t>Indian Mountain (BB Lake-Kennedy Lake)</t>
  </si>
  <si>
    <t>Perevalnoye</t>
  </si>
  <si>
    <t>Curipamba-El Domo</t>
  </si>
  <si>
    <t>Romero-Romero South</t>
  </si>
  <si>
    <t>Zhairem</t>
  </si>
  <si>
    <t>Jabali</t>
  </si>
  <si>
    <t>Khudesskoye</t>
  </si>
  <si>
    <t>Black Mountain-Swartberg</t>
  </si>
  <si>
    <t>Cadieux</t>
  </si>
  <si>
    <t>GP4F</t>
  </si>
  <si>
    <t>Bracemac-McLeod</t>
  </si>
  <si>
    <t>Ying Group</t>
  </si>
  <si>
    <t>Mochia</t>
  </si>
  <si>
    <t>Dambludi</t>
  </si>
  <si>
    <t>Porco</t>
  </si>
  <si>
    <t>Velardeña (Peñoles)</t>
  </si>
  <si>
    <t>David Garedji</t>
  </si>
  <si>
    <t>Buenavista Zinc</t>
  </si>
  <si>
    <t>CK</t>
  </si>
  <si>
    <t>Revenue (Yellow Rose)</t>
  </si>
  <si>
    <t>Francisco I Madero</t>
  </si>
  <si>
    <t>Black Mountain-Deeps/Broken Hill</t>
  </si>
  <si>
    <t>Dairi-Base Camp</t>
  </si>
  <si>
    <t>Huaron</t>
  </si>
  <si>
    <t>Perkoa</t>
  </si>
  <si>
    <t>Myra Falls</t>
  </si>
  <si>
    <t>Rosh Pinah</t>
  </si>
  <si>
    <t>Long Lake</t>
  </si>
  <si>
    <t>Hera</t>
  </si>
  <si>
    <t>Buribai</t>
  </si>
  <si>
    <t>Lennard Shelf Group</t>
  </si>
  <si>
    <t>Tighza</t>
  </si>
  <si>
    <t>Grum</t>
  </si>
  <si>
    <t>Harberton Bridge</t>
  </si>
  <si>
    <t>Halfmile Lake</t>
  </si>
  <si>
    <t>Matahambre</t>
  </si>
  <si>
    <t>Irankuh</t>
  </si>
  <si>
    <t>Huampar</t>
  </si>
  <si>
    <t>Walford Creek</t>
  </si>
  <si>
    <t>Skorpion</t>
  </si>
  <si>
    <t>Pirquitas</t>
  </si>
  <si>
    <t>Yanque</t>
  </si>
  <si>
    <t>Cassiar Camp</t>
  </si>
  <si>
    <t>Cinco de Mayo (Upper Manto)</t>
  </si>
  <si>
    <t>Camino Rojo</t>
  </si>
  <si>
    <t>Blyava</t>
  </si>
  <si>
    <t>Santander (Magistral-Puajanca)</t>
  </si>
  <si>
    <t>San Felipe (Hochschild)</t>
  </si>
  <si>
    <t>McIlvenna Bay</t>
  </si>
  <si>
    <t>Duck Pond</t>
  </si>
  <si>
    <t>Que River-Que River S Lens</t>
  </si>
  <si>
    <t>Mokanpura North</t>
  </si>
  <si>
    <t>Reza Barak</t>
  </si>
  <si>
    <t>Khnaiguiyah (1-2)</t>
  </si>
  <si>
    <t>Djebba</t>
  </si>
  <si>
    <t>Tenka</t>
  </si>
  <si>
    <t>Morococha</t>
  </si>
  <si>
    <t>East Tennessee (Coy-Immel-Young)</t>
  </si>
  <si>
    <t>South Lakes</t>
  </si>
  <si>
    <t>Los Gatos</t>
  </si>
  <si>
    <t>Mt Garnet Group</t>
  </si>
  <si>
    <t>Velardeña-Chicago (GM)</t>
  </si>
  <si>
    <t>Stockman</t>
  </si>
  <si>
    <t>Torlon Hill</t>
  </si>
  <si>
    <t>Saladipura</t>
  </si>
  <si>
    <t>De Maurès</t>
  </si>
  <si>
    <t>Blende</t>
  </si>
  <si>
    <t>Stratmat</t>
  </si>
  <si>
    <t>Ballaria</t>
  </si>
  <si>
    <t>Aguilar</t>
  </si>
  <si>
    <t>Novoshirokinskoye</t>
  </si>
  <si>
    <t>Tres Irmas</t>
  </si>
  <si>
    <t>Merisi Group</t>
  </si>
  <si>
    <t>Bayindir</t>
  </si>
  <si>
    <t>Yauricocha</t>
  </si>
  <si>
    <t>Heyder Abad</t>
  </si>
  <si>
    <t>Safyanovka</t>
  </si>
  <si>
    <t>Balcooma Group</t>
  </si>
  <si>
    <t>Chashinskoye Tailings</t>
  </si>
  <si>
    <t>Anamaray</t>
  </si>
  <si>
    <t>Ambaji</t>
  </si>
  <si>
    <t>Hudson Bay-777</t>
  </si>
  <si>
    <t>Hudson Bay-Reed</t>
  </si>
  <si>
    <t>Cavnic</t>
  </si>
  <si>
    <t>Ruddock Creek</t>
  </si>
  <si>
    <t>Magusi River</t>
  </si>
  <si>
    <t>Baiyinnour</t>
  </si>
  <si>
    <t>Swim</t>
  </si>
  <si>
    <t>Sunrise Lake</t>
  </si>
  <si>
    <t>Yenipazar</t>
  </si>
  <si>
    <t>Del Toro</t>
  </si>
  <si>
    <t>Keel</t>
  </si>
  <si>
    <t>Marjan</t>
  </si>
  <si>
    <t>Tishinksy</t>
  </si>
  <si>
    <t>Nakhlak</t>
  </si>
  <si>
    <t>Lone Mountain-Upper Lake Valley</t>
  </si>
  <si>
    <t>Boukdema-Kef Semmah</t>
  </si>
  <si>
    <t>Kvaisi</t>
  </si>
  <si>
    <t>Hellyer Tailings</t>
  </si>
  <si>
    <t>Atacocha</t>
  </si>
  <si>
    <t>Pucarrajo</t>
  </si>
  <si>
    <t>Çayeli Bakir</t>
  </si>
  <si>
    <t>Bowdens</t>
  </si>
  <si>
    <t>Romer-Koke</t>
  </si>
  <si>
    <t>Letnye</t>
  </si>
  <si>
    <t>Fuwan-Changkeng</t>
  </si>
  <si>
    <t>S. Maria</t>
  </si>
  <si>
    <t>Ribago</t>
  </si>
  <si>
    <t>Naica</t>
  </si>
  <si>
    <t>Yava</t>
  </si>
  <si>
    <t>Jiawula</t>
  </si>
  <si>
    <t>Robb Lake (Barrier)</t>
  </si>
  <si>
    <t>Salt River-Main</t>
  </si>
  <si>
    <t>Iscaycruz</t>
  </si>
  <si>
    <t>Lamphun</t>
  </si>
  <si>
    <t>San Juan</t>
  </si>
  <si>
    <t>Nazarovskoe</t>
  </si>
  <si>
    <t>Tetagouche-Canoe Landing Lake</t>
  </si>
  <si>
    <t>Akhtala (Alaverdi)</t>
  </si>
  <si>
    <t>Aljustrel</t>
  </si>
  <si>
    <t>Bumbo</t>
  </si>
  <si>
    <t>Viscaria (A-B Zones)</t>
  </si>
  <si>
    <t>Anjireh-Vejin</t>
  </si>
  <si>
    <t>Gorubathan</t>
  </si>
  <si>
    <t>West Ansil</t>
  </si>
  <si>
    <t>Hart River</t>
  </si>
  <si>
    <t>Fresnillo-San Julián</t>
  </si>
  <si>
    <t>Brandywine-Silver Tunnel-Northair</t>
  </si>
  <si>
    <t>Bamnai Kalan</t>
  </si>
  <si>
    <t>La Colorada</t>
  </si>
  <si>
    <t>Danva</t>
  </si>
  <si>
    <t>Back Forty</t>
  </si>
  <si>
    <t>Emarat</t>
  </si>
  <si>
    <t>Fireweed</t>
  </si>
  <si>
    <t>Yeonwha 1</t>
  </si>
  <si>
    <t>Morro Agudo</t>
  </si>
  <si>
    <t>Pine Point Group</t>
  </si>
  <si>
    <t>Mel</t>
  </si>
  <si>
    <t>Minera Florida</t>
  </si>
  <si>
    <t>Sorby Hills</t>
  </si>
  <si>
    <t>Mt Isa-Handle Bar Hill</t>
  </si>
  <si>
    <t>Namib</t>
  </si>
  <si>
    <t>Ayawilca</t>
  </si>
  <si>
    <t>Vendôme (Mogador)</t>
  </si>
  <si>
    <t>Kutcho</t>
  </si>
  <si>
    <t>Bear-Twit</t>
  </si>
  <si>
    <t>San José de Gracia</t>
  </si>
  <si>
    <t>BYP</t>
  </si>
  <si>
    <t>Wolf (Hasselberg)</t>
  </si>
  <si>
    <t>Vermilion</t>
  </si>
  <si>
    <t>Thor</t>
  </si>
  <si>
    <t>Murray Brook</t>
  </si>
  <si>
    <t>Cottonbelt</t>
  </si>
  <si>
    <t>Bolivar Group</t>
  </si>
  <si>
    <t>Talap</t>
  </si>
  <si>
    <t>Leitch</t>
  </si>
  <si>
    <t>Pingüino</t>
  </si>
  <si>
    <t>Moyvoughly</t>
  </si>
  <si>
    <t>Explo-Zinc (Kistabiche)</t>
  </si>
  <si>
    <t>La Parilla</t>
  </si>
  <si>
    <t>Carboona</t>
  </si>
  <si>
    <t>San José</t>
  </si>
  <si>
    <t>Boliden-Kristineberg</t>
  </si>
  <si>
    <t>Ballinalack</t>
  </si>
  <si>
    <t>Marg</t>
  </si>
  <si>
    <t>Irecê</t>
  </si>
  <si>
    <t>Dakuangshan</t>
  </si>
  <si>
    <t>Boliden-Petiknäs N</t>
  </si>
  <si>
    <t>Asmara-Debarwa</t>
  </si>
  <si>
    <t>El Mochito</t>
  </si>
  <si>
    <t>Sulphur Springs</t>
  </si>
  <si>
    <t>Chalchihuites</t>
  </si>
  <si>
    <t>Middle Tennessee (Gordonsville-Elmwood-Cumberland)</t>
  </si>
  <si>
    <t>San Vicente (Bolivia)</t>
  </si>
  <si>
    <t>Coulon</t>
  </si>
  <si>
    <t>Vangorda</t>
  </si>
  <si>
    <t>Nightflower-Digger Lode</t>
  </si>
  <si>
    <t>Keg Main Zone</t>
  </si>
  <si>
    <t>Pend Oreille (Yellowhead)</t>
  </si>
  <si>
    <t>Tsongoari</t>
  </si>
  <si>
    <t>Mt Mulcahy</t>
  </si>
  <si>
    <t>Armanis-Sagamar</t>
  </si>
  <si>
    <t>Poopo</t>
  </si>
  <si>
    <t>Clear Lake</t>
  </si>
  <si>
    <t>Ungay-Malobago (Rapu Rapu)</t>
  </si>
  <si>
    <t>Parys Mountain</t>
  </si>
  <si>
    <t>Brabant Lake</t>
  </si>
  <si>
    <t>Liberty-Indee (Evelyn)</t>
  </si>
  <si>
    <t>Mt Pleasant (North Zone)</t>
  </si>
  <si>
    <t>Lundberg-Engine</t>
  </si>
  <si>
    <t>Perttilahti</t>
  </si>
  <si>
    <t>Lessard</t>
  </si>
  <si>
    <t>Gunga (Khuzdar)</t>
  </si>
  <si>
    <t>Santa Lucia Castellanos</t>
  </si>
  <si>
    <t>Peso (Rex)</t>
  </si>
  <si>
    <t>Berezitovy</t>
  </si>
  <si>
    <t>Plomosas (Rosario-San Juan)</t>
  </si>
  <si>
    <t>Cieneguita</t>
  </si>
  <si>
    <t>Hudvam</t>
  </si>
  <si>
    <t>Trèves</t>
  </si>
  <si>
    <t>Logan</t>
  </si>
  <si>
    <t>New Moon</t>
  </si>
  <si>
    <t>Cozamin Group</t>
  </si>
  <si>
    <t>Howard's Pass-Brodel</t>
  </si>
  <si>
    <t>Brskovo</t>
  </si>
  <si>
    <t>Domergue-Anomaly E</t>
  </si>
  <si>
    <t>Coeur-Galena Complex (Pb-Ag only)</t>
  </si>
  <si>
    <t>Rockliden</t>
  </si>
  <si>
    <t>Shahumyan (Kapan)</t>
  </si>
  <si>
    <t>Browns Reef</t>
  </si>
  <si>
    <t>Huornaisenvuoma</t>
  </si>
  <si>
    <t>Nonggeshan</t>
  </si>
  <si>
    <t>Aerhada</t>
  </si>
  <si>
    <t>Rauhala</t>
  </si>
  <si>
    <t>Salairskoye</t>
  </si>
  <si>
    <t>El Toqui</t>
  </si>
  <si>
    <t>Explorer 108</t>
  </si>
  <si>
    <t>Andrew (Lad)</t>
  </si>
  <si>
    <t>Groundhog (Jeff-Lorne)</t>
  </si>
  <si>
    <t>Ericksen-Ashby</t>
  </si>
  <si>
    <t>Jabal Sayid-Citadel (Lode 1 only)</t>
  </si>
  <si>
    <t>Oued El Kebir</t>
  </si>
  <si>
    <t>Kalabar</t>
  </si>
  <si>
    <t>Al Masane-Al Kobra (AMAK)</t>
  </si>
  <si>
    <t>Errington</t>
  </si>
  <si>
    <t>Ruttan</t>
  </si>
  <si>
    <t>Krasnogvardeyskoe</t>
  </si>
  <si>
    <t>Salt River-Graafwater East/West</t>
  </si>
  <si>
    <t>Jackson-Stella-Chloe Trend</t>
  </si>
  <si>
    <t>Homestake</t>
  </si>
  <si>
    <t>Tellerhäuser</t>
  </si>
  <si>
    <t>Arrens</t>
  </si>
  <si>
    <t>Canoas</t>
  </si>
  <si>
    <t>Blue Moon</t>
  </si>
  <si>
    <t>Jabal Dhaylan</t>
  </si>
  <si>
    <t>Gray Rock</t>
  </si>
  <si>
    <t>Qinghai Deerni</t>
  </si>
  <si>
    <t>Mariposa</t>
  </si>
  <si>
    <t>San Felipe (Santacruz)</t>
  </si>
  <si>
    <t>Burnside-Iron Blow</t>
  </si>
  <si>
    <t>Accha</t>
  </si>
  <si>
    <t>Vine 1</t>
  </si>
  <si>
    <t>Pulacayo-Paya</t>
  </si>
  <si>
    <t>Bismark</t>
  </si>
  <si>
    <t>Stannex-Woolsey</t>
  </si>
  <si>
    <t>Wrigley</t>
  </si>
  <si>
    <t>Sabinas</t>
  </si>
  <si>
    <t>Nakru</t>
  </si>
  <si>
    <t>Tatestown</t>
  </si>
  <si>
    <t>Kolari</t>
  </si>
  <si>
    <t>Ark</t>
  </si>
  <si>
    <t>Quiruvilca</t>
  </si>
  <si>
    <t>Sandy Creek</t>
  </si>
  <si>
    <t>Point Leamington</t>
  </si>
  <si>
    <t>Skatykom</t>
  </si>
  <si>
    <t>Klaza-BRX</t>
  </si>
  <si>
    <t>Rio Pallanga</t>
  </si>
  <si>
    <t>Nova Redenção (New Redemption)</t>
  </si>
  <si>
    <t>San Rafael</t>
  </si>
  <si>
    <t>Komaganskoe</t>
  </si>
  <si>
    <t>Barvallée</t>
  </si>
  <si>
    <t>Scotia-Gays River</t>
  </si>
  <si>
    <t>Lara-Coronation Trend</t>
  </si>
  <si>
    <t>Suior</t>
  </si>
  <si>
    <t>Tarnyerskoe</t>
  </si>
  <si>
    <t>Jaguar</t>
  </si>
  <si>
    <t>Caylloma</t>
  </si>
  <si>
    <t>Kankariya</t>
  </si>
  <si>
    <t>Lennon's Find</t>
  </si>
  <si>
    <t>La Encantada</t>
  </si>
  <si>
    <t>Kylylahti</t>
  </si>
  <si>
    <t>Islay</t>
  </si>
  <si>
    <t>Sherridon (Cold-Lost-Bob-Jungle)</t>
  </si>
  <si>
    <t>Narrawa</t>
  </si>
  <si>
    <t>Tortigny</t>
  </si>
  <si>
    <t>Grants Creek-Wilsons Reef</t>
  </si>
  <si>
    <t>Mt Clement-Eastern Hills</t>
  </si>
  <si>
    <t>Ariana</t>
  </si>
  <si>
    <t>Prairie Downs</t>
  </si>
  <si>
    <t>Rewara</t>
  </si>
  <si>
    <t>Silver Coin</t>
  </si>
  <si>
    <t>Palmeirópolis</t>
  </si>
  <si>
    <t>Woodlawn Tailings</t>
  </si>
  <si>
    <t>La Frazada</t>
  </si>
  <si>
    <t>Lagoa Salgada</t>
  </si>
  <si>
    <t>Parlozi</t>
  </si>
  <si>
    <t>Bilbao</t>
  </si>
  <si>
    <t>Bajta Central</t>
  </si>
  <si>
    <t>Wagga Tank</t>
  </si>
  <si>
    <t>Minera Parreña-Guachichil</t>
  </si>
  <si>
    <t>Duncan</t>
  </si>
  <si>
    <t>Hudson Bay-Watts River</t>
  </si>
  <si>
    <t>Noyon-Tologoisky</t>
  </si>
  <si>
    <t>Cerro de Maimón</t>
  </si>
  <si>
    <t>Premier Camp</t>
  </si>
  <si>
    <t>Baroi</t>
  </si>
  <si>
    <t>Morrison</t>
  </si>
  <si>
    <t>La Solución-Veta Hampaturi Sur</t>
  </si>
  <si>
    <t>Sandiego</t>
  </si>
  <si>
    <t>Manindi-Freddie Well</t>
  </si>
  <si>
    <t>Rautavaara</t>
  </si>
  <si>
    <t>Sunny Corner</t>
  </si>
  <si>
    <t>Kainuu-Rautavaara</t>
  </si>
  <si>
    <t>Menninnie Dam</t>
  </si>
  <si>
    <t>Walton</t>
  </si>
  <si>
    <t>Pegmont</t>
  </si>
  <si>
    <t>Summit</t>
  </si>
  <si>
    <t>Amtkeli</t>
  </si>
  <si>
    <t>Niblack (Lookout-Trio)</t>
  </si>
  <si>
    <t>Angas</t>
  </si>
  <si>
    <t>Kitsault River-Wolf</t>
  </si>
  <si>
    <t>Barrow Creek-Home of Bullion</t>
  </si>
  <si>
    <t>Romer-Jimmick Lake</t>
  </si>
  <si>
    <t>Coxco</t>
  </si>
  <si>
    <t>Pyhäsalmi</t>
  </si>
  <si>
    <t>Jersey</t>
  </si>
  <si>
    <t>Devpura</t>
  </si>
  <si>
    <t>Perau</t>
  </si>
  <si>
    <t>Wonawinta</t>
  </si>
  <si>
    <t>Contonga</t>
  </si>
  <si>
    <t>Vallecillo-La Colorada</t>
  </si>
  <si>
    <t>Inel (AK)</t>
  </si>
  <si>
    <t>South Dedwas</t>
  </si>
  <si>
    <t>Wim</t>
  </si>
  <si>
    <t>Webbs</t>
  </si>
  <si>
    <t>Sargipali</t>
  </si>
  <si>
    <t>Invicta</t>
  </si>
  <si>
    <t>Mt Moss</t>
  </si>
  <si>
    <t>Higgs</t>
  </si>
  <si>
    <t>Empire</t>
  </si>
  <si>
    <t>Belfort (Roymont)</t>
  </si>
  <si>
    <t>Boquira</t>
  </si>
  <si>
    <t>Mineral King</t>
  </si>
  <si>
    <t>Scott Lake</t>
  </si>
  <si>
    <t>Paguanta-Patricia</t>
  </si>
  <si>
    <t>Chadine</t>
  </si>
  <si>
    <t>Madarpura</t>
  </si>
  <si>
    <t>PD1</t>
  </si>
  <si>
    <t>Kihabe</t>
  </si>
  <si>
    <t>Howard's Pass-HP</t>
  </si>
  <si>
    <t>Zimnyee</t>
  </si>
  <si>
    <t>Palma</t>
  </si>
  <si>
    <t>Kitsault River-Torbrit</t>
  </si>
  <si>
    <t>Nxuu</t>
  </si>
  <si>
    <t>San Nicolas</t>
  </si>
  <si>
    <t>Alpamarca</t>
  </si>
  <si>
    <t>Kempfield</t>
  </si>
  <si>
    <t>Paca</t>
  </si>
  <si>
    <t>Area 55</t>
  </si>
  <si>
    <t>Red Cap Group</t>
  </si>
  <si>
    <t>Jervois Group</t>
  </si>
  <si>
    <t>Parkers Hill (Mineral Hill)</t>
  </si>
  <si>
    <t>Lewis Ponds</t>
  </si>
  <si>
    <t>Salerno Lake</t>
  </si>
  <si>
    <t>H.B.</t>
  </si>
  <si>
    <t>Lustdust (Canyon Creek)</t>
  </si>
  <si>
    <t>Montana Tunnels (M-pit)</t>
  </si>
  <si>
    <t>Abcourt-Barvue</t>
  </si>
  <si>
    <t>Trilogy</t>
  </si>
  <si>
    <t>Oceana</t>
  </si>
  <si>
    <t>Allison's Lode</t>
  </si>
  <si>
    <t>Kamarga-JB</t>
  </si>
  <si>
    <t>Angangueo</t>
  </si>
  <si>
    <t>Vinchos</t>
  </si>
  <si>
    <t>Nash Creek</t>
  </si>
  <si>
    <t>Teutonic Bore</t>
  </si>
  <si>
    <t>Peelwood North/South</t>
  </si>
  <si>
    <t>Pipela</t>
  </si>
  <si>
    <t>Harvest-Terakimti</t>
  </si>
  <si>
    <t>Abu Samar</t>
  </si>
  <si>
    <t>Boliden-Maurliden</t>
  </si>
  <si>
    <t>Howard's Pass-Pelly North</t>
  </si>
  <si>
    <t>Courtbrown</t>
  </si>
  <si>
    <t>Vuonos</t>
  </si>
  <si>
    <t>Bou Jabeur-Gite de l'Est</t>
  </si>
  <si>
    <t>Kohol</t>
  </si>
  <si>
    <t>Bobby's Pond</t>
  </si>
  <si>
    <t>Cerro Prieto</t>
  </si>
  <si>
    <t>Sunter</t>
  </si>
  <si>
    <t>Altia</t>
  </si>
  <si>
    <t>Darcy</t>
  </si>
  <si>
    <t>San Sebastian</t>
  </si>
  <si>
    <t>Big Ledge</t>
  </si>
  <si>
    <t>Sable Zinc Kabwe Tailings</t>
  </si>
  <si>
    <t>Lemarchant-South Tally Pond</t>
  </si>
  <si>
    <t>Remac</t>
  </si>
  <si>
    <t>Linda 2-RLM</t>
  </si>
  <si>
    <t>Belara</t>
  </si>
  <si>
    <t>Tan Chaffao Est</t>
  </si>
  <si>
    <t>Whim Creek</t>
  </si>
  <si>
    <t>Hambok</t>
  </si>
  <si>
    <t>Miguel Auza</t>
  </si>
  <si>
    <t>Pilarica (Fresnillo Peru)</t>
  </si>
  <si>
    <t>Queenslander</t>
  </si>
  <si>
    <t>Seneca</t>
  </si>
  <si>
    <t>Kangaroo Caves</t>
  </si>
  <si>
    <t>Skidder</t>
  </si>
  <si>
    <t>Emull-Lamboo</t>
  </si>
  <si>
    <t>Romer-Frederickson Lake</t>
  </si>
  <si>
    <t>Nymagee</t>
  </si>
  <si>
    <t>Minera Parreña-Leones</t>
  </si>
  <si>
    <t>Nanisivik</t>
  </si>
  <si>
    <t>Rochon Lake</t>
  </si>
  <si>
    <t>Tsumeb Tailings</t>
  </si>
  <si>
    <t>Onedin (Koongie Park)</t>
  </si>
  <si>
    <t>Ain Khala</t>
  </si>
  <si>
    <t>Ajari</t>
  </si>
  <si>
    <t>Huatalampi</t>
  </si>
  <si>
    <t>Develin Creek-Rookwood</t>
  </si>
  <si>
    <t>Ecstall</t>
  </si>
  <si>
    <t>Zuta Prla</t>
  </si>
  <si>
    <t>Grieves Quarry</t>
  </si>
  <si>
    <t>Ediacara</t>
  </si>
  <si>
    <t>Allenwood West</t>
  </si>
  <si>
    <t>Rosario</t>
  </si>
  <si>
    <t>Harena</t>
  </si>
  <si>
    <t>Oldcastle</t>
  </si>
  <si>
    <t>Namiquipa</t>
  </si>
  <si>
    <t>Rangpo</t>
  </si>
  <si>
    <t>Romer-Soucy #1</t>
  </si>
  <si>
    <t>Visnjica</t>
  </si>
  <si>
    <t>Bhilwara</t>
  </si>
  <si>
    <t>Esker</t>
  </si>
  <si>
    <t>Mironovskoye</t>
  </si>
  <si>
    <t>Howard's Pass-OP Group</t>
  </si>
  <si>
    <t>Aldermac</t>
  </si>
  <si>
    <t>Copper Crown</t>
  </si>
  <si>
    <t>Sykäräinen</t>
  </si>
  <si>
    <t>Salt River-Hartebeest Vlei</t>
  </si>
  <si>
    <t>Mt Ararat</t>
  </si>
  <si>
    <t>Shubinsky</t>
  </si>
  <si>
    <t>Scotia-Getty</t>
  </si>
  <si>
    <t>Fagundes</t>
  </si>
  <si>
    <t>Railway Flat</t>
  </si>
  <si>
    <t>Sito East</t>
  </si>
  <si>
    <t>Abu Marawat</t>
  </si>
  <si>
    <t>Turner River-Orchard Well/Discovery</t>
  </si>
  <si>
    <t>Tikhi</t>
  </si>
  <si>
    <t>Jubilee</t>
  </si>
  <si>
    <t>East Kemptville</t>
  </si>
  <si>
    <t>Nepisiguit</t>
  </si>
  <si>
    <t>Portland Canal</t>
  </si>
  <si>
    <t>Chu Chua</t>
  </si>
  <si>
    <t>Maramungee</t>
  </si>
  <si>
    <t>Nuestra Señora</t>
  </si>
  <si>
    <t>Scotia (BC)</t>
  </si>
  <si>
    <t>Sunshine</t>
  </si>
  <si>
    <t>Mons Cupri</t>
  </si>
  <si>
    <t>Bend 1 (Canyon Zone)</t>
  </si>
  <si>
    <t>Northwest</t>
  </si>
  <si>
    <t>Rtskhmeluri</t>
  </si>
  <si>
    <t>Cusi Group</t>
  </si>
  <si>
    <t>Bayaguana Group</t>
  </si>
  <si>
    <t>Djibigan (Manbarrum)</t>
  </si>
  <si>
    <t>Zriba-Guebli</t>
  </si>
  <si>
    <t>George Lake</t>
  </si>
  <si>
    <t>Darin</t>
  </si>
  <si>
    <t>Basantgarh</t>
  </si>
  <si>
    <t>Salmo</t>
  </si>
  <si>
    <t>Oyama</t>
  </si>
  <si>
    <t>Mt Charter</t>
  </si>
  <si>
    <t>Çorak</t>
  </si>
  <si>
    <t>Zoraida</t>
  </si>
  <si>
    <t>Geyer Southwest</t>
  </si>
  <si>
    <t>Staroye Tailings</t>
  </si>
  <si>
    <t>Nimbus</t>
  </si>
  <si>
    <t>Koonenberry</t>
  </si>
  <si>
    <t>Cachinal</t>
  </si>
  <si>
    <t>Paduna North Block</t>
  </si>
  <si>
    <t>Sawar</t>
  </si>
  <si>
    <t>Peterlumbo-Paris</t>
  </si>
  <si>
    <t>Tinta Hill</t>
  </si>
  <si>
    <t>Mauk</t>
  </si>
  <si>
    <t>Samodi</t>
  </si>
  <si>
    <t>Reef Ridge</t>
  </si>
  <si>
    <t>Rickardstown</t>
  </si>
  <si>
    <t>Mayfield</t>
  </si>
  <si>
    <t>DEB</t>
  </si>
  <si>
    <t>Tetagouche-Armstrong A/B</t>
  </si>
  <si>
    <t>Comstock (Australia)</t>
  </si>
  <si>
    <t>Berrigan North (Taché)</t>
  </si>
  <si>
    <t>Tufanbeyli Group</t>
  </si>
  <si>
    <t>La Encantada Tailings</t>
  </si>
  <si>
    <t>Kroombit (Cu+Zn/Cu)</t>
  </si>
  <si>
    <t>Beveley</t>
  </si>
  <si>
    <t>San Marcial</t>
  </si>
  <si>
    <t>Eastman</t>
  </si>
  <si>
    <t>Bowler Creek</t>
  </si>
  <si>
    <t>Range &amp; Turtle/Copper Ridge</t>
  </si>
  <si>
    <t>Mt Angelo North</t>
  </si>
  <si>
    <t>Sidi at Taia (Sidi Taya)</t>
  </si>
  <si>
    <t>Bushy Park</t>
  </si>
  <si>
    <t>Conrad-King Conrad-Greisen</t>
  </si>
  <si>
    <t>Capire-Aurora 1</t>
  </si>
  <si>
    <t>Chester</t>
  </si>
  <si>
    <t>Saramäki</t>
  </si>
  <si>
    <t>Santander Tailings</t>
  </si>
  <si>
    <t>Colby (Kingfisher-Noreen)</t>
  </si>
  <si>
    <t>Jonpol</t>
  </si>
  <si>
    <t>Berrigan South (Lac Taché)</t>
  </si>
  <si>
    <t>Gossan Dam-Bonnie Rock</t>
  </si>
  <si>
    <t>Tishinsky Tailings</t>
  </si>
  <si>
    <t>Anaconda</t>
  </si>
  <si>
    <t>Kangiara</t>
  </si>
  <si>
    <t>Tiranga</t>
  </si>
  <si>
    <t>Quinns-Austin</t>
  </si>
  <si>
    <t>Manat-Magas</t>
  </si>
  <si>
    <t>Garrycam</t>
  </si>
  <si>
    <t>Rock and Roll</t>
  </si>
  <si>
    <t>Whundo Cu-Zn / Zn</t>
  </si>
  <si>
    <t>El Tecolote (Reyna del Cobre) Tailings</t>
  </si>
  <si>
    <t>Upton</t>
  </si>
  <si>
    <t>Ganeshpura</t>
  </si>
  <si>
    <t>Bethumni</t>
  </si>
  <si>
    <t>Barsele (Norra)</t>
  </si>
  <si>
    <t>Silver King (Ymir)</t>
  </si>
  <si>
    <t>La Solución Tailings</t>
  </si>
  <si>
    <t>Razdarankom</t>
  </si>
  <si>
    <t>Packsack</t>
  </si>
  <si>
    <t>Canatuan</t>
  </si>
  <si>
    <t>Namib Tailings</t>
  </si>
  <si>
    <t>C.O.D.-Kingman Tailings</t>
  </si>
  <si>
    <t>Riihilahti</t>
  </si>
  <si>
    <t>Chakola-Harnett Central</t>
  </si>
  <si>
    <t>San Martin (Pb-Zn-Ag-Au only)</t>
  </si>
  <si>
    <t>Brdzyshra</t>
  </si>
  <si>
    <t>South Crofty</t>
  </si>
  <si>
    <t>Bali Hi</t>
  </si>
  <si>
    <t>Kettukumpu</t>
  </si>
  <si>
    <t>Tally Ho</t>
  </si>
  <si>
    <t>Federation</t>
  </si>
  <si>
    <t>Boliden-Maurliden Östra</t>
  </si>
  <si>
    <t>Metates</t>
  </si>
  <si>
    <t>Spar</t>
  </si>
  <si>
    <t>Victoria</t>
  </si>
  <si>
    <t>C</t>
  </si>
  <si>
    <t>Epithermal</t>
  </si>
  <si>
    <t>PbZnAg &gt;70%</t>
  </si>
  <si>
    <t>PbZnAg &lt;70%</t>
  </si>
  <si>
    <t>NC</t>
  </si>
  <si>
    <t>Miscellaneous</t>
  </si>
  <si>
    <t>IOCG</t>
  </si>
  <si>
    <t>Manto</t>
  </si>
  <si>
    <t>Mesothermal Vein</t>
  </si>
  <si>
    <t>Orogenic Au</t>
  </si>
  <si>
    <t>Porphyry</t>
  </si>
  <si>
    <t>Sediment-hosted Pb-Zn</t>
  </si>
  <si>
    <t>S NC</t>
  </si>
  <si>
    <t>Sediment-hosted mixed</t>
  </si>
  <si>
    <t>Skarn</t>
  </si>
  <si>
    <t>VMS</t>
  </si>
  <si>
    <t>S C</t>
  </si>
  <si>
    <t>T C</t>
  </si>
  <si>
    <t>Tailings &amp; Slag</t>
  </si>
  <si>
    <t>T NC</t>
  </si>
  <si>
    <t>Sub-Total</t>
  </si>
  <si>
    <t>C+NC</t>
  </si>
  <si>
    <t>GRAND TOTAL</t>
  </si>
  <si>
    <t>value</t>
  </si>
  <si>
    <t>%prop</t>
  </si>
  <si>
    <t>US$/t ore</t>
  </si>
  <si>
    <t>Total</t>
  </si>
  <si>
    <t>Primary Deposit Type</t>
  </si>
  <si>
    <t>Secondary Deposit Type</t>
  </si>
  <si>
    <t>PbZnAg</t>
  </si>
  <si>
    <t>Cu</t>
  </si>
  <si>
    <t>Au</t>
  </si>
  <si>
    <t>Other</t>
  </si>
  <si>
    <t>Mt ore</t>
  </si>
  <si>
    <t>%Pb</t>
  </si>
  <si>
    <t>%Zn</t>
  </si>
  <si>
    <t>g/t Ag</t>
  </si>
  <si>
    <t>%Cu</t>
  </si>
  <si>
    <t>g/t Au</t>
  </si>
  <si>
    <t>%Ba</t>
  </si>
  <si>
    <t>%Ni</t>
  </si>
  <si>
    <t>%Co</t>
  </si>
  <si>
    <t>%Sn</t>
  </si>
  <si>
    <t>g/t In</t>
  </si>
  <si>
    <t>%Mo</t>
  </si>
  <si>
    <t>%Fe</t>
  </si>
  <si>
    <t>%WO3</t>
  </si>
  <si>
    <t>%U3O8</t>
  </si>
  <si>
    <t>%As</t>
  </si>
  <si>
    <t>%V</t>
  </si>
  <si>
    <t>Mt Pb</t>
  </si>
  <si>
    <t>Mt Zn</t>
  </si>
  <si>
    <t>t Ag</t>
  </si>
  <si>
    <t>Mt Cu</t>
  </si>
  <si>
    <t>t Au</t>
  </si>
  <si>
    <t>Pb</t>
  </si>
  <si>
    <t>Zn</t>
  </si>
  <si>
    <t>Ag</t>
  </si>
  <si>
    <t>Ba</t>
  </si>
  <si>
    <t>Ni</t>
  </si>
  <si>
    <t>Co</t>
  </si>
  <si>
    <t>Sn</t>
  </si>
  <si>
    <t>In</t>
  </si>
  <si>
    <t>Mo</t>
  </si>
  <si>
    <t>Fe</t>
  </si>
  <si>
    <t>WO3</t>
  </si>
  <si>
    <t>U3O8</t>
  </si>
  <si>
    <t>As</t>
  </si>
  <si>
    <t>V</t>
  </si>
  <si>
    <t>Bolivian Polymetallic vein type?</t>
  </si>
  <si>
    <t>High sulfidation</t>
  </si>
  <si>
    <t>Low-to-intermediate sulfidation</t>
  </si>
  <si>
    <t>Intermediate sulfidation</t>
  </si>
  <si>
    <t>Low sulfidation</t>
  </si>
  <si>
    <t>Low sulfidation?</t>
  </si>
  <si>
    <t>Low/Intermediate sulfidation</t>
  </si>
  <si>
    <t>High sulfidation?</t>
  </si>
  <si>
    <t>%Cd</t>
  </si>
  <si>
    <t>Cd</t>
  </si>
  <si>
    <t>High to intermediate-low sulfidation</t>
  </si>
  <si>
    <t>High to intermediate sulfidation</t>
  </si>
  <si>
    <t>?low sulfidation?</t>
  </si>
  <si>
    <t>g/t Hg</t>
  </si>
  <si>
    <t>Hg</t>
  </si>
  <si>
    <t>Epithermal-Skarn</t>
  </si>
  <si>
    <t>Skarn may be dominant?</t>
  </si>
  <si>
    <t>overprints mesothermal mineralisation</t>
  </si>
  <si>
    <t>0.017 %Bi, 0.03 %Cd</t>
  </si>
  <si>
    <t>Bi, Cd</t>
  </si>
  <si>
    <t>%F</t>
  </si>
  <si>
    <t>F</t>
  </si>
  <si>
    <t>Epithermal-Mesothermal</t>
  </si>
  <si>
    <t>Intermediate sulfidation?</t>
  </si>
  <si>
    <t>7.6 g/t Te, 7.1 g/t Se</t>
  </si>
  <si>
    <t>Te, Se</t>
  </si>
  <si>
    <t>%Sb</t>
  </si>
  <si>
    <t>Sb</t>
  </si>
  <si>
    <t>High and low sulphidation</t>
  </si>
  <si>
    <t>%Sr</t>
  </si>
  <si>
    <t>Sr</t>
  </si>
  <si>
    <t>Low-sulfidation</t>
  </si>
  <si>
    <t>Granite-related</t>
  </si>
  <si>
    <t>????</t>
  </si>
  <si>
    <t>Magmatic Alkaline Intrusive</t>
  </si>
  <si>
    <t>Layered alkaline complex</t>
  </si>
  <si>
    <t>%TREO</t>
  </si>
  <si>
    <t>TREO</t>
  </si>
  <si>
    <t>Magmatic Sulfide</t>
  </si>
  <si>
    <t>Sediment-hosted polymetallic</t>
  </si>
  <si>
    <t>Intrusion-related</t>
  </si>
  <si>
    <t>g/t Re</t>
  </si>
  <si>
    <t>Re</t>
  </si>
  <si>
    <t>Cloncurry-type</t>
  </si>
  <si>
    <t xml:space="preserve">Oxide Zinc - IOCG? </t>
  </si>
  <si>
    <t>Porphyry-IOCG?</t>
  </si>
  <si>
    <t>Manto/Skarn/Epithermal</t>
  </si>
  <si>
    <t>Manto-Cu</t>
  </si>
  <si>
    <t>IOCG?</t>
  </si>
  <si>
    <t>Coeur D'Alene district</t>
  </si>
  <si>
    <t>with Orogenic Au</t>
  </si>
  <si>
    <t>g/t Ge</t>
  </si>
  <si>
    <t>Ge</t>
  </si>
  <si>
    <t>Associated with Kundip</t>
  </si>
  <si>
    <t>Porphyry Cu-Au-Pb-Zn</t>
  </si>
  <si>
    <t>Porpphyry Cu-Au</t>
  </si>
  <si>
    <t>%Bi</t>
  </si>
  <si>
    <t>Bi</t>
  </si>
  <si>
    <t>Porphyry Mo</t>
  </si>
  <si>
    <t>Sn-W-Mo</t>
  </si>
  <si>
    <t>Porphyry with skarn</t>
  </si>
  <si>
    <t>Cu-Mo</t>
  </si>
  <si>
    <t>Porphyry and VMS deposits</t>
  </si>
  <si>
    <t>Porphyry-Skarn</t>
  </si>
  <si>
    <t>Sedex</t>
  </si>
  <si>
    <t>MVT</t>
  </si>
  <si>
    <t>Sedex/MVT?</t>
  </si>
  <si>
    <t>Non-sulfide MVT</t>
  </si>
  <si>
    <t>Non-sulfide Zinc deposit</t>
  </si>
  <si>
    <t>Sedex?</t>
  </si>
  <si>
    <t>MVT?</t>
  </si>
  <si>
    <t>g/t Ga</t>
  </si>
  <si>
    <t>Ga</t>
  </si>
  <si>
    <t>%CaF2</t>
  </si>
  <si>
    <t>CaF2</t>
  </si>
  <si>
    <t>VMS-associated or SEDEX</t>
  </si>
  <si>
    <t>In-Cd-Se-Te</t>
  </si>
  <si>
    <t>SEDEX</t>
  </si>
  <si>
    <t>?</t>
  </si>
  <si>
    <t>Sediment-hosted Pb-Zn/VMS</t>
  </si>
  <si>
    <t>Sedex/VMS</t>
  </si>
  <si>
    <t>%P2O5, 497 g/t Y, 101 g/t Nd, 6.9 g/t Re, 37.3 %CaF2</t>
  </si>
  <si>
    <t>P2O5+Y+Nd+Re+CaF2</t>
  </si>
  <si>
    <t>Sediment-hosted Pb-Zn (Shale-hosted)</t>
  </si>
  <si>
    <t>Shale-hosted</t>
  </si>
  <si>
    <t>%TREO+Y; 10.9 g/t Sc, 70.2 g/t Li</t>
  </si>
  <si>
    <t>TREO+Y+Sc+Li</t>
  </si>
  <si>
    <t>Sediment-hosted U</t>
  </si>
  <si>
    <t>Basal U mineralisation</t>
  </si>
  <si>
    <t>Non-sulfide Zinc</t>
  </si>
  <si>
    <t>Epithermal?</t>
  </si>
  <si>
    <t>Skarn-manto</t>
  </si>
  <si>
    <t>Skarn-epithermal</t>
  </si>
  <si>
    <t>Original skarn with epithermal overprint</t>
  </si>
  <si>
    <t>Skarn (Greisen)</t>
  </si>
  <si>
    <t>Skarn/Epithermal</t>
  </si>
  <si>
    <t>Porphyry-related</t>
  </si>
  <si>
    <t>%Mn</t>
  </si>
  <si>
    <t>Mn</t>
  </si>
  <si>
    <t>Skarn-Manto</t>
  </si>
  <si>
    <t>%TiO2</t>
  </si>
  <si>
    <t>TiO2</t>
  </si>
  <si>
    <t>Kuroko</t>
  </si>
  <si>
    <t>Possibly Sedex</t>
  </si>
  <si>
    <t>Seafloor Massive Sulfide</t>
  </si>
  <si>
    <t>May also be Sedex?</t>
  </si>
  <si>
    <t>VMS/Epithermal</t>
  </si>
  <si>
    <t>Seafloor Massive sulfide</t>
  </si>
  <si>
    <t>g/t Pt</t>
  </si>
  <si>
    <t>Pt</t>
  </si>
  <si>
    <r>
      <t/>
    </r>
    <r>
      <rPr>
        <sz val="10"/>
        <color rgb="FF000000"/>
        <rFont val="Arial"/>
        <family val="2"/>
      </rPr>
      <t xml:space="preserve">Shaimerden </t>
    </r>
    <r>
      <rPr>
        <b/>
        <sz val="10"/>
        <color rgb="FF008000"/>
        <rFont val="Arial"/>
        <family val="2"/>
      </rPr>
      <t>Stockpile</t>
    </r>
  </si>
  <si>
    <r>
      <t/>
    </r>
    <r>
      <rPr>
        <sz val="10"/>
        <color rgb="FF000000"/>
        <rFont val="Arial"/>
        <family val="2"/>
      </rPr>
      <t xml:space="preserve">Jabali </t>
    </r>
    <r>
      <rPr>
        <b/>
        <sz val="10"/>
        <color rgb="FF008000"/>
        <rFont val="Arial"/>
        <family val="2"/>
      </rPr>
      <t>Stockpile</t>
    </r>
  </si>
  <si>
    <r>
      <t/>
    </r>
    <r>
      <rPr>
        <sz val="10"/>
        <color rgb="FF000000"/>
        <rFont val="Arial"/>
        <family val="2"/>
      </rPr>
      <t xml:space="preserve">La Solución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</si>
  <si>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Epithermal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</si>
  <si>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Sable Zinc Kabwe </t>
    </r>
    <r>
      <rPr>
        <b/>
        <sz val="10"/>
        <color rgb="FFff0000"/>
        <rFont val="Arial"/>
        <family val="2"/>
      </rPr>
      <t>Tailings</t>
    </r>
  </si>
  <si>
    <t>Sediment-hosted Pb-Zn Tailings</t>
  </si>
  <si>
    <r>
      <t/>
    </r>
    <r>
      <rPr>
        <sz val="10"/>
        <color rgb="FF000000"/>
        <rFont val="Arial"/>
        <family val="2"/>
      </rPr>
      <t xml:space="preserve">La Encantada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</si>
  <si>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Namib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</si>
  <si>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Santander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</si>
  <si>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Skarn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</si>
  <si>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Zeehan Group </t>
    </r>
    <r>
      <rPr>
        <b/>
        <sz val="10"/>
        <color rgb="FF3366ff"/>
        <rFont val="Arial"/>
        <family val="2"/>
      </rPr>
      <t>Slag</t>
    </r>
  </si>
  <si>
    <r>
      <t/>
    </r>
    <r>
      <rPr>
        <sz val="10"/>
        <color rgb="FF000000"/>
        <rFont val="Arial"/>
        <family val="2"/>
      </rPr>
      <t xml:space="preserve">VMS </t>
    </r>
    <r>
      <rPr>
        <b/>
        <sz val="10"/>
        <color rgb="FF3366ff"/>
        <rFont val="Arial"/>
        <family val="2"/>
      </rPr>
      <t>Slag</t>
    </r>
  </si>
  <si>
    <t>VMS Slag</t>
  </si>
  <si>
    <r>
      <t/>
    </r>
    <r>
      <rPr>
        <sz val="10"/>
        <color rgb="FF000000"/>
        <rFont val="Arial"/>
        <family val="2"/>
      </rPr>
      <t xml:space="preserve">Tishinsky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</si>
  <si>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VMS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</si>
  <si>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Hellyer </t>
    </r>
    <r>
      <rPr>
        <b/>
        <sz val="10"/>
        <color rgb="FFff0000"/>
        <rFont val="Arial"/>
        <family val="2"/>
      </rPr>
      <t>Tailings</t>
    </r>
  </si>
  <si>
    <t>VMS Tailings</t>
  </si>
  <si>
    <r>
      <t/>
    </r>
    <r>
      <rPr>
        <sz val="10"/>
        <color rgb="FF000000"/>
        <rFont val="Arial"/>
        <family val="2"/>
      </rPr>
      <t xml:space="preserve">Staroye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</si>
  <si>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Woodlawn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</si>
  <si>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Sediment-hosted Pb-Zn/VMS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</si>
  <si>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Chashinskoye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</si>
  <si>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Tsumeb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</si>
  <si>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Kabwe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</si>
  <si>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C.O.D.-Kingman </t>
    </r>
    <r>
      <rPr>
        <b/>
        <sz val="10"/>
        <color rgb="FFff0000"/>
        <rFont val="Arial"/>
        <family val="2"/>
      </rPr>
      <t>Tailings</t>
    </r>
  </si>
  <si>
    <t>Mesothermal Vein Tailings</t>
  </si>
  <si>
    <r>
      <t/>
    </r>
    <r>
      <rPr>
        <sz val="10"/>
        <color rgb="FF000000"/>
        <rFont val="Arial"/>
        <family val="2"/>
      </rPr>
      <t xml:space="preserve">El Tecolote (Reyna del Cobre) </t>
    </r>
    <r>
      <rPr>
        <b/>
        <sz val="10"/>
        <color rgb="FFff0000"/>
        <rFont val="Arial"/>
        <family val="2"/>
      </rPr>
      <t>Tailings</t>
    </r>
  </si>
  <si>
    <t>Dep Total</t>
  </si>
  <si>
    <t>DIFF.</t>
  </si>
  <si>
    <t>Count</t>
  </si>
  <si>
    <t>US$</t>
  </si>
  <si>
    <t>Dep Average</t>
  </si>
  <si>
    <t>Tailings</t>
  </si>
  <si>
    <t>Overall Average</t>
  </si>
  <si>
    <t>S/T C/NC</t>
  </si>
  <si>
    <t>USGS or OCE 2014 US$/t</t>
  </si>
  <si>
    <t>CuAu</t>
  </si>
  <si>
    <t>&gt;70%</t>
  </si>
  <si>
    <t>&gt;40%</t>
  </si>
  <si>
    <t>&gt;30%</t>
  </si>
  <si>
    <t>&gt;20%</t>
  </si>
  <si>
    <r>
      <t/>
    </r>
    <r>
      <rPr>
        <sz val="10"/>
        <color rgb="FF000000"/>
        <rFont val="Arial"/>
        <family val="2"/>
      </rPr>
      <t>Sunshine (</t>
    </r>
    <r>
      <rPr>
        <i/>
        <sz val="10"/>
        <color rgb="FF000000"/>
        <rFont val="Arial"/>
        <family val="2"/>
      </rPr>
      <t>inferred only</t>
    </r>
    <r>
      <rPr>
        <sz val="10"/>
        <color rgb="FF000000"/>
        <rFont val="Arial"/>
        <family val="2"/>
      </rPr>
      <t>)</t>
    </r>
  </si>
  <si>
    <t>Manto/Skarn/Epithermal?</t>
  </si>
  <si>
    <t>Orogenic Au?</t>
  </si>
  <si>
    <t>Sediment-hosted Pb-Zn?</t>
  </si>
  <si>
    <r>
      <t/>
    </r>
    <r>
      <rPr>
        <sz val="10"/>
        <color rgb="FF000000"/>
        <rFont val="Arial"/>
        <family val="2"/>
      </rPr>
      <t xml:space="preserve">Jabali </t>
    </r>
    <r>
      <rPr>
        <b/>
        <sz val="10"/>
        <color rgb="FF0000ff"/>
        <rFont val="Arial"/>
        <family val="2"/>
      </rPr>
      <t>Stockpile</t>
    </r>
  </si>
  <si>
    <t>Skarn?</t>
  </si>
  <si>
    <t>Skarn/Epithermal?</t>
  </si>
  <si>
    <t>VMS?</t>
  </si>
  <si>
    <r>
      <t/>
    </r>
    <r>
      <rPr>
        <sz val="10"/>
        <color rgb="FF000000"/>
        <rFont val="Arial"/>
        <family val="2"/>
      </rPr>
      <t xml:space="preserve">Shaimerden </t>
    </r>
    <r>
      <rPr>
        <b/>
        <sz val="10"/>
        <color rgb="FF0000ff"/>
        <rFont val="Arial"/>
        <family val="2"/>
      </rPr>
      <t>Stockpile</t>
    </r>
  </si>
  <si>
    <r>
      <t/>
    </r>
    <r>
      <rPr>
        <sz val="10"/>
        <color rgb="FF000000"/>
        <rFont val="Arial"/>
        <family val="2"/>
      </rPr>
      <t xml:space="preserve">Zeehan Group </t>
    </r>
    <r>
      <rPr>
        <b/>
        <sz val="10"/>
        <color rgb="FF008000"/>
        <rFont val="Arial"/>
        <family val="2"/>
      </rPr>
      <t>Slag</t>
    </r>
  </si>
  <si>
    <r>
      <t/>
    </r>
    <r>
      <rPr>
        <sz val="10"/>
        <color rgb="FF000000"/>
        <rFont val="Arial"/>
        <family val="2"/>
      </rPr>
      <t xml:space="preserve">Epithermal ? </t>
    </r>
    <r>
      <rPr>
        <b/>
        <sz val="10"/>
        <color rgb="FFff0000"/>
        <rFont val="Arial"/>
        <family val="2"/>
      </rPr>
      <t>Tailings</t>
    </r>
  </si>
  <si>
    <t>VMS? Tailings</t>
  </si>
  <si>
    <r>
      <t/>
    </r>
    <r>
      <rPr>
        <sz val="10"/>
        <color rgb="FF000000"/>
        <rFont val="Arial"/>
        <family val="2"/>
      </rPr>
      <t xml:space="preserve">Sediment-hosted Pb-Zn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</si>
  <si>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Mesothermal Vein </t>
    </r>
    <r>
      <rPr>
        <b/>
        <sz val="10"/>
        <color rgb="FFff0000"/>
        <rFont val="Arial"/>
        <family val="2"/>
      </rPr>
      <t>Tailings</t>
    </r>
  </si>
  <si>
    <t>World</t>
  </si>
  <si>
    <t>No.</t>
  </si>
  <si>
    <t>Country</t>
  </si>
  <si>
    <t>Algeria</t>
  </si>
  <si>
    <t>Argentina</t>
  </si>
  <si>
    <t>Armenia</t>
  </si>
  <si>
    <t>Australia</t>
  </si>
  <si>
    <t>Azerbaijan</t>
  </si>
  <si>
    <t>Bolivia</t>
  </si>
  <si>
    <t>Botswana</t>
  </si>
  <si>
    <t>Brazil</t>
  </si>
  <si>
    <t>Burkina Faso</t>
  </si>
  <si>
    <t>Canada</t>
  </si>
  <si>
    <t>Chile</t>
  </si>
  <si>
    <t>China</t>
  </si>
  <si>
    <t>Columbia</t>
  </si>
  <si>
    <t>Cuba</t>
  </si>
  <si>
    <t>Dem. Rep. Congo</t>
  </si>
  <si>
    <t>Dominican Rep.</t>
  </si>
  <si>
    <t>Ecuador</t>
  </si>
  <si>
    <t>Egypt</t>
  </si>
  <si>
    <t>Eritrea</t>
  </si>
  <si>
    <t>Finland</t>
  </si>
  <si>
    <t>France</t>
  </si>
  <si>
    <t>Georgia</t>
  </si>
  <si>
    <t>Germany</t>
  </si>
  <si>
    <t>Greece</t>
  </si>
  <si>
    <t>Greenland</t>
  </si>
  <si>
    <t>Guatemala</t>
  </si>
  <si>
    <t>Honduras</t>
  </si>
  <si>
    <t>India</t>
  </si>
  <si>
    <t>Indonesia</t>
  </si>
  <si>
    <t>International</t>
  </si>
  <si>
    <t>Iran</t>
  </si>
  <si>
    <t>Ireland</t>
  </si>
  <si>
    <t>Kazakhstan</t>
  </si>
  <si>
    <t>Kenya</t>
  </si>
  <si>
    <t>Kyrgyzstan</t>
  </si>
  <si>
    <t>Laos</t>
  </si>
  <si>
    <t>Mexico</t>
  </si>
  <si>
    <t>Montenegro</t>
  </si>
  <si>
    <t>Morocco</t>
  </si>
  <si>
    <t>Namibia</t>
  </si>
  <si>
    <t>Nepal</t>
  </si>
  <si>
    <t>North Korea</t>
  </si>
  <si>
    <t>Pakistan</t>
  </si>
  <si>
    <t>Peru</t>
  </si>
  <si>
    <t>Philippines</t>
  </si>
  <si>
    <t>PNG</t>
  </si>
  <si>
    <t>Poland</t>
  </si>
  <si>
    <t>Portugal</t>
  </si>
  <si>
    <t>Romania</t>
  </si>
  <si>
    <t>Russia</t>
  </si>
  <si>
    <t>Saudi Arabia</t>
  </si>
  <si>
    <t>Serbia</t>
  </si>
  <si>
    <t>South Africa</t>
  </si>
  <si>
    <t>South Korea</t>
  </si>
  <si>
    <t>Spain</t>
  </si>
  <si>
    <t>Sudan</t>
  </si>
  <si>
    <t>Sweden</t>
  </si>
  <si>
    <t>Tajikistan</t>
  </si>
  <si>
    <t>Tanzania</t>
  </si>
  <si>
    <t>Thailand</t>
  </si>
  <si>
    <t>Tunisia</t>
  </si>
  <si>
    <t>Turkey</t>
  </si>
  <si>
    <t>UK</t>
  </si>
  <si>
    <t>USA</t>
  </si>
  <si>
    <t>Uzbekistan</t>
  </si>
  <si>
    <t>Wales</t>
  </si>
  <si>
    <t>Yemen</t>
  </si>
  <si>
    <t>Zambia</t>
  </si>
  <si>
    <t>b</t>
  </si>
  <si>
    <t>Maximum</t>
  </si>
  <si>
    <t>Total / Average</t>
  </si>
  <si>
    <t>Company</t>
  </si>
  <si>
    <t>Source</t>
  </si>
  <si>
    <t>ore.%Pb</t>
  </si>
  <si>
    <t>ore.%Zn</t>
  </si>
  <si>
    <t>ore.g/t Ag</t>
  </si>
  <si>
    <t>ore.%Cu</t>
  </si>
  <si>
    <t>ore.g/t Au</t>
  </si>
  <si>
    <t>%metals</t>
  </si>
  <si>
    <t>Mt metals</t>
  </si>
  <si>
    <t>unknown</t>
  </si>
  <si>
    <t>USGS OFR 1297</t>
  </si>
  <si>
    <t>Leach et al (2005)</t>
  </si>
  <si>
    <t>formerly Celamin Holdings</t>
  </si>
  <si>
    <t>Annual Report 2011</t>
  </si>
  <si>
    <t>Terramin Australia</t>
  </si>
  <si>
    <t>Annual Report 2013</t>
  </si>
  <si>
    <t>Cancor Mines</t>
  </si>
  <si>
    <t>Tech Rep (2012-02)</t>
  </si>
  <si>
    <t>Glencore Xstrata</t>
  </si>
  <si>
    <t>Reserves-Resources 2013</t>
  </si>
  <si>
    <t>McEwen Mining</t>
  </si>
  <si>
    <t>Tech Rep (2013-10)</t>
  </si>
  <si>
    <t>Pan American Silver Corp.</t>
  </si>
  <si>
    <t>Ann Info Form 2013</t>
  </si>
  <si>
    <t>Argentex Mining Corp</t>
  </si>
  <si>
    <t>Tech Rep (2014-08)</t>
  </si>
  <si>
    <t>Silver Standard</t>
  </si>
  <si>
    <t>Mederer et al 2014</t>
  </si>
  <si>
    <t>Global Metals</t>
  </si>
  <si>
    <t>Website (2016-05-01)</t>
  </si>
  <si>
    <t>Dundee Precious Metals</t>
  </si>
  <si>
    <t>Calder et al (2014)</t>
  </si>
  <si>
    <t>Global Gold Corp</t>
  </si>
  <si>
    <t>Website (2014-08-11)</t>
  </si>
  <si>
    <t>Kagara</t>
  </si>
  <si>
    <t>Ann Rep 2011</t>
  </si>
  <si>
    <t>Zeehan Zinc / Creat Resources Holdings</t>
  </si>
  <si>
    <t>Media (2009-03-29)</t>
  </si>
  <si>
    <t>Breakaway Resources (now Minotaur Exploration)</t>
  </si>
  <si>
    <t>Ann Rep 2012</t>
  </si>
  <si>
    <t>Glencore (?)</t>
  </si>
  <si>
    <t>Minedex (2013-05-05)</t>
  </si>
  <si>
    <t>Ann Rep 2013</t>
  </si>
  <si>
    <t>Magmatic sulfide</t>
  </si>
  <si>
    <t>Hunnan Australia Resources</t>
  </si>
  <si>
    <t>Ann Rep 2007 (Compass Res.)</t>
  </si>
  <si>
    <t>Artemis Resources (?)</t>
  </si>
  <si>
    <t>Kidman Resources</t>
  </si>
  <si>
    <t>Ann Rep 2015</t>
  </si>
  <si>
    <t>Ironbark Zinc</t>
  </si>
  <si>
    <t>Website (2013-03-22)</t>
  </si>
  <si>
    <t>Independence Group</t>
  </si>
  <si>
    <t>Kingsgate Consolidated</t>
  </si>
  <si>
    <t>Perilya Mines</t>
  </si>
  <si>
    <t>media (2012-12-28)</t>
  </si>
  <si>
    <t>Toho Zinc</t>
  </si>
  <si>
    <t>Ann Rep 2009 (CBH)</t>
  </si>
  <si>
    <t>Comet Resources</t>
  </si>
  <si>
    <t>Ann Rep 2007</t>
  </si>
  <si>
    <t>HNC Australia Resources</t>
  </si>
  <si>
    <t>NT DME Fact Sheet 2013-09</t>
  </si>
  <si>
    <t>Admiralty Resources</t>
  </si>
  <si>
    <t>Mancala Resources Pty Ltd</t>
  </si>
  <si>
    <t>DPEMP (2014)</t>
  </si>
  <si>
    <t>Crocodile Gold</t>
  </si>
  <si>
    <t>Tech Rep (2013-07)</t>
  </si>
  <si>
    <t>BHP Billiton</t>
  </si>
  <si>
    <t>Aust Mines Atlas (2013-10-01)</t>
  </si>
  <si>
    <t>MMG</t>
  </si>
  <si>
    <t>Capital Mining</t>
  </si>
  <si>
    <t>Malachite Resources</t>
  </si>
  <si>
    <t>Ann Rep 2009</t>
  </si>
  <si>
    <t>Troy Resources</t>
  </si>
  <si>
    <t>Fitzroy Resources</t>
  </si>
  <si>
    <t>TNG Ltd (sold to Legacy Iron late 2013)</t>
  </si>
  <si>
    <t>Massive Resources Pty Ltd</t>
  </si>
  <si>
    <t>SA DMITRE Website (2014-12-15)</t>
  </si>
  <si>
    <t>Northern Star Resources</t>
  </si>
  <si>
    <t>Tech Rep (2013-04) (Couer Mining)</t>
  </si>
  <si>
    <t>Westgold Resources (now Metals-X)</t>
  </si>
  <si>
    <t>Bass Metals</t>
  </si>
  <si>
    <t>Firestrike Resources</t>
  </si>
  <si>
    <t>Icon Resources</t>
  </si>
  <si>
    <t>Website (2013-03-24)</t>
  </si>
  <si>
    <r>
      <t/>
    </r>
    <r>
      <rPr>
        <sz val="10"/>
        <color rgb="FFff0000"/>
        <rFont val="Arial"/>
        <family val="2"/>
      </rPr>
      <t xml:space="preserve">VMS </t>
    </r>
    <r>
      <rPr>
        <b/>
        <sz val="10"/>
        <color rgb="FFff0000"/>
        <rFont val="Arial"/>
        <family val="2"/>
      </rPr>
      <t>Tailings</t>
    </r>
  </si>
  <si>
    <t>TC</t>
  </si>
  <si>
    <t>Ivy Resources</t>
  </si>
  <si>
    <t>Ann Rep 2011 (Bass Metals)</t>
  </si>
  <si>
    <t>YTC Resources</t>
  </si>
  <si>
    <t>Frontier Resources (?)</t>
  </si>
  <si>
    <t>Kagara (?)</t>
  </si>
  <si>
    <t>Ann Rep 2011 (Copper Strike)</t>
  </si>
  <si>
    <t>KGL-Kentor Gold</t>
  </si>
  <si>
    <t>RMG</t>
  </si>
  <si>
    <t>Venturex Resources</t>
  </si>
  <si>
    <t>Paradigm Metals</t>
  </si>
  <si>
    <t>Argent Minerals</t>
  </si>
  <si>
    <t>Ausmon Resources</t>
  </si>
  <si>
    <t>Argonaut Resources</t>
  </si>
  <si>
    <t>Media (2009-06-11)</t>
  </si>
  <si>
    <t>ResV ResC 2013</t>
  </si>
  <si>
    <t>North-West Mining &amp; Geology Group (formerly Meridian Minerals)</t>
  </si>
  <si>
    <t>Laconia Resources (sold to Musketeer Minerals Pty Ltd late 2013)</t>
  </si>
  <si>
    <t>TriAusMin</t>
  </si>
  <si>
    <t>Ivernia</t>
  </si>
  <si>
    <t>Metals Australia</t>
  </si>
  <si>
    <t>Williams &amp; Heinemann (1993)</t>
  </si>
  <si>
    <t>Forge Resources / Capital Mining</t>
  </si>
  <si>
    <t>Ann Rep 2013 (Capital)</t>
  </si>
  <si>
    <t>Inova Res. (formerly Ivanhoe Aust.)</t>
  </si>
  <si>
    <t>Tech Rep (2010-10)</t>
  </si>
  <si>
    <t>Aust Mines Atlas (2013-09-30)</t>
  </si>
  <si>
    <t>3D Resources</t>
  </si>
  <si>
    <t>Stavely Minerals</t>
  </si>
  <si>
    <t>Media (2015-09-08)</t>
  </si>
  <si>
    <t>Artemis Resources</t>
  </si>
  <si>
    <t>Curtain Bros (Qld)</t>
  </si>
  <si>
    <t>Qld Met. Ind. Mines 2012</t>
  </si>
  <si>
    <t>Black Raven Mining</t>
  </si>
  <si>
    <t>Hunan Nonferrous Metals</t>
  </si>
  <si>
    <t>Ann Rep 2010 (Jabiru Metals; also Minedex)</t>
  </si>
  <si>
    <t>Rox Resources</t>
  </si>
  <si>
    <t>Torque Mining (formerly Frontier Resources)</t>
  </si>
  <si>
    <t>Prospectus (2013-07)</t>
  </si>
  <si>
    <t>media (2008-09-26) (Axiom Mining)</t>
  </si>
  <si>
    <t>MacPhersons Resources</t>
  </si>
  <si>
    <t>Tech Rep (2013-11)</t>
  </si>
  <si>
    <t>Prospect Resources (formerly Ethan Minerals)</t>
  </si>
  <si>
    <t>Newcrest Mining</t>
  </si>
  <si>
    <t>Anglo Australian Resources</t>
  </si>
  <si>
    <t>KBL Mining</t>
  </si>
  <si>
    <t>Balamara Resources (Sultan Corp)</t>
  </si>
  <si>
    <t>Pegmont Mines</t>
  </si>
  <si>
    <t>Investigator Resources</t>
  </si>
  <si>
    <t>Media (2013-10-15)</t>
  </si>
  <si>
    <t>Prairie Downs Metals (now Brumby Resources)</t>
  </si>
  <si>
    <t>Caravel Minerals (formerly Silver Swan Group)</t>
  </si>
  <si>
    <t>Onslow Minerals</t>
  </si>
  <si>
    <t>Qtr 2012-06</t>
  </si>
  <si>
    <t>TNG Ltd</t>
  </si>
  <si>
    <t>Stonehenge Metals (?)</t>
  </si>
  <si>
    <t>Alcyone Resources</t>
  </si>
  <si>
    <t>Ann Rep 2008</t>
  </si>
  <si>
    <t>Media (2016-06-01)</t>
  </si>
  <si>
    <t>Silver Lake Resources</t>
  </si>
  <si>
    <t>Ann Rep 2012/2013</t>
  </si>
  <si>
    <t>De Grey Mining</t>
  </si>
  <si>
    <t>MMG51%, Golden Cross Resources49%</t>
  </si>
  <si>
    <t>Ann Rep 2001 (GCR)</t>
  </si>
  <si>
    <t>Aeon Metals</t>
  </si>
  <si>
    <t>ASX (2014-04-03)</t>
  </si>
  <si>
    <t>Silver Mines</t>
  </si>
  <si>
    <t>Fox Resources</t>
  </si>
  <si>
    <t>Cobar Consolidated Resources</t>
  </si>
  <si>
    <t>Inv Pres 2014-03</t>
  </si>
  <si>
    <r>
      <t/>
    </r>
    <r>
      <rPr>
        <sz val="10"/>
        <color rgb="FF000000"/>
        <rFont val="Arial"/>
        <family val="2"/>
      </rPr>
      <t xml:space="preserve">VMS </t>
    </r>
    <r>
      <rPr>
        <b/>
        <sz val="10"/>
        <color rgb="FF008000"/>
        <rFont val="Arial"/>
        <family val="2"/>
      </rPr>
      <t>Slag</t>
    </r>
  </si>
  <si>
    <t>Intec Ltd</t>
  </si>
  <si>
    <t>Ann Rep 2007, 2013</t>
  </si>
  <si>
    <t>Azerbaijan Gov't website (2015-04-24)</t>
  </si>
  <si>
    <t>Apogee Minerals</t>
  </si>
  <si>
    <t>Tech Rep (2007-11)</t>
  </si>
  <si>
    <t>Tech Rep (2007-05)</t>
  </si>
  <si>
    <t>South American Silver Corp</t>
  </si>
  <si>
    <t>Tech Rep (2011-05)</t>
  </si>
  <si>
    <t>Apogee Minerals, COMIBOL</t>
  </si>
  <si>
    <t>Tech Rep (2013-01)</t>
  </si>
  <si>
    <t>Mt Burgess Mining</t>
  </si>
  <si>
    <t>Votorantim Metais-70%, Karmin Expl-30%</t>
  </si>
  <si>
    <t>Tech Rep (2013-02)</t>
  </si>
  <si>
    <t>Misi et al (1999)</t>
  </si>
  <si>
    <t>Cunha et al (2000)</t>
  </si>
  <si>
    <t>Filho et al (2001)</t>
  </si>
  <si>
    <t>Brandão et al (2000)</t>
  </si>
  <si>
    <t>Monteiro et al (2007)</t>
  </si>
  <si>
    <t>Abcourt Mines Inc</t>
  </si>
  <si>
    <t>Tech Rep (2014-04)</t>
  </si>
  <si>
    <t>Canada Zinc Metals</t>
  </si>
  <si>
    <t>Tech Rep (2012-05)</t>
  </si>
  <si>
    <t>Abcourt Mines</t>
  </si>
  <si>
    <t>Ann Info Form 2011</t>
  </si>
  <si>
    <t>BC OFR (1998-10)</t>
  </si>
  <si>
    <t>Overland Resources</t>
  </si>
  <si>
    <t>unknown (Solid Res. Now Iberian Mins.??)</t>
  </si>
  <si>
    <t>NWT Guide 2007</t>
  </si>
  <si>
    <t>Chibougamau Independent Mines Inc</t>
  </si>
  <si>
    <t>Tech Rep (2012-08)</t>
  </si>
  <si>
    <t>Chieftain Metals</t>
  </si>
  <si>
    <t>Tech Rep (2010-11)</t>
  </si>
  <si>
    <t>Min Deps Canada 2007 Goodfellow &amp; Lydon</t>
  </si>
  <si>
    <t>Jazz Resources</t>
  </si>
  <si>
    <t>Blind Creek Resources (formerly Eagle Plains Res.)</t>
  </si>
  <si>
    <t>Tech Rep (2007-08)</t>
  </si>
  <si>
    <t>Mountain Lake Resources</t>
  </si>
  <si>
    <t>Tech Rep (2008-09)</t>
  </si>
  <si>
    <t>Canadian Zinc Corp</t>
  </si>
  <si>
    <t>Manicougan Minerals</t>
  </si>
  <si>
    <t>DNI Metals</t>
  </si>
  <si>
    <t>Tech Rep (2014-01)</t>
  </si>
  <si>
    <t>(see Gatineau, Midland Expl'n)</t>
  </si>
  <si>
    <t>BC OFR (1998-10), MINFILE 092L-061</t>
  </si>
  <si>
    <t>Trevali Mining Corp.</t>
  </si>
  <si>
    <t>Explor Resources</t>
  </si>
  <si>
    <t>Reva Resources</t>
  </si>
  <si>
    <t>Teck Resources-50%, Korea Zinc-50%</t>
  </si>
  <si>
    <t>(Canada Zinc Metals; Tech Rep 2012-05 Pie)</t>
  </si>
  <si>
    <t>Yukon Gov't Zn profile</t>
  </si>
  <si>
    <t>Golden Predator (formerly Redtail Metals)</t>
  </si>
  <si>
    <t>Tech Rep (2010-02)</t>
  </si>
  <si>
    <t>Rich River Exploration (?)</t>
  </si>
  <si>
    <t>Corp Brochure</t>
  </si>
  <si>
    <t>Virginia Mines Inc</t>
  </si>
  <si>
    <t>Tech Rep (2009-05)</t>
  </si>
  <si>
    <t>Glencore Xstrata (?)</t>
  </si>
  <si>
    <t>Gold Reach Resources</t>
  </si>
  <si>
    <t>Website (2016-07-11)</t>
  </si>
  <si>
    <t>Seabridge Gold (?)</t>
  </si>
  <si>
    <t>Vior Expl. &amp; Mining website (2014-07-27)</t>
  </si>
  <si>
    <t>Teck Resources</t>
  </si>
  <si>
    <t>Teck</t>
  </si>
  <si>
    <t>BC Geol Surv</t>
  </si>
  <si>
    <t>Avalon Rare Metals</t>
  </si>
  <si>
    <t>Factsheet</t>
  </si>
  <si>
    <t>Geol Innuit 1991</t>
  </si>
  <si>
    <t>Atna Resources</t>
  </si>
  <si>
    <t>Min Deps Canada 2007 Paradis et al</t>
  </si>
  <si>
    <t>Cogitore Resources</t>
  </si>
  <si>
    <t>Tech Rep (2008-12)</t>
  </si>
  <si>
    <t>Ann Info Form 2008</t>
  </si>
  <si>
    <t>Fyre Lake Tech Rep (Pacific Ridge)</t>
  </si>
  <si>
    <t>Regulus Resources (formerly Jandar Res.)</t>
  </si>
  <si>
    <t>Tech Rep (2006-03; Jandar Res.)</t>
  </si>
  <si>
    <t>unknown (Eagle Plains Res.??)</t>
  </si>
  <si>
    <t>unknown (formerly Golden Arch Resources?)</t>
  </si>
  <si>
    <t>Tech Rep (2007-04)</t>
  </si>
  <si>
    <t>Shaanxi Non-ferrous Metals Holding Group Co Ltd</t>
  </si>
  <si>
    <t>unknown (Prism Reosurces?)</t>
  </si>
  <si>
    <t>Tech Rep (2011-08)</t>
  </si>
  <si>
    <t>Falco Resources</t>
  </si>
  <si>
    <t>Tech Rep (2014-05)</t>
  </si>
  <si>
    <t>Chihong Canada Mining (formerly Selwyn Resources)</t>
  </si>
  <si>
    <t>Ann Info Form 2012</t>
  </si>
  <si>
    <t>Lions Gate Metals</t>
  </si>
  <si>
    <t>Tech Rep (2005-04)</t>
  </si>
  <si>
    <t>HudBay Minerals</t>
  </si>
  <si>
    <t>Tech Rep (2008-01)</t>
  </si>
  <si>
    <t>HudBay Minerals-70%, VMS Ventures-30%</t>
  </si>
  <si>
    <t>Murgor Resources</t>
  </si>
  <si>
    <t>Tech Rep (2008-10)</t>
  </si>
  <si>
    <t>Panarc Resources</t>
  </si>
  <si>
    <t>Brochure</t>
  </si>
  <si>
    <t>Snip Gold Corp</t>
  </si>
  <si>
    <t>Huakan International Mining</t>
  </si>
  <si>
    <t>Tech Rep (2012-04)</t>
  </si>
  <si>
    <t>Website (2014-10-26)</t>
  </si>
  <si>
    <t>Merrex Gold</t>
  </si>
  <si>
    <t>Tech Rep (2009-02)</t>
  </si>
  <si>
    <t>Silver Range Resources</t>
  </si>
  <si>
    <t>Tech Rep (2013-05)</t>
  </si>
  <si>
    <t>unknown (Axmin Inc??)</t>
  </si>
  <si>
    <t>Alexco Resource Corp.</t>
  </si>
  <si>
    <t>Tech Rep (2013-12)</t>
  </si>
  <si>
    <t>Tech Rep (2013-03)</t>
  </si>
  <si>
    <t>Tech Rep (2011-09)</t>
  </si>
  <si>
    <t>Avanti Mining</t>
  </si>
  <si>
    <t>Tech Rep (2014-03)</t>
  </si>
  <si>
    <t>Rockhaven Resources</t>
  </si>
  <si>
    <t>Tech Rep (2015-01)</t>
  </si>
  <si>
    <t>Ann Info Form 2005</t>
  </si>
  <si>
    <t>Capstone Mining</t>
  </si>
  <si>
    <t>Agnico Eagle Mines</t>
  </si>
  <si>
    <t>Nyrstar</t>
  </si>
  <si>
    <t>Treasury Metals</t>
  </si>
  <si>
    <t>Tech Rep (2012-03)</t>
  </si>
  <si>
    <t>Landore Resources</t>
  </si>
  <si>
    <t>Thundermin Resources</t>
  </si>
  <si>
    <t>Yukon Zinc Corp</t>
  </si>
  <si>
    <t>Company Fact Sheet (2014-06)</t>
  </si>
  <si>
    <t>Minco Silver</t>
  </si>
  <si>
    <t>ALQ Gold Corp</t>
  </si>
  <si>
    <t>Globex Mining</t>
  </si>
  <si>
    <t>Tech Rep (2011-06)</t>
  </si>
  <si>
    <t>Website (2016-02-04)</t>
  </si>
  <si>
    <t>Foran Mining Corp</t>
  </si>
  <si>
    <t>Tech Rep (from media 2013-03-27)</t>
  </si>
  <si>
    <t>Tech Rep (2014-11)</t>
  </si>
  <si>
    <t>Noranda-type</t>
  </si>
  <si>
    <t>Rambler Metals &amp; Mining</t>
  </si>
  <si>
    <t>Tech Rep (2015-11)</t>
  </si>
  <si>
    <t>Adex Mining</t>
  </si>
  <si>
    <t>Votorantim Metais, El Nino</t>
  </si>
  <si>
    <t>Slam Resources</t>
  </si>
  <si>
    <t>Tech Rep (2012-07)</t>
  </si>
  <si>
    <t>Northaven Resources Corp (?)</t>
  </si>
  <si>
    <t>Grizzly Discoveries</t>
  </si>
  <si>
    <t>unknown (Victoria Gold Corp?)</t>
  </si>
  <si>
    <t>Golden Share Mining Corp</t>
  </si>
  <si>
    <t>Tech Rep (2013-06)</t>
  </si>
  <si>
    <t>Tamerlane Ventures</t>
  </si>
  <si>
    <t>Newmarket Gold</t>
  </si>
  <si>
    <t>Tech Rep (2013-09)</t>
  </si>
  <si>
    <t>Canadian Zinc Corp.</t>
  </si>
  <si>
    <t>Tech Rep (2012-06)</t>
  </si>
  <si>
    <t>37 Capitral</t>
  </si>
  <si>
    <t>Tech Rep (2008-02)</t>
  </si>
  <si>
    <t>Silver Phoenix Resources</t>
  </si>
  <si>
    <t>BC MINFILE 094B 005</t>
  </si>
  <si>
    <t>Pacific North West Capital</t>
  </si>
  <si>
    <t>Tech Rep (2011-02)</t>
  </si>
  <si>
    <t>Tech Rep (2014-02)</t>
  </si>
  <si>
    <t>Imperial Metals Corp.</t>
  </si>
  <si>
    <t>see also Silver Phoenix (River Jordan), Selkirk Metals ??</t>
  </si>
  <si>
    <t>Jasper Mining</t>
  </si>
  <si>
    <t>JDS Silver</t>
  </si>
  <si>
    <t>Ann Info Form 2005 (Teck)</t>
  </si>
  <si>
    <t>Selwyn Resources</t>
  </si>
  <si>
    <t>Tech Rep (2011-07)</t>
  </si>
  <si>
    <t>Sendero Mining Corp (formerly Halo Resources)</t>
  </si>
  <si>
    <t>Jayden Resources</t>
  </si>
  <si>
    <t>Tech Rep (2013-08)</t>
  </si>
  <si>
    <t>CMC Metals</t>
  </si>
  <si>
    <t>Tech Rep (2010-01)</t>
  </si>
  <si>
    <t>New Nadina Exploration</t>
  </si>
  <si>
    <t>Tech Rep (1996-02)</t>
  </si>
  <si>
    <t>Tech Rep (2002-10; Silver Standard)</t>
  </si>
  <si>
    <t>Steadman &amp; Spry 2015</t>
  </si>
  <si>
    <t>Website (2014-10-31)</t>
  </si>
  <si>
    <t>Northavn Resources Corp</t>
  </si>
  <si>
    <t>Yukon Gov't Zn profile; PorterGeo</t>
  </si>
  <si>
    <t>Wolfden Resources Corp</t>
  </si>
  <si>
    <t>Northern Freegold Resources</t>
  </si>
  <si>
    <t>Tech Rep (2009-08)</t>
  </si>
  <si>
    <t>Taranis Resources</t>
  </si>
  <si>
    <t>Tech Rep (213-08)</t>
  </si>
  <si>
    <t>Beaufield Resources</t>
  </si>
  <si>
    <t>Huldra Silver</t>
  </si>
  <si>
    <t>PJX Resources</t>
  </si>
  <si>
    <t>Nova Scotia MinFile 2008</t>
  </si>
  <si>
    <t>Falco Resources, Glencore Xstrata</t>
  </si>
  <si>
    <t>Tech Rep (2007-10)</t>
  </si>
  <si>
    <t>Devonian Metals</t>
  </si>
  <si>
    <t>Savant Explorations</t>
  </si>
  <si>
    <t>Apogee Minerals, Valencia Ventures</t>
  </si>
  <si>
    <t>Tech Rep (2010-04)</t>
  </si>
  <si>
    <t>Yamana Gold</t>
  </si>
  <si>
    <t>Herencia Resources</t>
  </si>
  <si>
    <t>Cu-Au-Ag-Zn</t>
  </si>
  <si>
    <t>Metminco</t>
  </si>
  <si>
    <t>Website (2016-06-25)</t>
  </si>
  <si>
    <t>Shanjinaerhada Mining</t>
  </si>
  <si>
    <t>ILZSG database (2016-03-02)</t>
  </si>
  <si>
    <t>Chifeng Nonferrous Metals Corp</t>
  </si>
  <si>
    <t>ILZSG database; CNMI website</t>
  </si>
  <si>
    <t>Yunnan Gold Mining Group?</t>
  </si>
  <si>
    <t>Zhou et al (2016)</t>
  </si>
  <si>
    <t>Silvercorp Metals</t>
  </si>
  <si>
    <t>Griffin Mining</t>
  </si>
  <si>
    <t>Baiyin Nonferrous</t>
  </si>
  <si>
    <t>ILZSG database (2016-07-12)</t>
  </si>
  <si>
    <t>China Polymetallic Mining</t>
  </si>
  <si>
    <t>Li et al (2016)</t>
  </si>
  <si>
    <t>Zijin Mining</t>
  </si>
  <si>
    <t>China Gold International Resources Corp</t>
  </si>
  <si>
    <t>Naneco Minerals, Vina Mineral Res, Hullunbeir</t>
  </si>
  <si>
    <t>MCC</t>
  </si>
  <si>
    <t>MCC JV</t>
  </si>
  <si>
    <t>Tech Rep (2009-07)</t>
  </si>
  <si>
    <t>Marshall Minerals, CNMI, Quinsun</t>
  </si>
  <si>
    <t>Continental Minerals</t>
  </si>
  <si>
    <t>Tech Rep (2014-07)</t>
  </si>
  <si>
    <t>U3O8 Corp</t>
  </si>
  <si>
    <t>MDA 2011</t>
  </si>
  <si>
    <t>%P2O4, 497 g/t Y, 101 g/t Nd, 6.9 g/t Re, 37.3 %CaF2</t>
  </si>
  <si>
    <t>Russell et al (undated)</t>
  </si>
  <si>
    <t>Trafigura</t>
  </si>
  <si>
    <t>Ivanhoe Mines</t>
  </si>
  <si>
    <t>Tech Rep (2012-09)</t>
  </si>
  <si>
    <t>formerly Metorex</t>
  </si>
  <si>
    <t>Ann Rep 2010</t>
  </si>
  <si>
    <t>Dom. Rep.</t>
  </si>
  <si>
    <t>Perilya</t>
  </si>
  <si>
    <t>Tech Rep (2006-01)</t>
  </si>
  <si>
    <t>GoldQuest Mining Corp</t>
  </si>
  <si>
    <t>Salazar Resources</t>
  </si>
  <si>
    <t>Alexander Nubia</t>
  </si>
  <si>
    <t>Sunridge Gold Corp</t>
  </si>
  <si>
    <t>Nevsun Resources</t>
  </si>
  <si>
    <t>Altona Mining</t>
  </si>
  <si>
    <t>FinnAust Mining (Magnus Minerals-Western Areas)</t>
  </si>
  <si>
    <t>Geol Survey Finland</t>
  </si>
  <si>
    <t>First Quantum</t>
  </si>
  <si>
    <t>FinnAust Mining (formerly Western Areas, Magnus Minerals)</t>
  </si>
  <si>
    <t>Website (10-01-2013) (FinnAust Mining)</t>
  </si>
  <si>
    <t>Talvivaara</t>
  </si>
  <si>
    <t>NATO Sci 2002 v17</t>
  </si>
  <si>
    <t>High sulphidation</t>
  </si>
  <si>
    <t>NATO Sci 2002 v17; Migineishvili 2005</t>
  </si>
  <si>
    <t>Anglo Saxony Mining</t>
  </si>
  <si>
    <t>Website (2015-12-28)</t>
  </si>
  <si>
    <t>Tin International (Deutchse Rohstoff)</t>
  </si>
  <si>
    <t>Eldorado Gold</t>
  </si>
  <si>
    <t>Form-40F 2013</t>
  </si>
  <si>
    <t>Angel Mining</t>
  </si>
  <si>
    <t>Conf. Pres. 2011-11</t>
  </si>
  <si>
    <t>Thomassen (2005)</t>
  </si>
  <si>
    <t>Ann Rep 2013-14</t>
  </si>
  <si>
    <t>Greenland Energy &amp; Minerals</t>
  </si>
  <si>
    <t>Holly-Banderas (HB)-Escobal</t>
  </si>
  <si>
    <t>Radius Gold</t>
  </si>
  <si>
    <t>Firestone Ventures</t>
  </si>
  <si>
    <t>Indo Gold</t>
  </si>
  <si>
    <t>RBG Minerals (Binani Industries)</t>
  </si>
  <si>
    <t>Pebble Creek Mining</t>
  </si>
  <si>
    <t>Hindustan Zinc / Vedanta</t>
  </si>
  <si>
    <t>IMYB 2013</t>
  </si>
  <si>
    <t>Bumi Resources, PT Antam</t>
  </si>
  <si>
    <t>Diamond Fields International</t>
  </si>
  <si>
    <t>Website (2016-07-14)</t>
  </si>
  <si>
    <t>IMIDRO</t>
  </si>
  <si>
    <t>Daliran et al 2013</t>
  </si>
  <si>
    <t>Ehya et al 2010</t>
  </si>
  <si>
    <t>Bazargani-Guilani et al 2011</t>
  </si>
  <si>
    <t>Mawarid Mining</t>
  </si>
  <si>
    <t>Ann Rep 2012 (UCL Res.)</t>
  </si>
  <si>
    <t>Jazi et al (2016)</t>
  </si>
  <si>
    <t>Tech Rep 2010 (Rathdowney Res.)</t>
  </si>
  <si>
    <t>Ireland Gov't Top 55 brochure</t>
  </si>
  <si>
    <t>Vedanta</t>
  </si>
  <si>
    <t>Boliden</t>
  </si>
  <si>
    <t>Tau-Ken Samruk, Radington Industrial Consulting</t>
  </si>
  <si>
    <t>Kazakhmys (now KAZ Minerals)</t>
  </si>
  <si>
    <r>
      <t/>
    </r>
    <r>
      <rPr>
        <sz val="10"/>
        <color rgb="FFff0000"/>
        <rFont val="Arial"/>
        <family val="2"/>
      </rPr>
      <t xml:space="preserve">VMS? </t>
    </r>
    <r>
      <rPr>
        <b/>
        <sz val="10"/>
        <color rgb="FFff0000"/>
        <rFont val="Arial"/>
        <family val="2"/>
      </rPr>
      <t>Tailings</t>
    </r>
  </si>
  <si>
    <t>Glencore Xstrata / KazZinc</t>
  </si>
  <si>
    <r>
      <t/>
    </r>
    <r>
      <rPr>
        <sz val="10"/>
        <color rgb="FF000000"/>
        <rFont val="Arial"/>
        <family val="2"/>
      </rPr>
      <t xml:space="preserve">Shaimerden </t>
    </r>
    <r>
      <rPr>
        <b/>
        <sz val="10"/>
        <color rgb="FFff0000"/>
        <rFont val="Arial"/>
        <family val="2"/>
      </rPr>
      <t>Stockpile</t>
    </r>
  </si>
  <si>
    <t>SC</t>
  </si>
  <si>
    <t>ShalkiyaZinc</t>
  </si>
  <si>
    <t>Website (2014-10-26; translated)</t>
  </si>
  <si>
    <t>Ann Rep 2012 (note: not reported in 2013)</t>
  </si>
  <si>
    <t>African Barrick Gold-51%, Lonmin-49%</t>
  </si>
  <si>
    <t>Ann Rep 2012 (Aviva Corp)</t>
  </si>
  <si>
    <t>data Kyrgyz Investment Group</t>
  </si>
  <si>
    <t>Chaarat Gold Holdings</t>
  </si>
  <si>
    <t>Padaeng Industries</t>
  </si>
  <si>
    <t>Southern Copper Corp (Grupo Mexico)</t>
  </si>
  <si>
    <t>Form 10K 2013</t>
  </si>
  <si>
    <t>Jinchuan</t>
  </si>
  <si>
    <t>Tech Rep (2007-11; Tyler Res.)</t>
  </si>
  <si>
    <t>Xtierra</t>
  </si>
  <si>
    <t>Peñoles Group</t>
  </si>
  <si>
    <t>Baja Mining, KORES</t>
  </si>
  <si>
    <t>Tech Rep 2010-03</t>
  </si>
  <si>
    <t>Sierra Metals (formerly Dia Bras Expl'n)</t>
  </si>
  <si>
    <t>Grupo Mexico / SCC</t>
  </si>
  <si>
    <t>Goldcorp</t>
  </si>
  <si>
    <t>Impact Silver Corp</t>
  </si>
  <si>
    <t>Tech Rep (2011-01)</t>
  </si>
  <si>
    <t>Goldgroup Mining</t>
  </si>
  <si>
    <t>Pan American Goldfields</t>
  </si>
  <si>
    <t>MAG Silver Corp</t>
  </si>
  <si>
    <t>Tech Rep (2012-11)</t>
  </si>
  <si>
    <t>Levon Resources</t>
  </si>
  <si>
    <t>Tech Rep (2014-10)</t>
  </si>
  <si>
    <t>First Majestic Silver Corp</t>
  </si>
  <si>
    <r>
      <t/>
    </r>
    <r>
      <rPr>
        <sz val="10"/>
        <color rgb="FFff0000"/>
        <rFont val="Arial"/>
        <family val="2"/>
      </rPr>
      <t xml:space="preserve">Skarn </t>
    </r>
    <r>
      <rPr>
        <b/>
        <sz val="10"/>
        <color rgb="FFff0000"/>
        <rFont val="Arial"/>
        <family val="2"/>
      </rPr>
      <t>Tailings</t>
    </r>
  </si>
  <si>
    <t>TNC</t>
  </si>
  <si>
    <t>Azure Minerals</t>
  </si>
  <si>
    <t>Website (2015-02-24)</t>
  </si>
  <si>
    <t>Fresnillo</t>
  </si>
  <si>
    <t>Gold Resource Corp</t>
  </si>
  <si>
    <t>Tech Rep (2009-01)</t>
  </si>
  <si>
    <t>Aurcana Corp</t>
  </si>
  <si>
    <t>Sunshine Silver Mines</t>
  </si>
  <si>
    <t>Tech Rep (2012-12)</t>
  </si>
  <si>
    <t>Chesapeake Gold Corp</t>
  </si>
  <si>
    <t>Excellon Resources</t>
  </si>
  <si>
    <t>Fresnillo-56%, MAG Silver Corp-44%</t>
  </si>
  <si>
    <t>Ann Rep 2013 (Fresnillo)</t>
  </si>
  <si>
    <t>Santana Minerals</t>
  </si>
  <si>
    <t>Scorpio Mining Corp</t>
  </si>
  <si>
    <t>Tech Rep (2011-11)</t>
  </si>
  <si>
    <t>Industrias Penoles</t>
  </si>
  <si>
    <t>Ann Rep 2013; ILZSG database (2016-07-12)</t>
  </si>
  <si>
    <t>Santacruz Silver Mining</t>
  </si>
  <si>
    <t>Argonaut Gold</t>
  </si>
  <si>
    <t>ResV-ResC 2012 (Silver Std)</t>
  </si>
  <si>
    <t>Hochschild Mining</t>
  </si>
  <si>
    <t>Arian Silver Corp</t>
  </si>
  <si>
    <t>Teck-79%, Goldcorp-21%</t>
  </si>
  <si>
    <t>Ann Rep 2013 (Goldcorp)</t>
  </si>
  <si>
    <t>Hecla Mining</t>
  </si>
  <si>
    <t>Silver Bull Resources</t>
  </si>
  <si>
    <t>Tech (2013-12)</t>
  </si>
  <si>
    <t>Constellation Cu Corp (bankrupt)</t>
  </si>
  <si>
    <t>Great Panther Silver</t>
  </si>
  <si>
    <t>Golden Minerals</t>
  </si>
  <si>
    <t>Balamara Resources</t>
  </si>
  <si>
    <t>Maya Gold &amp; Silver</t>
  </si>
  <si>
    <t>Compagnie Minière des Guemassa</t>
  </si>
  <si>
    <t>USGS MYB 2010 Morocco</t>
  </si>
  <si>
    <t>Compagnie Minière de Touissit</t>
  </si>
  <si>
    <t>CMT Media (2014-05-29)</t>
  </si>
  <si>
    <t>China Africa Resources</t>
  </si>
  <si>
    <t>Vedanta, Glencore</t>
  </si>
  <si>
    <t>North River Resources</t>
  </si>
  <si>
    <r>
      <t/>
    </r>
    <r>
      <rPr>
        <sz val="10"/>
        <color rgb="FFff0000"/>
        <rFont val="Arial"/>
        <family val="2"/>
      </rPr>
      <t xml:space="preserve">Sediment-hosted Pb-Zn </t>
    </r>
    <r>
      <rPr>
        <b/>
        <sz val="10"/>
        <color rgb="FFff0000"/>
        <rFont val="Arial"/>
        <family val="2"/>
      </rPr>
      <t>Tailings</t>
    </r>
  </si>
  <si>
    <t>Gauert (2005)</t>
  </si>
  <si>
    <t>Weatherly International</t>
  </si>
  <si>
    <t>Baharani et al 2008</t>
  </si>
  <si>
    <t>DPRK Government</t>
  </si>
  <si>
    <t>Kyung-soo (2011)</t>
  </si>
  <si>
    <t>Accha (AZOD)</t>
  </si>
  <si>
    <t>Zincore Metals</t>
  </si>
  <si>
    <t>Volcan Compania Minera</t>
  </si>
  <si>
    <t>Buenaventura</t>
  </si>
  <si>
    <t>Southern Legacy Minerals</t>
  </si>
  <si>
    <t>BHP Billiton / Glencore Xstrata / Teck</t>
  </si>
  <si>
    <r>
      <t/>
    </r>
    <r>
      <rPr>
        <b/>
        <sz val="10"/>
        <color rgb="FFff0000"/>
        <rFont val="Arial"/>
        <family val="2"/>
      </rPr>
      <t>Glencore Xstrata</t>
    </r>
    <r>
      <rPr>
        <sz val="10"/>
        <color rgb="FF000000"/>
        <rFont val="Arial"/>
        <family val="2"/>
      </rPr>
      <t xml:space="preserve"> Reserves-Resources 2013</t>
    </r>
  </si>
  <si>
    <t>Southern Peaks Mining</t>
  </si>
  <si>
    <t>Website (2014-12-12)</t>
  </si>
  <si>
    <t>Compania Minera Milpo</t>
  </si>
  <si>
    <t>Tinka Resources</t>
  </si>
  <si>
    <t>Tech Rep (2015-03)</t>
  </si>
  <si>
    <t>Solitario Expl. &amp; Royalty Corp., Votorantim Metais</t>
  </si>
  <si>
    <t>Tech Rep (2014-06)</t>
  </si>
  <si>
    <t>Fortuna Silver Mines</t>
  </si>
  <si>
    <t>Bear Creek Mining Corp</t>
  </si>
  <si>
    <t>Tech Rep (2011-12)</t>
  </si>
  <si>
    <t>Reserves-Resources 2012 minus 2013 prod'n</t>
  </si>
  <si>
    <t>El Brocal / Buenaventura</t>
  </si>
  <si>
    <t>Form 20F 2013 (B)</t>
  </si>
  <si>
    <t>Website (2013-10-20)</t>
  </si>
  <si>
    <t>Lupaka Gold</t>
  </si>
  <si>
    <t>Rio Tinto</t>
  </si>
  <si>
    <t>Ann Rep's 2010 &amp; 2013</t>
  </si>
  <si>
    <t>Reserves-Resources 2012 (2007 data)</t>
  </si>
  <si>
    <t>Ann Rep 2013 (EB)</t>
  </si>
  <si>
    <t>TVI Pacific</t>
  </si>
  <si>
    <t>Website (2014-01-12)</t>
  </si>
  <si>
    <t>Alsons Grou-75%, Indophil-25%</t>
  </si>
  <si>
    <t>Ann Rep 2013 (Indophil)</t>
  </si>
  <si>
    <t>KMP Resources Inc. (?) (formerly Lafayette Mining)</t>
  </si>
  <si>
    <t>Ann Rep 2007 (Lafayette)</t>
  </si>
  <si>
    <t>Coppermoly</t>
  </si>
  <si>
    <t>Media (2012-07-24)</t>
  </si>
  <si>
    <t>Nautilus Minerals, PNG Gov.</t>
  </si>
  <si>
    <t>Rathdowney Resources</t>
  </si>
  <si>
    <t>Almina-Minas do Alentejo</t>
  </si>
  <si>
    <t>Portex Minerals</t>
  </si>
  <si>
    <t>Tech Rep (2012-01)</t>
  </si>
  <si>
    <t>Lundin Mining</t>
  </si>
  <si>
    <t>Grancea et al 2002</t>
  </si>
  <si>
    <t>Kouzmanov et al 2005</t>
  </si>
  <si>
    <t>Herrington et al, 2005</t>
  </si>
  <si>
    <t>Nordgold</t>
  </si>
  <si>
    <t>Ann Rep 2013, ILZSG (2016-07-12)</t>
  </si>
  <si>
    <t>Polymetal RU</t>
  </si>
  <si>
    <t>Leach et al, 2005</t>
  </si>
  <si>
    <t>MBC Corp</t>
  </si>
  <si>
    <t>Website (2015-04-24)</t>
  </si>
  <si>
    <t>Urals Mining &amp; Metallurgical Co. (UMMC)</t>
  </si>
  <si>
    <t>Min Deps Northeast Asia</t>
  </si>
  <si>
    <t>Highland Gold</t>
  </si>
  <si>
    <t>Baojin Mining (ILZSG db?)</t>
  </si>
  <si>
    <t>Rosatom, Atomredmetzoloto (ARMZ)</t>
  </si>
  <si>
    <t>Summa Group</t>
  </si>
  <si>
    <t>AMAK, Trecora Res. (formerly Arabian American Devt Co)</t>
  </si>
  <si>
    <t>Tech Rep (2009-09) (Trecora)</t>
  </si>
  <si>
    <t>Barrick Gold (formerly Equinox Res.)</t>
  </si>
  <si>
    <t>Ann Rep 2010 (Equinox)</t>
  </si>
  <si>
    <t>Alara-50%, United Arabian Mining Company (Manajem)-50%</t>
  </si>
  <si>
    <t>Aurasian Minerals</t>
  </si>
  <si>
    <t>Website (2016-05-19)</t>
  </si>
  <si>
    <t>Rosita Mining</t>
  </si>
  <si>
    <t>Armstrong et al (2005)</t>
  </si>
  <si>
    <t>Wheatley et al 1986</t>
  </si>
  <si>
    <t>Minéro Zinc</t>
  </si>
  <si>
    <t>Fin. Summary (Pering Base Metals Pty Ltd, 2010-12)</t>
  </si>
  <si>
    <t>Thabex</t>
  </si>
  <si>
    <t>Woulfe Mining Corp</t>
  </si>
  <si>
    <t>Website (2014-12-10)</t>
  </si>
  <si>
    <t>Iberian Minerals</t>
  </si>
  <si>
    <t>Tech Rep (2009-09)</t>
  </si>
  <si>
    <t>Petaquilla Minerals</t>
  </si>
  <si>
    <t>Cambridge Mineral Resources</t>
  </si>
  <si>
    <t>Pres. (undated, website 2014-01-12)</t>
  </si>
  <si>
    <t>Weatherly Investments II (formerly La Mancha)</t>
  </si>
  <si>
    <t>Tech Rep (2012-08; La Mancha)</t>
  </si>
  <si>
    <t>Orex Minerals</t>
  </si>
  <si>
    <t>Aura Energy</t>
  </si>
  <si>
    <t>Continental Precious Minerals</t>
  </si>
  <si>
    <t>Avalon Minerals</t>
  </si>
  <si>
    <t>Media (2011-11-29)</t>
  </si>
  <si>
    <t>Tajik Gov't</t>
  </si>
  <si>
    <t>East Africa Metals</t>
  </si>
  <si>
    <t>unknown (formerly Maghreb Minerals plc)</t>
  </si>
  <si>
    <t>Maghreb Mins. Pres. (Finex'08), Media 2007-12-13</t>
  </si>
  <si>
    <t>Ann Report (2007)</t>
  </si>
  <si>
    <t>Media 2007-03-07</t>
  </si>
  <si>
    <t>Media 2006-12-07</t>
  </si>
  <si>
    <t>Mediterranean Resources</t>
  </si>
  <si>
    <t>Red Crescent Resources</t>
  </si>
  <si>
    <t>Nesko</t>
  </si>
  <si>
    <t>Türkiye (2013)</t>
  </si>
  <si>
    <t>Aldridge Minerals</t>
  </si>
  <si>
    <t>Celeste Copper</t>
  </si>
  <si>
    <t>Tech Rep (2012-10)</t>
  </si>
  <si>
    <t>Aquila Resources Inc</t>
  </si>
  <si>
    <t>ARS Mining</t>
  </si>
  <si>
    <t>Tech Rep (2008-07)</t>
  </si>
  <si>
    <t>US Silver &amp; Gold</t>
  </si>
  <si>
    <t>Musgrove Minerals</t>
  </si>
  <si>
    <t>Tech Rep (2006-09)</t>
  </si>
  <si>
    <t>Zazu Metals Corp</t>
  </si>
  <si>
    <t>Copper One</t>
  </si>
  <si>
    <t>Tech Rep 2009-11</t>
  </si>
  <si>
    <t>Eastern Resources</t>
  </si>
  <si>
    <t>Reserves-Resources 2008</t>
  </si>
  <si>
    <t>Heatherdale Resources</t>
  </si>
  <si>
    <t>Website (2014-01-14)</t>
  </si>
  <si>
    <t>Doyon</t>
  </si>
  <si>
    <t>Fortune Minerals</t>
  </si>
  <si>
    <t>NovaCopper</t>
  </si>
  <si>
    <t>InZinc Mining (formerly Lithic Res.)</t>
  </si>
  <si>
    <t>Marakand Minerals</t>
  </si>
  <si>
    <t>Website (2014-10-07; also Oxus Gold)</t>
  </si>
  <si>
    <t>Anglesey Mining</t>
  </si>
  <si>
    <t>unknoown</t>
  </si>
  <si>
    <t>Mondillo et al 2014</t>
  </si>
  <si>
    <r>
      <t/>
    </r>
    <r>
      <rPr>
        <sz val="10"/>
        <color rgb="FF000000"/>
        <rFont val="Arial"/>
        <family val="2"/>
      </rPr>
      <t xml:space="preserve">Jabali </t>
    </r>
    <r>
      <rPr>
        <b/>
        <sz val="10"/>
        <color rgb="FFff0000"/>
        <rFont val="Arial"/>
        <family val="2"/>
      </rPr>
      <t>Stockpile</t>
    </r>
  </si>
  <si>
    <t>SNC</t>
  </si>
  <si>
    <t>Berkley Mineral Resources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</si>
</sst>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.0"/>
    <numFmt numFmtId="165" formatCode="#,##0.0000"/>
    <numFmt numFmtId="166" formatCode="#,##0.000"/>
    <numFmt numFmtId="167" formatCode="#,##0.00000"/>
    <numFmt numFmtId="168" formatCode="#,##0.000000"/>
  </numFmts>
  <fonts count="9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3366ff"/>
      <name val="Arial"/>
      <family val="2"/>
    </font>
    <font>
      <b/>
      <sz val="10"/>
      <color rgb="FF008000"/>
      <name val="Arial"/>
      <family val="2"/>
    </font>
    <font>
      <b/>
      <sz val="10"/>
      <color rgb="FF000000"/>
      <name val="Arial"/>
      <family val="2"/>
    </font>
    <font>
      <b/>
      <sz val="10"/>
      <color rgb="FF800080"/>
      <name val="Arial"/>
      <family val="2"/>
    </font>
    <font>
      <b/>
      <sz val="10"/>
      <color rgb="FF9933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9cc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4" applyNumberFormat="1" borderId="1" applyBorder="1" fontId="2" applyFont="1" fillId="3" applyFill="1" applyAlignment="1">
      <alignment horizontal="center"/>
    </xf>
    <xf xfId="0" numFmtId="0" borderId="2" applyBorder="1" fontId="3" applyFont="1" fillId="0" applyAlignment="1">
      <alignment horizontal="center"/>
    </xf>
    <xf xfId="0" numFmtId="164" applyNumberFormat="1" borderId="1" applyBorder="1" fontId="2" applyFont="1" fillId="3" applyFill="1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164" applyNumberFormat="1" borderId="2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2" applyBorder="1" fontId="4" applyFont="1" fillId="0" applyAlignment="1">
      <alignment horizontal="center"/>
    </xf>
    <xf xfId="0" numFmtId="4" applyNumberFormat="1" borderId="2" applyBorder="1" fontId="4" applyFont="1" fillId="0" applyAlignment="1">
      <alignment horizontal="center"/>
    </xf>
    <xf xfId="0" numFmtId="164" applyNumberFormat="1" borderId="2" applyBorder="1" fontId="4" applyFont="1" fillId="0" applyAlignment="1">
      <alignment horizontal="center"/>
    </xf>
    <xf xfId="0" numFmtId="165" applyNumberFormat="1" borderId="2" applyBorder="1" fontId="3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4" applyNumberFormat="1" borderId="1" applyBorder="1" fontId="4" applyFont="1" fillId="4" applyFill="1" applyAlignment="1">
      <alignment horizontal="center"/>
    </xf>
    <xf xfId="0" numFmtId="164" applyNumberFormat="1" borderId="1" applyBorder="1" fontId="4" applyFont="1" fillId="4" applyFill="1" applyAlignment="1">
      <alignment horizontal="center"/>
    </xf>
    <xf xfId="0" numFmtId="4" applyNumberFormat="1" borderId="1" applyBorder="1" fontId="1" applyFont="1" fillId="4" applyFill="1" applyAlignment="1">
      <alignment horizontal="center"/>
    </xf>
    <xf xfId="0" numFmtId="164" applyNumberFormat="1" borderId="1" applyBorder="1" fontId="1" applyFont="1" fillId="4" applyFill="1" applyAlignment="1">
      <alignment horizontal="center"/>
    </xf>
    <xf xfId="0" numFmtId="166" applyNumberFormat="1" borderId="2" applyBorder="1" fontId="3" applyFont="1" fillId="0" applyAlignment="1">
      <alignment horizontal="center"/>
    </xf>
    <xf xfId="0" numFmtId="167" applyNumberFormat="1" borderId="2" applyBorder="1" fontId="3" applyFont="1" fillId="0" applyAlignment="1">
      <alignment horizontal="center"/>
    </xf>
    <xf xfId="0" numFmtId="0" borderId="1" applyBorder="1" fontId="1" applyFont="1" fillId="4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0" borderId="1" applyBorder="1" fontId="2" applyFont="1" fillId="3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165" applyNumberFormat="1" borderId="1" applyBorder="1" fontId="2" applyFont="1" fillId="3" applyFill="1" applyAlignment="1">
      <alignment horizontal="center"/>
    </xf>
    <xf xfId="0" numFmtId="1" applyNumberFormat="1" borderId="2" applyBorder="1" fontId="3" applyFont="1" fillId="0" applyAlignment="1">
      <alignment horizontal="center"/>
    </xf>
    <xf xfId="0" numFmtId="0" borderId="2" applyBorder="1" fontId="5" applyFont="1" fillId="0" applyAlignment="1">
      <alignment horizontal="center"/>
    </xf>
    <xf xfId="0" numFmtId="165" applyNumberFormat="1" borderId="0" fontId="0" fillId="0" applyAlignment="1">
      <alignment horizontal="center"/>
    </xf>
    <xf xfId="0" numFmtId="3" applyNumberFormat="1" borderId="1" applyBorder="1" fontId="3" applyFont="1" fillId="4" applyFill="1" applyAlignment="1">
      <alignment horizontal="center"/>
    </xf>
    <xf xfId="0" numFmtId="166" applyNumberFormat="1" borderId="1" applyBorder="1" fontId="2" applyFont="1" fillId="3" applyFill="1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165" applyNumberFormat="1" borderId="2" applyBorder="1" fontId="1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3" applyNumberFormat="1" borderId="2" applyBorder="1" fontId="6" applyFont="1" fillId="0" applyAlignment="1">
      <alignment horizontal="center"/>
    </xf>
    <xf xfId="0" numFmtId="164" applyNumberFormat="1" borderId="2" applyBorder="1" fontId="6" applyFont="1" fillId="0" applyAlignment="1">
      <alignment horizontal="center"/>
    </xf>
    <xf xfId="0" numFmtId="4" applyNumberFormat="1" borderId="2" applyBorder="1" fontId="6" applyFont="1" fillId="0" applyAlignment="1">
      <alignment horizontal="center"/>
    </xf>
    <xf xfId="0" numFmtId="0" borderId="1" applyBorder="1" fontId="3" applyFont="1" fillId="4" applyFill="1" applyAlignment="1">
      <alignment horizontal="center"/>
    </xf>
    <xf xfId="0" numFmtId="164" applyNumberFormat="1" borderId="1" applyBorder="1" fontId="3" applyFont="1" fillId="4" applyFill="1" applyAlignment="1">
      <alignment horizontal="center"/>
    </xf>
    <xf xfId="0" numFmtId="4" applyNumberFormat="1" borderId="1" applyBorder="1" fontId="3" applyFont="1" fillId="4" applyFill="1" applyAlignment="1">
      <alignment horizontal="center"/>
    </xf>
    <xf xfId="0" numFmtId="0" borderId="1" applyBorder="1" fontId="2" applyFont="1" fillId="4" applyFill="1" applyAlignment="1">
      <alignment horizontal="center"/>
    </xf>
    <xf xfId="0" numFmtId="0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left"/>
    </xf>
    <xf xfId="0" numFmtId="3" applyNumberFormat="1" borderId="1" applyBorder="1" fontId="3" applyFont="1" fillId="5" applyFill="1" applyAlignment="1">
      <alignment horizontal="center"/>
    </xf>
    <xf xfId="0" numFmtId="0" borderId="2" applyBorder="1" fontId="3" applyFont="1" fillId="0" applyAlignment="1">
      <alignment horizontal="left"/>
    </xf>
    <xf xfId="0" numFmtId="3" applyNumberFormat="1" borderId="1" applyBorder="1" fontId="1" applyFont="1" fillId="4" applyFill="1" applyAlignment="1">
      <alignment horizontal="center"/>
    </xf>
    <xf xfId="0" numFmtId="166" applyNumberFormat="1" borderId="0" fontId="0" fillId="0" applyAlignment="1">
      <alignment horizontal="center"/>
    </xf>
    <xf xfId="0" numFmtId="168" applyNumberFormat="1" borderId="2" applyBorder="1" fontId="3" applyFont="1" fillId="0" applyAlignment="1">
      <alignment horizontal="center"/>
    </xf>
    <xf xfId="0" numFmtId="164" applyNumberFormat="1" borderId="2" applyBorder="1" fontId="7" applyFont="1" fillId="0" applyAlignment="1">
      <alignment horizontal="center"/>
    </xf>
    <xf xfId="0" numFmtId="4" applyNumberFormat="1" borderId="2" applyBorder="1" fontId="7" applyFont="1" fillId="0" applyAlignment="1">
      <alignment horizontal="center"/>
    </xf>
    <xf xfId="0" numFmtId="3" applyNumberFormat="1" borderId="2" applyBorder="1" fontId="7" applyFont="1" fillId="0" applyAlignment="1">
      <alignment horizontal="center"/>
    </xf>
    <xf xfId="0" numFmtId="0" borderId="1" applyBorder="1" fontId="8" applyFont="1" fillId="3" applyFill="1" applyAlignment="1">
      <alignment horizontal="center"/>
    </xf>
    <xf xfId="0" numFmtId="1" applyNumberFormat="1" borderId="1" applyBorder="1" fontId="2" applyFont="1" fillId="3" applyFill="1" applyAlignment="1">
      <alignment horizontal="center"/>
    </xf>
    <xf xfId="0" numFmtId="168" applyNumberFormat="1" borderId="1" applyBorder="1" fontId="1" applyFont="1" fillId="3" applyFill="1" applyAlignment="1">
      <alignment horizontal="center"/>
    </xf>
    <xf xfId="0" numFmtId="3" applyNumberFormat="1" borderId="2" applyBorder="1" fontId="3" applyFont="1" fillId="0" applyAlignment="1">
      <alignment horizontal="left"/>
    </xf>
    <xf xfId="0" numFmtId="1" applyNumberFormat="1" borderId="0" fontId="0" fillId="0" applyAlignment="1">
      <alignment horizontal="center"/>
    </xf>
    <xf xfId="0" numFmtId="168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855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8" width="11.862142857142858" customWidth="1" bestFit="1"/>
    <col min="2" max="2" style="10" width="6.2907142857142855" customWidth="1" bestFit="1"/>
    <col min="3" max="3" style="10" width="36.71928571428572" customWidth="1" bestFit="1"/>
    <col min="4" max="4" style="10" width="32.71928571428572" customWidth="1" bestFit="1"/>
    <col min="5" max="5" style="10" width="5.719285714285714" customWidth="1" bestFit="1"/>
    <col min="6" max="6" style="10" width="25.719285714285714" customWidth="1" bestFit="1"/>
    <col min="7" max="7" style="10" width="28.719285714285714" customWidth="1" bestFit="1"/>
    <col min="8" max="8" style="9" width="9.719285714285713" customWidth="1" bestFit="1"/>
    <col min="9" max="9" style="9" width="6.719285714285714" customWidth="1" bestFit="1"/>
    <col min="10" max="10" style="9" width="6.719285714285714" customWidth="1" bestFit="1"/>
    <col min="11" max="11" style="8" width="6.719285714285714" customWidth="1" bestFit="1"/>
    <col min="12" max="12" style="9" width="6.719285714285714" customWidth="1" bestFit="1"/>
    <col min="13" max="13" style="9" width="6.719285714285714" customWidth="1" bestFit="1"/>
    <col min="14" max="14" style="11" width="5.719285714285714" customWidth="1" bestFit="1"/>
    <col min="15" max="15" style="52" width="5.719285714285714" customWidth="1" bestFit="1"/>
    <col min="16" max="16" style="9" width="6.719285714285714" customWidth="1" bestFit="1"/>
    <col min="17" max="17" style="9" width="5.719285714285714" customWidth="1" bestFit="1"/>
    <col min="18" max="18" style="61" width="5.719285714285714" customWidth="1" bestFit="1"/>
    <col min="19" max="19" style="9" width="7.719285714285714" customWidth="1" bestFit="1"/>
    <col min="20" max="20" style="61" width="5.719285714285714" customWidth="1" bestFit="1"/>
    <col min="21" max="21" style="9" width="6.719285714285714" customWidth="1" bestFit="1"/>
    <col min="22" max="22" style="52" width="7.719285714285714" customWidth="1" bestFit="1"/>
    <col min="23" max="23" style="9" width="5.719285714285714" customWidth="1" bestFit="1"/>
    <col min="24" max="24" style="9" width="6.719285714285714" customWidth="1" bestFit="1"/>
    <col min="25" max="25" style="8" width="6.719285714285714" customWidth="1" bestFit="1"/>
    <col min="26" max="26" style="10" width="12.719285714285713" customWidth="1" bestFit="1"/>
    <col min="27" max="27" style="9" width="7.719285714285714" customWidth="1" bestFit="1"/>
    <col min="28" max="28" style="9" width="7.719285714285714" customWidth="1" bestFit="1"/>
    <col min="29" max="29" style="11" width="9.719285714285713" customWidth="1" bestFit="1"/>
    <col min="30" max="30" style="11" width="9.719285714285713" customWidth="1" bestFit="1"/>
    <col min="31" max="31" style="9" width="7.719285714285714" customWidth="1" bestFit="1"/>
    <col min="32" max="32" style="9" width="12.719285714285713" customWidth="1" bestFit="1"/>
    <col min="33" max="33" style="9" width="12.719285714285713" customWidth="1" bestFit="1"/>
    <col min="34" max="34" style="62" width="10.719285714285713" customWidth="1" bestFit="1"/>
    <col min="35" max="35" style="62" width="10.719285714285713" customWidth="1" bestFit="1"/>
    <col min="36" max="36" style="62" width="10.719285714285713" customWidth="1" bestFit="1"/>
    <col min="37" max="37" style="62" width="10.719285714285713" customWidth="1" bestFit="1"/>
    <col min="38" max="38" style="62" width="10.719285714285713" customWidth="1" bestFit="1"/>
    <col min="39" max="39" style="10" width="1.719285714285714" customWidth="1" bestFit="1"/>
    <col min="40" max="40" style="8" width="9.719285714285713" customWidth="1" bestFit="1"/>
    <col min="41" max="41" style="8" width="9.719285714285713" customWidth="1" bestFit="1"/>
    <col min="42" max="42" style="8" width="9.719285714285713" customWidth="1" bestFit="1"/>
    <col min="43" max="43" style="10" width="1.719285714285714" customWidth="1" bestFit="1"/>
  </cols>
  <sheetData>
    <row x14ac:dyDescent="0.25" r="1" customHeight="1" ht="12.75">
      <c r="A1" s="1" t="s">
        <v>1159</v>
      </c>
      <c r="B1" s="3"/>
      <c r="C1" s="3"/>
      <c r="D1" s="3"/>
      <c r="E1" s="3"/>
      <c r="F1" s="3"/>
      <c r="G1" s="3" t="s">
        <v>1160</v>
      </c>
      <c r="H1" s="7">
        <f>MAX(H5:H855)</f>
      </c>
      <c r="I1" s="7">
        <f>MAX(I5:I855)</f>
      </c>
      <c r="J1" s="7">
        <f>MAX(J5:J855)</f>
      </c>
      <c r="K1" s="5"/>
      <c r="L1" s="6">
        <f>MAX(L5:L855)</f>
      </c>
      <c r="M1" s="6"/>
      <c r="N1" s="7"/>
      <c r="O1" s="23"/>
      <c r="P1" s="6"/>
      <c r="Q1" s="6"/>
      <c r="R1" s="31"/>
      <c r="S1" s="6"/>
      <c r="T1" s="31"/>
      <c r="U1" s="6"/>
      <c r="V1" s="23"/>
      <c r="W1" s="6"/>
      <c r="X1" s="6"/>
      <c r="Y1" s="5"/>
      <c r="Z1" s="3"/>
      <c r="AA1" s="6">
        <f>MAX(AA5:AA855)</f>
      </c>
      <c r="AB1" s="6">
        <f>MAX(AB5:AB855)</f>
      </c>
      <c r="AC1" s="7"/>
      <c r="AD1" s="7"/>
      <c r="AE1" s="6">
        <f>MAX(AE5:AE855)</f>
      </c>
      <c r="AF1" s="6">
        <f>MAX(AF5:AF855)</f>
      </c>
      <c r="AG1" s="6">
        <f>MAX(AG5:AG855)</f>
      </c>
      <c r="AH1" s="53"/>
      <c r="AI1" s="53"/>
      <c r="AJ1" s="53"/>
      <c r="AK1" s="53"/>
      <c r="AL1" s="53"/>
      <c r="AM1" s="3"/>
      <c r="AN1" s="5"/>
      <c r="AO1" s="5"/>
      <c r="AP1" s="5"/>
      <c r="AQ1" s="3"/>
    </row>
    <row x14ac:dyDescent="0.25" r="2" customHeight="1" ht="12.75">
      <c r="A2" s="1">
        <v>2013</v>
      </c>
      <c r="B2" s="3"/>
      <c r="C2" s="3"/>
      <c r="D2" s="3"/>
      <c r="E2" s="3"/>
      <c r="F2" s="3"/>
      <c r="G2" s="3" t="s">
        <v>1161</v>
      </c>
      <c r="H2" s="54">
        <f>SUM(H5:H855)</f>
      </c>
      <c r="I2" s="55">
        <f>AH2/$H2</f>
      </c>
      <c r="J2" s="55">
        <f>AI2/$H2</f>
      </c>
      <c r="K2" s="54">
        <f>AJ2/$H2</f>
      </c>
      <c r="L2" s="55">
        <f>AK2/$H2</f>
      </c>
      <c r="M2" s="54">
        <f>AL2/$H2</f>
      </c>
      <c r="N2" s="7"/>
      <c r="O2" s="23"/>
      <c r="P2" s="6"/>
      <c r="Q2" s="6"/>
      <c r="R2" s="31"/>
      <c r="S2" s="6"/>
      <c r="T2" s="31"/>
      <c r="U2" s="6"/>
      <c r="V2" s="23"/>
      <c r="W2" s="6"/>
      <c r="X2" s="6"/>
      <c r="Y2" s="5"/>
      <c r="Z2" s="3"/>
      <c r="AA2" s="54">
        <f>SUM(AA5:AA855)</f>
      </c>
      <c r="AB2" s="54">
        <f>SUM(AB5:AB855)</f>
      </c>
      <c r="AC2" s="56">
        <f>SUM(AC5:AC855)</f>
      </c>
      <c r="AD2" s="56">
        <f>SUM(AD5:AD855)</f>
      </c>
      <c r="AE2" s="54">
        <f>SUM(AE5:AE855)</f>
      </c>
      <c r="AF2" s="54">
        <f>SUM(AF5:AF855)</f>
      </c>
      <c r="AG2" s="6"/>
      <c r="AH2" s="53">
        <f>SUM(AH5:AH855)</f>
      </c>
      <c r="AI2" s="53">
        <f>SUM(AI5:AI855)</f>
      </c>
      <c r="AJ2" s="53">
        <f>SUM(AJ5:AJ855)</f>
      </c>
      <c r="AK2" s="53">
        <f>SUM(AK5:AK855)</f>
      </c>
      <c r="AL2" s="53">
        <f>SUM(AL5:AL855)</f>
      </c>
      <c r="AM2" s="3"/>
      <c r="AN2" s="5"/>
      <c r="AO2" s="5"/>
      <c r="AP2" s="5"/>
      <c r="AQ2" s="3"/>
    </row>
    <row x14ac:dyDescent="0.25" r="3" customHeight="1" ht="12.75">
      <c r="A3" s="1">
        <v>2013</v>
      </c>
      <c r="B3" s="3"/>
      <c r="C3" s="3"/>
      <c r="D3" s="3"/>
      <c r="E3" s="3"/>
      <c r="F3" s="3"/>
      <c r="G3" s="3"/>
      <c r="H3" s="56">
        <f>COUNT(H5:H855)</f>
      </c>
      <c r="I3" s="56">
        <f>COUNT(I5:I855)</f>
      </c>
      <c r="J3" s="56">
        <f>COUNT(J5:J855)</f>
      </c>
      <c r="K3" s="56">
        <f>COUNT(K5:K855)</f>
      </c>
      <c r="L3" s="56">
        <f>COUNT(L5:L855)</f>
      </c>
      <c r="M3" s="56">
        <f>COUNT(M5:M855)</f>
      </c>
      <c r="N3" s="56">
        <f>COUNT(N5:N855)</f>
      </c>
      <c r="O3" s="56">
        <f>COUNT(O5:O855)</f>
      </c>
      <c r="P3" s="56">
        <f>COUNT(P5:P855)</f>
      </c>
      <c r="Q3" s="56">
        <f>COUNT(Q5:Q855)</f>
      </c>
      <c r="R3" s="56">
        <f>COUNT(R5:R855)</f>
      </c>
      <c r="S3" s="56">
        <f>COUNT(S5:S855)</f>
      </c>
      <c r="T3" s="56">
        <f>COUNT(T5:T855)</f>
      </c>
      <c r="U3" s="56">
        <f>COUNT(U5:U855)</f>
      </c>
      <c r="V3" s="56">
        <f>COUNT(V5:V855)</f>
      </c>
      <c r="W3" s="56">
        <f>COUNT(W5:W855)</f>
      </c>
      <c r="X3" s="56">
        <f>COUNT(X5:X855)</f>
      </c>
      <c r="Y3" s="56"/>
      <c r="Z3" s="3"/>
      <c r="AA3" s="6"/>
      <c r="AB3" s="6"/>
      <c r="AC3" s="7"/>
      <c r="AD3" s="7"/>
      <c r="AE3" s="6"/>
      <c r="AF3" s="6"/>
      <c r="AG3" s="6"/>
      <c r="AH3" s="53" t="s">
        <v>884</v>
      </c>
      <c r="AI3" s="53" t="s">
        <v>884</v>
      </c>
      <c r="AJ3" s="53" t="s">
        <v>884</v>
      </c>
      <c r="AK3" s="53" t="s">
        <v>884</v>
      </c>
      <c r="AL3" s="53" t="s">
        <v>884</v>
      </c>
      <c r="AM3" s="3"/>
      <c r="AN3" s="5"/>
      <c r="AO3" s="5"/>
      <c r="AP3" s="5"/>
      <c r="AQ3" s="3"/>
    </row>
    <row x14ac:dyDescent="0.25" r="4" customHeight="1" ht="12.75">
      <c r="A4" s="1">
        <v>2013</v>
      </c>
      <c r="B4" s="3"/>
      <c r="C4" s="12" t="s">
        <v>882</v>
      </c>
      <c r="D4" s="12" t="s">
        <v>883</v>
      </c>
      <c r="E4" s="3"/>
      <c r="F4" s="57" t="s">
        <v>1162</v>
      </c>
      <c r="G4" s="57" t="s">
        <v>1163</v>
      </c>
      <c r="H4" s="2" t="s">
        <v>888</v>
      </c>
      <c r="I4" s="2" t="s">
        <v>889</v>
      </c>
      <c r="J4" s="2" t="s">
        <v>890</v>
      </c>
      <c r="K4" s="29" t="s">
        <v>891</v>
      </c>
      <c r="L4" s="2" t="s">
        <v>892</v>
      </c>
      <c r="M4" s="2" t="s">
        <v>893</v>
      </c>
      <c r="N4" s="4" t="s">
        <v>894</v>
      </c>
      <c r="O4" s="35" t="s">
        <v>895</v>
      </c>
      <c r="P4" s="2" t="s">
        <v>896</v>
      </c>
      <c r="Q4" s="2" t="s">
        <v>897</v>
      </c>
      <c r="R4" s="58" t="s">
        <v>898</v>
      </c>
      <c r="S4" s="2" t="s">
        <v>899</v>
      </c>
      <c r="T4" s="58" t="s">
        <v>900</v>
      </c>
      <c r="U4" s="2" t="s">
        <v>901</v>
      </c>
      <c r="V4" s="35" t="s">
        <v>902</v>
      </c>
      <c r="W4" s="2" t="s">
        <v>903</v>
      </c>
      <c r="X4" s="2" t="s">
        <v>904</v>
      </c>
      <c r="Y4" s="29" t="s">
        <v>887</v>
      </c>
      <c r="Z4" s="27" t="s">
        <v>887</v>
      </c>
      <c r="AA4" s="2" t="s">
        <v>905</v>
      </c>
      <c r="AB4" s="2" t="s">
        <v>906</v>
      </c>
      <c r="AC4" s="4" t="s">
        <v>907</v>
      </c>
      <c r="AD4" s="4" t="s">
        <v>909</v>
      </c>
      <c r="AE4" s="2" t="s">
        <v>908</v>
      </c>
      <c r="AF4" s="2" t="s">
        <v>0</v>
      </c>
      <c r="AG4" s="2" t="s">
        <v>1</v>
      </c>
      <c r="AH4" s="59" t="s">
        <v>1164</v>
      </c>
      <c r="AI4" s="59" t="s">
        <v>1165</v>
      </c>
      <c r="AJ4" s="59" t="s">
        <v>1166</v>
      </c>
      <c r="AK4" s="59" t="s">
        <v>1167</v>
      </c>
      <c r="AL4" s="59" t="s">
        <v>1168</v>
      </c>
      <c r="AM4" s="3"/>
      <c r="AN4" s="29" t="s">
        <v>888</v>
      </c>
      <c r="AO4" s="29" t="s">
        <v>1169</v>
      </c>
      <c r="AP4" s="29" t="s">
        <v>1170</v>
      </c>
      <c r="AQ4" s="3"/>
    </row>
    <row x14ac:dyDescent="0.25" r="5" customHeight="1" ht="18">
      <c r="A5" s="5" t="s">
        <v>725</v>
      </c>
      <c r="B5" s="3" t="s">
        <v>1091</v>
      </c>
      <c r="C5" s="3" t="s">
        <v>866</v>
      </c>
      <c r="D5" s="3" t="s">
        <v>989</v>
      </c>
      <c r="E5" s="38" t="s">
        <v>859</v>
      </c>
      <c r="F5" s="3" t="s">
        <v>1171</v>
      </c>
      <c r="G5" s="3" t="s">
        <v>1172</v>
      </c>
      <c r="H5" s="6">
        <v>7.1</v>
      </c>
      <c r="I5" s="6">
        <v>1.2</v>
      </c>
      <c r="J5" s="6">
        <v>1.9</v>
      </c>
      <c r="K5" s="5"/>
      <c r="L5" s="6"/>
      <c r="M5" s="6"/>
      <c r="N5" s="7"/>
      <c r="O5" s="23"/>
      <c r="P5" s="6"/>
      <c r="Q5" s="6"/>
      <c r="R5" s="31"/>
      <c r="S5" s="6"/>
      <c r="T5" s="31"/>
      <c r="U5" s="6"/>
      <c r="V5" s="23"/>
      <c r="W5" s="6"/>
      <c r="X5" s="6"/>
      <c r="Y5" s="5"/>
      <c r="Z5" s="3"/>
      <c r="AA5" s="6">
        <f>H5*I5/100</f>
      </c>
      <c r="AB5" s="6">
        <f>H5*J5/100</f>
      </c>
      <c r="AC5" s="7">
        <f>H5*K5</f>
      </c>
      <c r="AD5" s="7">
        <f>H5*M5</f>
      </c>
      <c r="AE5" s="6">
        <f>H5*L5/100</f>
      </c>
      <c r="AF5" s="6">
        <f>AA5+AB5+AE5</f>
      </c>
      <c r="AG5" s="6">
        <f>I5+J5+L5</f>
      </c>
      <c r="AH5" s="53">
        <f>$H5*I5</f>
      </c>
      <c r="AI5" s="53">
        <f>$H5*J5</f>
      </c>
      <c r="AJ5" s="53">
        <f>$H5*K5</f>
      </c>
      <c r="AK5" s="53">
        <f>$H5*L5</f>
      </c>
      <c r="AL5" s="53">
        <f>$H5*M5</f>
      </c>
      <c r="AM5" s="3"/>
      <c r="AN5" s="5">
        <v>10000</v>
      </c>
      <c r="AO5" s="6">
        <v>0.01</v>
      </c>
      <c r="AP5" s="5">
        <f>AN5*AO5/100</f>
      </c>
      <c r="AQ5" s="3"/>
    </row>
    <row x14ac:dyDescent="0.25" r="6" customHeight="1" ht="18">
      <c r="A6" s="5" t="s">
        <v>416</v>
      </c>
      <c r="B6" s="3" t="s">
        <v>1091</v>
      </c>
      <c r="C6" s="3" t="s">
        <v>866</v>
      </c>
      <c r="D6" s="3" t="s">
        <v>989</v>
      </c>
      <c r="E6" s="38" t="s">
        <v>859</v>
      </c>
      <c r="F6" s="3" t="s">
        <v>1171</v>
      </c>
      <c r="G6" s="3" t="s">
        <v>1173</v>
      </c>
      <c r="H6" s="5">
        <v>12</v>
      </c>
      <c r="I6" s="6">
        <v>2.07</v>
      </c>
      <c r="J6" s="6">
        <v>6.5</v>
      </c>
      <c r="K6" s="5"/>
      <c r="L6" s="6"/>
      <c r="M6" s="6"/>
      <c r="N6" s="7"/>
      <c r="O6" s="23"/>
      <c r="P6" s="6"/>
      <c r="Q6" s="6"/>
      <c r="R6" s="31"/>
      <c r="S6" s="6"/>
      <c r="T6" s="31"/>
      <c r="U6" s="6"/>
      <c r="V6" s="23"/>
      <c r="W6" s="6"/>
      <c r="X6" s="6"/>
      <c r="Y6" s="5"/>
      <c r="Z6" s="3"/>
      <c r="AA6" s="6">
        <f>H6*I6/100</f>
      </c>
      <c r="AB6" s="6">
        <f>H6*J6/100</f>
      </c>
      <c r="AC6" s="7">
        <f>H6*K6</f>
      </c>
      <c r="AD6" s="7">
        <f>H6*M6</f>
      </c>
      <c r="AE6" s="6">
        <f>H6*L6/100</f>
      </c>
      <c r="AF6" s="6">
        <f>AA6+AB6+AE6</f>
      </c>
      <c r="AG6" s="6">
        <f>I6+J6+L6</f>
      </c>
      <c r="AH6" s="53">
        <f>$H6*I6</f>
      </c>
      <c r="AI6" s="53">
        <f>$H6*J6</f>
      </c>
      <c r="AJ6" s="53">
        <f>$H6*K6</f>
      </c>
      <c r="AK6" s="53">
        <f>$H6*L6</f>
      </c>
      <c r="AL6" s="53">
        <f>$H6*M6</f>
      </c>
      <c r="AM6" s="3"/>
      <c r="AN6" s="5"/>
      <c r="AO6" s="5"/>
      <c r="AP6" s="5"/>
      <c r="AQ6" s="3"/>
    </row>
    <row x14ac:dyDescent="0.25" r="7" customHeight="1" ht="18">
      <c r="A7" s="5" t="s">
        <v>239</v>
      </c>
      <c r="B7" s="3" t="s">
        <v>1091</v>
      </c>
      <c r="C7" s="3" t="s">
        <v>866</v>
      </c>
      <c r="D7" s="3" t="s">
        <v>989</v>
      </c>
      <c r="E7" s="38" t="s">
        <v>859</v>
      </c>
      <c r="F7" s="3" t="s">
        <v>1171</v>
      </c>
      <c r="G7" s="3" t="s">
        <v>1173</v>
      </c>
      <c r="H7" s="5">
        <v>38</v>
      </c>
      <c r="I7" s="6">
        <v>2.33</v>
      </c>
      <c r="J7" s="6">
        <v>3.52</v>
      </c>
      <c r="K7" s="5"/>
      <c r="L7" s="6"/>
      <c r="M7" s="6"/>
      <c r="N7" s="7"/>
      <c r="O7" s="23"/>
      <c r="P7" s="6"/>
      <c r="Q7" s="6"/>
      <c r="R7" s="31"/>
      <c r="S7" s="6"/>
      <c r="T7" s="31"/>
      <c r="U7" s="6"/>
      <c r="V7" s="23"/>
      <c r="W7" s="6"/>
      <c r="X7" s="6"/>
      <c r="Y7" s="5"/>
      <c r="Z7" s="3"/>
      <c r="AA7" s="6">
        <f>H7*I7/100</f>
      </c>
      <c r="AB7" s="6">
        <f>H7*J7/100</f>
      </c>
      <c r="AC7" s="7">
        <f>H7*K7</f>
      </c>
      <c r="AD7" s="7">
        <f>H7*M7</f>
      </c>
      <c r="AE7" s="6">
        <f>H7*L7/100</f>
      </c>
      <c r="AF7" s="6">
        <f>AA7+AB7+AE7</f>
      </c>
      <c r="AG7" s="6">
        <f>I7+J7+L7</f>
      </c>
      <c r="AH7" s="53">
        <f>$H7*I7</f>
      </c>
      <c r="AI7" s="53">
        <f>$H7*J7</f>
      </c>
      <c r="AJ7" s="53">
        <f>$H7*K7</f>
      </c>
      <c r="AK7" s="53">
        <f>$H7*L7</f>
      </c>
      <c r="AL7" s="53">
        <f>$H7*M7</f>
      </c>
      <c r="AM7" s="3"/>
      <c r="AN7" s="5"/>
      <c r="AO7" s="5"/>
      <c r="AP7" s="5"/>
      <c r="AQ7" s="3"/>
    </row>
    <row x14ac:dyDescent="0.25" r="8" customHeight="1" ht="18">
      <c r="A8" s="5" t="s">
        <v>43</v>
      </c>
      <c r="B8" s="3" t="s">
        <v>1091</v>
      </c>
      <c r="C8" s="3" t="s">
        <v>866</v>
      </c>
      <c r="D8" s="3" t="s">
        <v>989</v>
      </c>
      <c r="E8" s="38" t="s">
        <v>859</v>
      </c>
      <c r="F8" s="3" t="s">
        <v>1171</v>
      </c>
      <c r="G8" s="3" t="s">
        <v>1172</v>
      </c>
      <c r="H8" s="6">
        <v>1.6</v>
      </c>
      <c r="I8" s="6">
        <v>3.6</v>
      </c>
      <c r="J8" s="6">
        <v>18.4</v>
      </c>
      <c r="K8" s="5"/>
      <c r="L8" s="6"/>
      <c r="M8" s="6"/>
      <c r="N8" s="7"/>
      <c r="O8" s="23"/>
      <c r="P8" s="6"/>
      <c r="Q8" s="6"/>
      <c r="R8" s="31"/>
      <c r="S8" s="6"/>
      <c r="T8" s="31"/>
      <c r="U8" s="6"/>
      <c r="V8" s="23"/>
      <c r="W8" s="6"/>
      <c r="X8" s="6"/>
      <c r="Y8" s="5"/>
      <c r="Z8" s="3"/>
      <c r="AA8" s="6">
        <f>H8*I8/100</f>
      </c>
      <c r="AB8" s="6">
        <f>H8*J8/100</f>
      </c>
      <c r="AC8" s="7">
        <f>H8*K8</f>
      </c>
      <c r="AD8" s="7">
        <f>H8*M8</f>
      </c>
      <c r="AE8" s="6">
        <f>H8*L8/100</f>
      </c>
      <c r="AF8" s="6">
        <f>AA8+AB8+AE8</f>
      </c>
      <c r="AG8" s="6">
        <f>I8+J8+L8</f>
      </c>
      <c r="AH8" s="53">
        <f>$H8*I8</f>
      </c>
      <c r="AI8" s="53">
        <f>$H8*J8</f>
      </c>
      <c r="AJ8" s="53">
        <f>$H8*K8</f>
      </c>
      <c r="AK8" s="53">
        <f>$H8*L8</f>
      </c>
      <c r="AL8" s="53">
        <f>$H8*M8</f>
      </c>
      <c r="AM8" s="3"/>
      <c r="AN8" s="5">
        <v>1000</v>
      </c>
      <c r="AO8" s="6">
        <v>0.1</v>
      </c>
      <c r="AP8" s="5">
        <f>AN8*AO8/100</f>
      </c>
      <c r="AQ8" s="3"/>
    </row>
    <row x14ac:dyDescent="0.25" r="9" customHeight="1" ht="18">
      <c r="A9" s="5" t="s">
        <v>541</v>
      </c>
      <c r="B9" s="3" t="s">
        <v>1091</v>
      </c>
      <c r="C9" s="3" t="s">
        <v>870</v>
      </c>
      <c r="D9" s="3" t="s">
        <v>1026</v>
      </c>
      <c r="E9" s="3" t="s">
        <v>855</v>
      </c>
      <c r="F9" s="3" t="s">
        <v>1174</v>
      </c>
      <c r="G9" s="3" t="s">
        <v>1175</v>
      </c>
      <c r="H9" s="6">
        <v>11.5</v>
      </c>
      <c r="I9" s="6">
        <v>2.6</v>
      </c>
      <c r="J9" s="6">
        <v>2.1</v>
      </c>
      <c r="K9" s="5">
        <v>95</v>
      </c>
      <c r="L9" s="6">
        <v>0.7</v>
      </c>
      <c r="M9" s="6"/>
      <c r="N9" s="7"/>
      <c r="O9" s="23"/>
      <c r="P9" s="6"/>
      <c r="Q9" s="6"/>
      <c r="R9" s="31"/>
      <c r="S9" s="6"/>
      <c r="T9" s="31"/>
      <c r="U9" s="6"/>
      <c r="V9" s="23"/>
      <c r="W9" s="6"/>
      <c r="X9" s="6"/>
      <c r="Y9" s="5"/>
      <c r="Z9" s="3"/>
      <c r="AA9" s="6">
        <f>H9*I9/100</f>
      </c>
      <c r="AB9" s="6">
        <f>H9*J9/100</f>
      </c>
      <c r="AC9" s="7">
        <f>H9*K9</f>
      </c>
      <c r="AD9" s="7">
        <f>H9*M9</f>
      </c>
      <c r="AE9" s="6">
        <f>H9*L9/100</f>
      </c>
      <c r="AF9" s="6">
        <f>AA9+AB9+AE9</f>
      </c>
      <c r="AG9" s="6">
        <f>I9+J9+L9</f>
      </c>
      <c r="AH9" s="53">
        <f>$H9*I9</f>
      </c>
      <c r="AI9" s="53">
        <f>$H9*J9</f>
      </c>
      <c r="AJ9" s="53">
        <f>$H9*K9</f>
      </c>
      <c r="AK9" s="53">
        <f>$H9*L9</f>
      </c>
      <c r="AL9" s="53">
        <f>$H9*M9</f>
      </c>
      <c r="AM9" s="3"/>
      <c r="AN9" s="5">
        <v>100</v>
      </c>
      <c r="AO9" s="5">
        <v>1</v>
      </c>
      <c r="AP9" s="5">
        <f>AN9*AO9/100</f>
      </c>
      <c r="AQ9" s="3"/>
    </row>
    <row x14ac:dyDescent="0.25" r="10" customHeight="1" ht="18">
      <c r="A10" s="5" t="s">
        <v>148</v>
      </c>
      <c r="B10" s="3" t="s">
        <v>1091</v>
      </c>
      <c r="C10" s="3" t="s">
        <v>856</v>
      </c>
      <c r="D10" s="3"/>
      <c r="E10" s="3" t="s">
        <v>855</v>
      </c>
      <c r="F10" s="3" t="s">
        <v>1176</v>
      </c>
      <c r="G10" s="3" t="s">
        <v>1177</v>
      </c>
      <c r="H10" s="6">
        <v>68.6</v>
      </c>
      <c r="I10" s="6">
        <v>1.1</v>
      </c>
      <c r="J10" s="6">
        <v>4.6</v>
      </c>
      <c r="K10" s="5"/>
      <c r="L10" s="6"/>
      <c r="M10" s="6"/>
      <c r="N10" s="7"/>
      <c r="O10" s="23"/>
      <c r="P10" s="6"/>
      <c r="Q10" s="6"/>
      <c r="R10" s="31"/>
      <c r="S10" s="6"/>
      <c r="T10" s="31"/>
      <c r="U10" s="6"/>
      <c r="V10" s="23"/>
      <c r="W10" s="6"/>
      <c r="X10" s="6"/>
      <c r="Y10" s="5"/>
      <c r="Z10" s="3"/>
      <c r="AA10" s="6">
        <f>H10*I10/100</f>
      </c>
      <c r="AB10" s="6">
        <f>H10*J10/100</f>
      </c>
      <c r="AC10" s="7">
        <f>H10*K10</f>
      </c>
      <c r="AD10" s="7">
        <f>H10*M10</f>
      </c>
      <c r="AE10" s="6">
        <f>H10*L10/100</f>
      </c>
      <c r="AF10" s="6">
        <f>AA10+AB10+AE10</f>
      </c>
      <c r="AG10" s="6">
        <f>I10+J10+L10</f>
      </c>
      <c r="AH10" s="53">
        <f>$H10*I10</f>
      </c>
      <c r="AI10" s="53">
        <f>$H10*J10</f>
      </c>
      <c r="AJ10" s="53">
        <f>$H10*K10</f>
      </c>
      <c r="AK10" s="53">
        <f>$H10*L10</f>
      </c>
      <c r="AL10" s="53">
        <f>$H10*M10</f>
      </c>
      <c r="AM10" s="3"/>
      <c r="AN10" s="5">
        <v>10</v>
      </c>
      <c r="AO10" s="5">
        <v>10</v>
      </c>
      <c r="AP10" s="5">
        <f>AN10*AO10/100</f>
      </c>
      <c r="AQ10" s="3"/>
    </row>
    <row x14ac:dyDescent="0.25" r="11" customHeight="1" ht="18">
      <c r="A11" s="5" t="s">
        <v>708</v>
      </c>
      <c r="B11" s="3" t="s">
        <v>1091</v>
      </c>
      <c r="C11" s="3" t="s">
        <v>870</v>
      </c>
      <c r="D11" s="3"/>
      <c r="E11" s="38" t="s">
        <v>859</v>
      </c>
      <c r="F11" s="3" t="s">
        <v>1178</v>
      </c>
      <c r="G11" s="3" t="s">
        <v>1179</v>
      </c>
      <c r="H11" s="23">
        <v>6.58504</v>
      </c>
      <c r="I11" s="6"/>
      <c r="J11" s="6">
        <v>1.65</v>
      </c>
      <c r="K11" s="5"/>
      <c r="L11" s="6">
        <v>0.55</v>
      </c>
      <c r="M11" s="6">
        <v>1.62</v>
      </c>
      <c r="N11" s="7"/>
      <c r="O11" s="23"/>
      <c r="P11" s="6"/>
      <c r="Q11" s="6"/>
      <c r="R11" s="31"/>
      <c r="S11" s="6"/>
      <c r="T11" s="31"/>
      <c r="U11" s="6"/>
      <c r="V11" s="23"/>
      <c r="W11" s="6"/>
      <c r="X11" s="6"/>
      <c r="Y11" s="5"/>
      <c r="Z11" s="3"/>
      <c r="AA11" s="6">
        <f>H11*I11/100</f>
      </c>
      <c r="AB11" s="6">
        <f>H11*J11/100</f>
      </c>
      <c r="AC11" s="7">
        <f>H11*K11</f>
      </c>
      <c r="AD11" s="7">
        <f>H11*M11</f>
      </c>
      <c r="AE11" s="6">
        <f>H11*L11/100</f>
      </c>
      <c r="AF11" s="6">
        <f>AA11+AB11+AE11</f>
      </c>
      <c r="AG11" s="6">
        <f>I11+J11+L11</f>
      </c>
      <c r="AH11" s="53">
        <f>$H11*I11</f>
      </c>
      <c r="AI11" s="53">
        <f>$H11*J11</f>
      </c>
      <c r="AJ11" s="53">
        <f>$H11*K11</f>
      </c>
      <c r="AK11" s="53">
        <f>$H11*L11</f>
      </c>
      <c r="AL11" s="53">
        <f>$H11*M11</f>
      </c>
      <c r="AM11" s="3"/>
      <c r="AN11" s="5">
        <v>1</v>
      </c>
      <c r="AO11" s="5">
        <v>100</v>
      </c>
      <c r="AP11" s="5">
        <f>AN11*AO11/100</f>
      </c>
      <c r="AQ11" s="3"/>
    </row>
    <row x14ac:dyDescent="0.25" r="12" customHeight="1" ht="18">
      <c r="A12" s="5" t="s">
        <v>389</v>
      </c>
      <c r="B12" s="3" t="s">
        <v>1092</v>
      </c>
      <c r="C12" s="3" t="s">
        <v>866</v>
      </c>
      <c r="D12" s="3" t="s">
        <v>988</v>
      </c>
      <c r="E12" s="3" t="s">
        <v>855</v>
      </c>
      <c r="F12" s="3" t="s">
        <v>1180</v>
      </c>
      <c r="G12" s="3" t="s">
        <v>1181</v>
      </c>
      <c r="H12" s="6">
        <f>2.22+4.8+1.8</f>
      </c>
      <c r="I12" s="7">
        <f>(6.08*2.22+3.5*4.8+5*1.8)/$H12</f>
      </c>
      <c r="J12" s="7">
        <f>(5.67*2.22+3.5*4.8+6*1.8)/$H12</f>
      </c>
      <c r="K12" s="31">
        <f>(128*2.22+84*4.8+100*1.8)/$H12</f>
      </c>
      <c r="L12" s="6"/>
      <c r="M12" s="6"/>
      <c r="N12" s="7"/>
      <c r="O12" s="23"/>
      <c r="P12" s="6"/>
      <c r="Q12" s="6"/>
      <c r="R12" s="31"/>
      <c r="S12" s="6"/>
      <c r="T12" s="31"/>
      <c r="U12" s="6"/>
      <c r="V12" s="23"/>
      <c r="W12" s="6"/>
      <c r="X12" s="6"/>
      <c r="Y12" s="5"/>
      <c r="Z12" s="3"/>
      <c r="AA12" s="6">
        <f>H12*I12/100</f>
      </c>
      <c r="AB12" s="6">
        <f>H12*J12/100</f>
      </c>
      <c r="AC12" s="7">
        <f>H12*K12</f>
      </c>
      <c r="AD12" s="7">
        <f>H12*M12</f>
      </c>
      <c r="AE12" s="6">
        <f>H12*L12/100</f>
      </c>
      <c r="AF12" s="6">
        <f>AA12+AB12+AE12</f>
      </c>
      <c r="AG12" s="6">
        <f>I12+J12+L12</f>
      </c>
      <c r="AH12" s="53">
        <f>$H12*I12</f>
      </c>
      <c r="AI12" s="53">
        <f>$H12*J12</f>
      </c>
      <c r="AJ12" s="53">
        <f>$H12*K12</f>
      </c>
      <c r="AK12" s="53">
        <f>$H12*L12</f>
      </c>
      <c r="AL12" s="53">
        <f>$H12*M12</f>
      </c>
      <c r="AM12" s="3"/>
      <c r="AN12" s="5"/>
      <c r="AO12" s="5"/>
      <c r="AP12" s="5"/>
      <c r="AQ12" s="3"/>
    </row>
    <row x14ac:dyDescent="0.25" r="13" customHeight="1" ht="18">
      <c r="A13" s="5" t="s">
        <v>32</v>
      </c>
      <c r="B13" s="3" t="s">
        <v>1092</v>
      </c>
      <c r="C13" s="3" t="s">
        <v>865</v>
      </c>
      <c r="D13" s="3"/>
      <c r="E13" s="3" t="s">
        <v>855</v>
      </c>
      <c r="F13" s="3" t="s">
        <v>1182</v>
      </c>
      <c r="G13" s="3" t="s">
        <v>1183</v>
      </c>
      <c r="H13" s="5">
        <f>389+1397</f>
      </c>
      <c r="I13" s="6">
        <f>(0.01*389+0.01*1397)/$H13</f>
      </c>
      <c r="J13" s="6">
        <f>(0.03*389+0.02*1397)/$H13</f>
      </c>
      <c r="K13" s="7">
        <f>(1.8*389+1.9*1397)/$H13</f>
      </c>
      <c r="L13" s="6">
        <f>(0.63*389+0.46*1397)/$H13</f>
      </c>
      <c r="M13" s="6">
        <f>(0.07*389+0.06*1397)/$H13</f>
      </c>
      <c r="N13" s="7"/>
      <c r="O13" s="23"/>
      <c r="P13" s="6"/>
      <c r="Q13" s="6"/>
      <c r="R13" s="31"/>
      <c r="S13" s="6"/>
      <c r="T13" s="31"/>
      <c r="U13" s="6"/>
      <c r="V13" s="23"/>
      <c r="W13" s="6"/>
      <c r="X13" s="6"/>
      <c r="Y13" s="5"/>
      <c r="Z13" s="3"/>
      <c r="AA13" s="6">
        <f>H13*I13/100</f>
      </c>
      <c r="AB13" s="6">
        <f>H13*J13/100</f>
      </c>
      <c r="AC13" s="7">
        <f>H13*K13</f>
      </c>
      <c r="AD13" s="7">
        <f>H13*M13</f>
      </c>
      <c r="AE13" s="6">
        <f>H13*L13/100</f>
      </c>
      <c r="AF13" s="6">
        <f>AA13+AB13+AE13</f>
      </c>
      <c r="AG13" s="6">
        <f>I13+J13+L13</f>
      </c>
      <c r="AH13" s="53">
        <f>$H13*I13</f>
      </c>
      <c r="AI13" s="53">
        <f>$H13*J13</f>
      </c>
      <c r="AJ13" s="53">
        <f>$H13*K13</f>
      </c>
      <c r="AK13" s="53">
        <f>$H13*L13</f>
      </c>
      <c r="AL13" s="53">
        <f>$H13*M13</f>
      </c>
      <c r="AM13" s="3"/>
      <c r="AN13" s="5"/>
      <c r="AO13" s="5"/>
      <c r="AP13" s="5"/>
      <c r="AQ13" s="3"/>
    </row>
    <row x14ac:dyDescent="0.25" r="14" customHeight="1" ht="18">
      <c r="A14" s="5" t="s">
        <v>126</v>
      </c>
      <c r="B14" s="3" t="s">
        <v>1092</v>
      </c>
      <c r="C14" s="3" t="s">
        <v>856</v>
      </c>
      <c r="D14" s="3"/>
      <c r="E14" s="3" t="s">
        <v>855</v>
      </c>
      <c r="F14" s="3" t="s">
        <v>1184</v>
      </c>
      <c r="G14" s="3" t="s">
        <v>1185</v>
      </c>
      <c r="H14" s="6">
        <f>15.4+139.8+45.9</f>
      </c>
      <c r="I14" s="6">
        <f>(1.44*15.4+0.79*139.8+0.57*45.9)/$H14</f>
      </c>
      <c r="J14" s="6"/>
      <c r="K14" s="31">
        <f>(137*15.4+126*139.8+81*45.9)/$H14</f>
      </c>
      <c r="L14" s="6">
        <f>(0.1*15.4+0.04*139.8+0.02*45.9)/$H14</f>
      </c>
      <c r="M14" s="6"/>
      <c r="N14" s="7"/>
      <c r="O14" s="23"/>
      <c r="P14" s="6"/>
      <c r="Q14" s="6"/>
      <c r="R14" s="31"/>
      <c r="S14" s="6"/>
      <c r="T14" s="31"/>
      <c r="U14" s="6"/>
      <c r="V14" s="23"/>
      <c r="W14" s="6"/>
      <c r="X14" s="6"/>
      <c r="Y14" s="5"/>
      <c r="Z14" s="3"/>
      <c r="AA14" s="6">
        <f>H14*I14/100</f>
      </c>
      <c r="AB14" s="6">
        <f>H14*J14/100</f>
      </c>
      <c r="AC14" s="7">
        <f>H14*K14</f>
      </c>
      <c r="AD14" s="7">
        <f>H14*M14</f>
      </c>
      <c r="AE14" s="6">
        <f>H14*L14/100</f>
      </c>
      <c r="AF14" s="6">
        <f>AA14+AB14+AE14</f>
      </c>
      <c r="AG14" s="6">
        <f>I14+J14+L14</f>
      </c>
      <c r="AH14" s="53">
        <f>$H14*I14</f>
      </c>
      <c r="AI14" s="53">
        <f>$H14*J14</f>
      </c>
      <c r="AJ14" s="53">
        <f>$H14*K14</f>
      </c>
      <c r="AK14" s="53">
        <f>$H14*L14</f>
      </c>
      <c r="AL14" s="53">
        <f>$H14*M14</f>
      </c>
      <c r="AM14" s="3"/>
      <c r="AN14" s="5">
        <v>10000</v>
      </c>
      <c r="AO14" s="6">
        <v>0.04</v>
      </c>
      <c r="AP14" s="5">
        <f>AN14*AO14/100</f>
      </c>
      <c r="AQ14" s="3"/>
    </row>
    <row x14ac:dyDescent="0.25" r="15" customHeight="1" ht="18">
      <c r="A15" s="5" t="s">
        <v>476</v>
      </c>
      <c r="B15" s="3" t="s">
        <v>1092</v>
      </c>
      <c r="C15" s="3" t="s">
        <v>856</v>
      </c>
      <c r="D15" s="3" t="s">
        <v>928</v>
      </c>
      <c r="E15" s="3" t="s">
        <v>855</v>
      </c>
      <c r="F15" s="3" t="s">
        <v>1186</v>
      </c>
      <c r="G15" s="3" t="s">
        <v>1187</v>
      </c>
      <c r="H15" s="6">
        <f>9.21+50.04</f>
      </c>
      <c r="I15" s="6">
        <f>(0.41*9.21+0.32*50.04)/$H15</f>
      </c>
      <c r="J15" s="6">
        <f>(1.21*9.21+0.84*50.04)/$H15</f>
      </c>
      <c r="K15" s="7">
        <f>(28.22*9.21+18.55*50.04)/$H15</f>
      </c>
      <c r="L15" s="6"/>
      <c r="M15" s="6">
        <f>(0.229*9.21+0.183*50.04)/$H15</f>
      </c>
      <c r="N15" s="7"/>
      <c r="O15" s="23"/>
      <c r="P15" s="6"/>
      <c r="Q15" s="6"/>
      <c r="R15" s="6">
        <f>(13.39*9.21+7.13*50.04)/$H15</f>
      </c>
      <c r="S15" s="6"/>
      <c r="T15" s="31"/>
      <c r="U15" s="6"/>
      <c r="V15" s="23"/>
      <c r="W15" s="6"/>
      <c r="X15" s="6"/>
      <c r="Y15" s="5"/>
      <c r="Z15" s="3"/>
      <c r="AA15" s="6">
        <f>H15*I15/100</f>
      </c>
      <c r="AB15" s="6">
        <f>H15*J15/100</f>
      </c>
      <c r="AC15" s="7">
        <f>H15*K15</f>
      </c>
      <c r="AD15" s="7">
        <f>H15*M15</f>
      </c>
      <c r="AE15" s="6">
        <f>H15*L15/100</f>
      </c>
      <c r="AF15" s="6">
        <f>AA15+AB15+AE15</f>
      </c>
      <c r="AG15" s="6">
        <f>I15+J15+L15</f>
      </c>
      <c r="AH15" s="53">
        <f>$H15*I15</f>
      </c>
      <c r="AI15" s="53">
        <f>$H15*J15</f>
      </c>
      <c r="AJ15" s="53">
        <f>$H15*K15</f>
      </c>
      <c r="AK15" s="53">
        <f>$H15*L15</f>
      </c>
      <c r="AL15" s="53">
        <f>$H15*M15</f>
      </c>
      <c r="AM15" s="3"/>
      <c r="AN15" s="5">
        <v>4000</v>
      </c>
      <c r="AO15" s="6">
        <v>0.1</v>
      </c>
      <c r="AP15" s="5">
        <f>AN15*AO15/100</f>
      </c>
      <c r="AQ15" s="3"/>
    </row>
    <row x14ac:dyDescent="0.25" r="16" customHeight="1" ht="18">
      <c r="A16" s="5" t="s">
        <v>360</v>
      </c>
      <c r="B16" s="3" t="s">
        <v>1092</v>
      </c>
      <c r="C16" s="3" t="s">
        <v>856</v>
      </c>
      <c r="D16" s="3" t="s">
        <v>929</v>
      </c>
      <c r="E16" s="3" t="s">
        <v>855</v>
      </c>
      <c r="F16" s="3" t="s">
        <v>1188</v>
      </c>
      <c r="G16" s="3" t="s">
        <v>1185</v>
      </c>
      <c r="H16" s="6">
        <f>7.9+19.2+1.1+5.4</f>
      </c>
      <c r="I16" s="6"/>
      <c r="J16" s="6">
        <f>(0.35*7.9+1.73*19.2+1.39*1.1+2.38*5.4)/$H16</f>
      </c>
      <c r="K16" s="7">
        <f>(210*7.9+162*19.2+125*1.1+162*5.4)/$H16</f>
      </c>
      <c r="L16" s="6"/>
      <c r="M16" s="6"/>
      <c r="N16" s="7"/>
      <c r="O16" s="23"/>
      <c r="P16" s="6"/>
      <c r="Q16" s="6"/>
      <c r="R16" s="31"/>
      <c r="S16" s="6"/>
      <c r="T16" s="31"/>
      <c r="U16" s="6"/>
      <c r="V16" s="23"/>
      <c r="W16" s="6"/>
      <c r="X16" s="6"/>
      <c r="Y16" s="5"/>
      <c r="Z16" s="3"/>
      <c r="AA16" s="6">
        <f>H16*I16/100</f>
      </c>
      <c r="AB16" s="6">
        <f>H16*J16/100</f>
      </c>
      <c r="AC16" s="7">
        <f>H16*K16</f>
      </c>
      <c r="AD16" s="7">
        <f>H16*M16</f>
      </c>
      <c r="AE16" s="6">
        <f>H16*L16/100</f>
      </c>
      <c r="AF16" s="6">
        <f>AA16+AB16+AE16</f>
      </c>
      <c r="AG16" s="6">
        <f>I16+J16+L16</f>
      </c>
      <c r="AH16" s="53">
        <f>$H16*I16</f>
      </c>
      <c r="AI16" s="53">
        <f>$H16*J16</f>
      </c>
      <c r="AJ16" s="53">
        <f>$H16*K16</f>
      </c>
      <c r="AK16" s="53">
        <f>$H16*L16</f>
      </c>
      <c r="AL16" s="53">
        <f>$H16*M16</f>
      </c>
      <c r="AM16" s="3"/>
      <c r="AN16" s="5">
        <v>400</v>
      </c>
      <c r="AO16" s="5">
        <v>1</v>
      </c>
      <c r="AP16" s="5">
        <f>AN16*AO16/100</f>
      </c>
      <c r="AQ16" s="3"/>
    </row>
    <row x14ac:dyDescent="0.25" r="17" customHeight="1" ht="18">
      <c r="A17" s="5" t="s">
        <v>438</v>
      </c>
      <c r="B17" s="3" t="s">
        <v>1093</v>
      </c>
      <c r="C17" s="3" t="s">
        <v>870</v>
      </c>
      <c r="D17" s="3"/>
      <c r="E17" s="38" t="s">
        <v>859</v>
      </c>
      <c r="F17" s="3" t="s">
        <v>1171</v>
      </c>
      <c r="G17" s="3" t="s">
        <v>1189</v>
      </c>
      <c r="H17" s="6">
        <v>1.2</v>
      </c>
      <c r="I17" s="6">
        <v>1.67</v>
      </c>
      <c r="J17" s="6">
        <v>4.48</v>
      </c>
      <c r="K17" s="5">
        <v>104</v>
      </c>
      <c r="L17" s="6">
        <v>0.58</v>
      </c>
      <c r="M17" s="6">
        <v>1.3</v>
      </c>
      <c r="N17" s="7"/>
      <c r="O17" s="23"/>
      <c r="P17" s="6"/>
      <c r="Q17" s="6"/>
      <c r="R17" s="31"/>
      <c r="S17" s="6"/>
      <c r="T17" s="31"/>
      <c r="U17" s="6"/>
      <c r="V17" s="23"/>
      <c r="W17" s="6"/>
      <c r="X17" s="6"/>
      <c r="Y17" s="5"/>
      <c r="Z17" s="3"/>
      <c r="AA17" s="6">
        <f>H17*I17/100</f>
      </c>
      <c r="AB17" s="6">
        <f>H17*J17/100</f>
      </c>
      <c r="AC17" s="7">
        <f>H17*K17</f>
      </c>
      <c r="AD17" s="7">
        <f>H17*M17</f>
      </c>
      <c r="AE17" s="6">
        <f>H17*L17/100</f>
      </c>
      <c r="AF17" s="6">
        <f>AA17+AB17+AE17</f>
      </c>
      <c r="AG17" s="6">
        <f>I17+J17+L17</f>
      </c>
      <c r="AH17" s="53">
        <f>$H17*I17</f>
      </c>
      <c r="AI17" s="53">
        <f>$H17*J17</f>
      </c>
      <c r="AJ17" s="53">
        <f>$H17*K17</f>
      </c>
      <c r="AK17" s="53">
        <f>$H17*L17</f>
      </c>
      <c r="AL17" s="53">
        <f>$H17*M17</f>
      </c>
      <c r="AM17" s="3"/>
      <c r="AN17" s="5">
        <v>40</v>
      </c>
      <c r="AO17" s="5">
        <v>10</v>
      </c>
      <c r="AP17" s="5">
        <f>AN17*AO17/100</f>
      </c>
      <c r="AQ17" s="3"/>
    </row>
    <row x14ac:dyDescent="0.25" r="18" customHeight="1" ht="18">
      <c r="A18" s="5" t="s">
        <v>501</v>
      </c>
      <c r="B18" s="3" t="s">
        <v>1093</v>
      </c>
      <c r="C18" s="3" t="s">
        <v>870</v>
      </c>
      <c r="D18" s="3"/>
      <c r="E18" s="38" t="s">
        <v>859</v>
      </c>
      <c r="F18" s="3" t="s">
        <v>1190</v>
      </c>
      <c r="G18" s="3" t="s">
        <v>1191</v>
      </c>
      <c r="H18" s="7">
        <f>18*0.9072</f>
      </c>
      <c r="I18" s="7">
        <v>1</v>
      </c>
      <c r="J18" s="6">
        <v>2.2</v>
      </c>
      <c r="K18" s="5">
        <v>10</v>
      </c>
      <c r="L18" s="6">
        <v>0.9</v>
      </c>
      <c r="M18" s="6">
        <v>0.9</v>
      </c>
      <c r="N18" s="7"/>
      <c r="O18" s="23"/>
      <c r="P18" s="6"/>
      <c r="Q18" s="6"/>
      <c r="R18" s="31"/>
      <c r="S18" s="6"/>
      <c r="T18" s="31"/>
      <c r="U18" s="6"/>
      <c r="V18" s="23"/>
      <c r="W18" s="6"/>
      <c r="X18" s="6"/>
      <c r="Y18" s="5"/>
      <c r="Z18" s="3"/>
      <c r="AA18" s="6">
        <f>H18*I18/100</f>
      </c>
      <c r="AB18" s="6">
        <f>H18*J18/100</f>
      </c>
      <c r="AC18" s="7">
        <f>H18*K18</f>
      </c>
      <c r="AD18" s="7">
        <f>H18*M18</f>
      </c>
      <c r="AE18" s="6">
        <f>H18*L18/100</f>
      </c>
      <c r="AF18" s="6">
        <f>AA18+AB18+AE18</f>
      </c>
      <c r="AG18" s="6">
        <f>I18+J18+L18</f>
      </c>
      <c r="AH18" s="53">
        <f>$H18*I18</f>
      </c>
      <c r="AI18" s="53">
        <f>$H18*J18</f>
      </c>
      <c r="AJ18" s="53">
        <f>$H18*K18</f>
      </c>
      <c r="AK18" s="53">
        <f>$H18*L18</f>
      </c>
      <c r="AL18" s="53">
        <f>$H18*M18</f>
      </c>
      <c r="AM18" s="3"/>
      <c r="AN18" s="5"/>
      <c r="AO18" s="5"/>
      <c r="AP18" s="5"/>
      <c r="AQ18" s="3"/>
    </row>
    <row x14ac:dyDescent="0.25" r="19" customHeight="1" ht="18">
      <c r="A19" s="5" t="s">
        <v>528</v>
      </c>
      <c r="B19" s="3" t="s">
        <v>1093</v>
      </c>
      <c r="C19" s="3" t="s">
        <v>856</v>
      </c>
      <c r="D19" s="3" t="s">
        <v>929</v>
      </c>
      <c r="E19" s="3" t="s">
        <v>855</v>
      </c>
      <c r="F19" s="3" t="s">
        <v>1192</v>
      </c>
      <c r="G19" s="3" t="s">
        <v>1185</v>
      </c>
      <c r="H19" s="6">
        <f>2.8+10.6</f>
      </c>
      <c r="I19" s="7">
        <f>(0.2*2.8+0.1*10.6)/$H19</f>
      </c>
      <c r="J19" s="6">
        <f>(2.06*2.8+1.66*10.6)/$H19</f>
      </c>
      <c r="K19" s="7">
        <f>(49.82*2.8+41.18*10.6)/$H19</f>
      </c>
      <c r="L19" s="6">
        <f>(0.39*2.8+0.42*10.6)/$H19</f>
      </c>
      <c r="M19" s="7">
        <f>(2.6*2.8+2.3*10.6)/$H19</f>
      </c>
      <c r="N19" s="7"/>
      <c r="O19" s="23"/>
      <c r="P19" s="6"/>
      <c r="Q19" s="6"/>
      <c r="R19" s="31"/>
      <c r="S19" s="6"/>
      <c r="T19" s="31"/>
      <c r="U19" s="6"/>
      <c r="V19" s="23"/>
      <c r="W19" s="6"/>
      <c r="X19" s="6"/>
      <c r="Y19" s="5"/>
      <c r="Z19" s="3"/>
      <c r="AA19" s="6">
        <f>H19*I19/100</f>
      </c>
      <c r="AB19" s="6">
        <f>H19*J19/100</f>
      </c>
      <c r="AC19" s="7">
        <f>H19*K19</f>
      </c>
      <c r="AD19" s="7">
        <f>H19*M19</f>
      </c>
      <c r="AE19" s="6">
        <f>H19*L19/100</f>
      </c>
      <c r="AF19" s="6">
        <f>AA19+AB19+AE19</f>
      </c>
      <c r="AG19" s="6">
        <f>I19+J19+L19</f>
      </c>
      <c r="AH19" s="53">
        <f>$H19*I19</f>
      </c>
      <c r="AI19" s="53">
        <f>$H19*J19</f>
      </c>
      <c r="AJ19" s="53">
        <f>$H19*K19</f>
      </c>
      <c r="AK19" s="53">
        <f>$H19*L19</f>
      </c>
      <c r="AL19" s="53">
        <f>$H19*M19</f>
      </c>
      <c r="AM19" s="3"/>
      <c r="AN19" s="5"/>
      <c r="AO19" s="5"/>
      <c r="AP19" s="5"/>
      <c r="AQ19" s="3"/>
    </row>
    <row x14ac:dyDescent="0.25" r="20" customHeight="1" ht="18">
      <c r="A20" s="5" t="s">
        <v>263</v>
      </c>
      <c r="B20" s="3" t="s">
        <v>1093</v>
      </c>
      <c r="C20" s="3" t="s">
        <v>870</v>
      </c>
      <c r="D20" s="3"/>
      <c r="E20" s="38" t="s">
        <v>859</v>
      </c>
      <c r="F20" s="3" t="s">
        <v>1171</v>
      </c>
      <c r="G20" s="3" t="s">
        <v>1193</v>
      </c>
      <c r="H20" s="6">
        <v>4.5</v>
      </c>
      <c r="I20" s="6">
        <v>1.71</v>
      </c>
      <c r="J20" s="6">
        <v>4.96</v>
      </c>
      <c r="K20" s="6">
        <v>8.1</v>
      </c>
      <c r="L20" s="6">
        <v>3.54</v>
      </c>
      <c r="M20" s="6"/>
      <c r="N20" s="7"/>
      <c r="O20" s="23"/>
      <c r="P20" s="6"/>
      <c r="Q20" s="6"/>
      <c r="R20" s="31"/>
      <c r="S20" s="6"/>
      <c r="T20" s="31"/>
      <c r="U20" s="6"/>
      <c r="V20" s="23"/>
      <c r="W20" s="6"/>
      <c r="X20" s="6"/>
      <c r="Y20" s="5"/>
      <c r="Z20" s="3"/>
      <c r="AA20" s="6">
        <f>H20*I20/100</f>
      </c>
      <c r="AB20" s="6">
        <f>H20*J20/100</f>
      </c>
      <c r="AC20" s="7">
        <f>H20*K20</f>
      </c>
      <c r="AD20" s="7">
        <f>H20*M20</f>
      </c>
      <c r="AE20" s="6">
        <f>H20*L20/100</f>
      </c>
      <c r="AF20" s="6">
        <f>AA20+AB20+AE20</f>
      </c>
      <c r="AG20" s="6">
        <f>I20+J20+L20</f>
      </c>
      <c r="AH20" s="53">
        <f>$H20*I20</f>
      </c>
      <c r="AI20" s="53">
        <f>$H20*J20</f>
      </c>
      <c r="AJ20" s="53">
        <f>$H20*K20</f>
      </c>
      <c r="AK20" s="53">
        <f>$H20*L20</f>
      </c>
      <c r="AL20" s="53">
        <f>$H20*M20</f>
      </c>
      <c r="AM20" s="3"/>
      <c r="AN20" s="5">
        <v>4</v>
      </c>
      <c r="AO20" s="5">
        <v>100</v>
      </c>
      <c r="AP20" s="5">
        <f>AN20*AO20/100</f>
      </c>
      <c r="AQ20" s="3"/>
    </row>
    <row x14ac:dyDescent="0.25" r="21" customHeight="1" ht="18">
      <c r="A21" s="5" t="s">
        <v>412</v>
      </c>
      <c r="B21" s="3" t="s">
        <v>1093</v>
      </c>
      <c r="C21" s="3" t="s">
        <v>856</v>
      </c>
      <c r="D21" s="3" t="s">
        <v>928</v>
      </c>
      <c r="E21" s="38" t="s">
        <v>859</v>
      </c>
      <c r="F21" s="3" t="s">
        <v>1194</v>
      </c>
      <c r="G21" s="3" t="s">
        <v>1195</v>
      </c>
      <c r="H21" s="6">
        <v>15.4</v>
      </c>
      <c r="I21" s="6">
        <v>1.1</v>
      </c>
      <c r="J21" s="6">
        <v>1.21</v>
      </c>
      <c r="K21" s="6">
        <v>92.1</v>
      </c>
      <c r="L21" s="6">
        <v>0.8</v>
      </c>
      <c r="M21" s="6">
        <v>2.31</v>
      </c>
      <c r="N21" s="7"/>
      <c r="O21" s="23"/>
      <c r="P21" s="6"/>
      <c r="Q21" s="6"/>
      <c r="R21" s="31"/>
      <c r="S21" s="6"/>
      <c r="T21" s="31"/>
      <c r="U21" s="6"/>
      <c r="V21" s="23"/>
      <c r="W21" s="6"/>
      <c r="X21" s="6"/>
      <c r="Y21" s="5"/>
      <c r="Z21" s="3"/>
      <c r="AA21" s="6">
        <f>H21*I21/100</f>
      </c>
      <c r="AB21" s="6">
        <f>H21*J21/100</f>
      </c>
      <c r="AC21" s="7">
        <f>H21*K21</f>
      </c>
      <c r="AD21" s="7">
        <f>H21*M21</f>
      </c>
      <c r="AE21" s="6">
        <f>H21*L21/100</f>
      </c>
      <c r="AF21" s="6">
        <f>AA21+AB21+AE21</f>
      </c>
      <c r="AG21" s="6">
        <f>I21+J21+L21</f>
      </c>
      <c r="AH21" s="53">
        <f>$H21*I21</f>
      </c>
      <c r="AI21" s="53">
        <f>$H21*J21</f>
      </c>
      <c r="AJ21" s="53">
        <f>$H21*K21</f>
      </c>
      <c r="AK21" s="53">
        <f>$H21*L21</f>
      </c>
      <c r="AL21" s="53">
        <f>$H21*M21</f>
      </c>
      <c r="AM21" s="3"/>
      <c r="AN21" s="5"/>
      <c r="AO21" s="5"/>
      <c r="AP21" s="5"/>
      <c r="AQ21" s="3"/>
    </row>
    <row x14ac:dyDescent="0.25" r="22" customHeight="1" ht="18">
      <c r="A22" s="5" t="s">
        <v>127</v>
      </c>
      <c r="B22" s="3" t="s">
        <v>1094</v>
      </c>
      <c r="C22" s="3" t="s">
        <v>866</v>
      </c>
      <c r="D22" s="3" t="s">
        <v>989</v>
      </c>
      <c r="E22" s="3" t="s">
        <v>855</v>
      </c>
      <c r="F22" s="3" t="s">
        <v>1196</v>
      </c>
      <c r="G22" s="3" t="s">
        <v>1197</v>
      </c>
      <c r="H22" s="6">
        <v>96.7</v>
      </c>
      <c r="I22" s="6">
        <v>2.9</v>
      </c>
      <c r="J22" s="6">
        <v>2.4</v>
      </c>
      <c r="K22" s="5">
        <v>15</v>
      </c>
      <c r="L22" s="6"/>
      <c r="M22" s="6"/>
      <c r="N22" s="7">
        <v>16</v>
      </c>
      <c r="O22" s="23"/>
      <c r="P22" s="6"/>
      <c r="Q22" s="6"/>
      <c r="R22" s="31"/>
      <c r="S22" s="6"/>
      <c r="T22" s="31"/>
      <c r="U22" s="6"/>
      <c r="V22" s="23"/>
      <c r="W22" s="6"/>
      <c r="X22" s="6"/>
      <c r="Y22" s="5"/>
      <c r="Z22" s="3"/>
      <c r="AA22" s="6">
        <f>H22*I22/100</f>
      </c>
      <c r="AB22" s="6">
        <f>H22*J22/100</f>
      </c>
      <c r="AC22" s="7">
        <f>H22*K22</f>
      </c>
      <c r="AD22" s="7">
        <f>H22*M22</f>
      </c>
      <c r="AE22" s="6">
        <f>H22*L22/100</f>
      </c>
      <c r="AF22" s="6">
        <f>AA22+AB22+AE22</f>
      </c>
      <c r="AG22" s="6">
        <f>I22+J22+L22</f>
      </c>
      <c r="AH22" s="53">
        <f>$H22*I22</f>
      </c>
      <c r="AI22" s="53">
        <f>$H22*J22</f>
      </c>
      <c r="AJ22" s="53">
        <f>$H22*K22</f>
      </c>
      <c r="AK22" s="53">
        <f>$H22*L22</f>
      </c>
      <c r="AL22" s="53">
        <f>$H22*M22</f>
      </c>
      <c r="AM22" s="3"/>
      <c r="AN22" s="5"/>
      <c r="AO22" s="5"/>
      <c r="AP22" s="5"/>
      <c r="AQ22" s="3"/>
    </row>
    <row x14ac:dyDescent="0.25" r="23" customHeight="1" ht="18">
      <c r="A23" s="5" t="s">
        <v>680</v>
      </c>
      <c r="B23" s="3" t="s">
        <v>1094</v>
      </c>
      <c r="C23" s="3" t="s">
        <v>870</v>
      </c>
      <c r="D23" s="3"/>
      <c r="E23" s="3" t="s">
        <v>855</v>
      </c>
      <c r="F23" s="3" t="s">
        <v>1198</v>
      </c>
      <c r="G23" s="3" t="s">
        <v>1199</v>
      </c>
      <c r="H23" s="23">
        <v>0.056719</v>
      </c>
      <c r="I23" s="6">
        <v>1.22</v>
      </c>
      <c r="J23" s="6">
        <v>4.41</v>
      </c>
      <c r="K23" s="6">
        <v>32.7</v>
      </c>
      <c r="L23" s="6"/>
      <c r="M23" s="6"/>
      <c r="N23" s="7"/>
      <c r="O23" s="23"/>
      <c r="P23" s="6"/>
      <c r="Q23" s="6"/>
      <c r="R23" s="31"/>
      <c r="S23" s="6"/>
      <c r="T23" s="31"/>
      <c r="U23" s="6"/>
      <c r="V23" s="23"/>
      <c r="W23" s="6"/>
      <c r="X23" s="6"/>
      <c r="Y23" s="5"/>
      <c r="Z23" s="3"/>
      <c r="AA23" s="6">
        <f>H23*I23/100</f>
      </c>
      <c r="AB23" s="6">
        <f>H23*J23/100</f>
      </c>
      <c r="AC23" s="7">
        <f>H23*K23</f>
      </c>
      <c r="AD23" s="7">
        <f>H23*M23</f>
      </c>
      <c r="AE23" s="6">
        <f>H23*L23/100</f>
      </c>
      <c r="AF23" s="6">
        <f>AA23+AB23+AE23</f>
      </c>
      <c r="AG23" s="6">
        <f>I23+J23+L23</f>
      </c>
      <c r="AH23" s="53">
        <f>$H23*I23</f>
      </c>
      <c r="AI23" s="53">
        <f>$H23*J23</f>
      </c>
      <c r="AJ23" s="53">
        <f>$H23*K23</f>
      </c>
      <c r="AK23" s="53">
        <f>$H23*L23</f>
      </c>
      <c r="AL23" s="53">
        <f>$H23*M23</f>
      </c>
      <c r="AM23" s="3"/>
      <c r="AN23" s="5"/>
      <c r="AO23" s="5"/>
      <c r="AP23" s="5"/>
      <c r="AQ23" s="3"/>
    </row>
    <row x14ac:dyDescent="0.25" r="24" customHeight="1" ht="18">
      <c r="A24" s="5" t="s">
        <v>699</v>
      </c>
      <c r="B24" s="3" t="s">
        <v>1094</v>
      </c>
      <c r="C24" s="3" t="s">
        <v>866</v>
      </c>
      <c r="D24" s="3" t="s">
        <v>988</v>
      </c>
      <c r="E24" s="3" t="s">
        <v>855</v>
      </c>
      <c r="F24" s="3" t="s">
        <v>1200</v>
      </c>
      <c r="G24" s="3" t="s">
        <v>1201</v>
      </c>
      <c r="H24" s="6">
        <v>5.8</v>
      </c>
      <c r="I24" s="7">
        <v>4</v>
      </c>
      <c r="J24" s="6">
        <v>0.5</v>
      </c>
      <c r="K24" s="5">
        <v>40</v>
      </c>
      <c r="L24" s="6"/>
      <c r="M24" s="6"/>
      <c r="N24" s="7"/>
      <c r="O24" s="23"/>
      <c r="P24" s="6"/>
      <c r="Q24" s="6"/>
      <c r="R24" s="31"/>
      <c r="S24" s="6"/>
      <c r="T24" s="31"/>
      <c r="U24" s="6"/>
      <c r="V24" s="23"/>
      <c r="W24" s="6"/>
      <c r="X24" s="6"/>
      <c r="Y24" s="5"/>
      <c r="Z24" s="3"/>
      <c r="AA24" s="6">
        <f>H24*I24/100</f>
      </c>
      <c r="AB24" s="6">
        <f>H24*J24/100</f>
      </c>
      <c r="AC24" s="7">
        <f>H24*K24</f>
      </c>
      <c r="AD24" s="7">
        <f>H24*M24</f>
      </c>
      <c r="AE24" s="6">
        <f>H24*L24/100</f>
      </c>
      <c r="AF24" s="6">
        <f>AA24+AB24+AE24</f>
      </c>
      <c r="AG24" s="6">
        <f>I24+J24+L24</f>
      </c>
      <c r="AH24" s="53">
        <f>$H24*I24</f>
      </c>
      <c r="AI24" s="53">
        <f>$H24*J24</f>
      </c>
      <c r="AJ24" s="53">
        <f>$H24*K24</f>
      </c>
      <c r="AK24" s="53">
        <f>$H24*L24</f>
      </c>
      <c r="AL24" s="53">
        <f>$H24*M24</f>
      </c>
      <c r="AM24" s="3"/>
      <c r="AN24" s="5"/>
      <c r="AO24" s="5"/>
      <c r="AP24" s="5"/>
      <c r="AQ24" s="3"/>
    </row>
    <row x14ac:dyDescent="0.25" r="25" customHeight="1" ht="18">
      <c r="A25" s="5" t="s">
        <v>822</v>
      </c>
      <c r="B25" s="3" t="s">
        <v>1094</v>
      </c>
      <c r="C25" s="3" t="s">
        <v>870</v>
      </c>
      <c r="D25" s="3"/>
      <c r="E25" s="3" t="s">
        <v>855</v>
      </c>
      <c r="F25" s="3" t="s">
        <v>1202</v>
      </c>
      <c r="G25" s="3" t="s">
        <v>1203</v>
      </c>
      <c r="H25" s="23">
        <v>0.876831</v>
      </c>
      <c r="I25" s="6"/>
      <c r="J25" s="6">
        <v>1.97</v>
      </c>
      <c r="K25" s="5">
        <v>6</v>
      </c>
      <c r="L25" s="6">
        <v>0.96</v>
      </c>
      <c r="M25" s="6"/>
      <c r="N25" s="7"/>
      <c r="O25" s="23"/>
      <c r="P25" s="6"/>
      <c r="Q25" s="6"/>
      <c r="R25" s="31"/>
      <c r="S25" s="6"/>
      <c r="T25" s="31"/>
      <c r="U25" s="6"/>
      <c r="V25" s="23"/>
      <c r="W25" s="6"/>
      <c r="X25" s="6"/>
      <c r="Y25" s="5"/>
      <c r="Z25" s="3"/>
      <c r="AA25" s="6">
        <f>H25*I25/100</f>
      </c>
      <c r="AB25" s="6">
        <f>H25*J25/100</f>
      </c>
      <c r="AC25" s="7">
        <f>H25*K25</f>
      </c>
      <c r="AD25" s="7">
        <f>H25*M25</f>
      </c>
      <c r="AE25" s="6">
        <f>H25*L25/100</f>
      </c>
      <c r="AF25" s="6">
        <f>AA25+AB25+AE25</f>
      </c>
      <c r="AG25" s="6">
        <f>I25+J25+L25</f>
      </c>
      <c r="AH25" s="53">
        <f>$H25*I25</f>
      </c>
      <c r="AI25" s="53">
        <f>$H25*J25</f>
      </c>
      <c r="AJ25" s="53">
        <f>$H25*K25</f>
      </c>
      <c r="AK25" s="53">
        <f>$H25*L25</f>
      </c>
      <c r="AL25" s="53">
        <f>$H25*M25</f>
      </c>
      <c r="AM25" s="3"/>
      <c r="AN25" s="5"/>
      <c r="AO25" s="5"/>
      <c r="AP25" s="5"/>
      <c r="AQ25" s="3"/>
    </row>
    <row x14ac:dyDescent="0.25" r="26" customHeight="1" ht="18">
      <c r="A26" s="5" t="s">
        <v>629</v>
      </c>
      <c r="B26" s="3" t="s">
        <v>1094</v>
      </c>
      <c r="C26" s="3" t="s">
        <v>866</v>
      </c>
      <c r="D26" s="3" t="s">
        <v>988</v>
      </c>
      <c r="E26" s="3" t="s">
        <v>855</v>
      </c>
      <c r="F26" s="3" t="s">
        <v>1176</v>
      </c>
      <c r="G26" s="3" t="s">
        <v>1204</v>
      </c>
      <c r="H26" s="6">
        <v>0.91</v>
      </c>
      <c r="I26" s="6">
        <v>1.7</v>
      </c>
      <c r="J26" s="6">
        <v>4.2</v>
      </c>
      <c r="K26" s="7">
        <v>31.059375124956194</v>
      </c>
      <c r="L26" s="17">
        <v>0.22</v>
      </c>
      <c r="M26" s="17">
        <v>0.5</v>
      </c>
      <c r="N26" s="7"/>
      <c r="O26" s="23"/>
      <c r="P26" s="6"/>
      <c r="Q26" s="6"/>
      <c r="R26" s="31"/>
      <c r="S26" s="6"/>
      <c r="T26" s="31"/>
      <c r="U26" s="6"/>
      <c r="V26" s="23"/>
      <c r="W26" s="6"/>
      <c r="X26" s="6"/>
      <c r="Y26" s="5"/>
      <c r="Z26" s="3"/>
      <c r="AA26" s="6">
        <f>H26*I26/100</f>
      </c>
      <c r="AB26" s="6">
        <f>H26*J26/100</f>
      </c>
      <c r="AC26" s="7">
        <f>H26*K26</f>
      </c>
      <c r="AD26" s="7">
        <f>H26*M26</f>
      </c>
      <c r="AE26" s="6">
        <f>H26*L26/100</f>
      </c>
      <c r="AF26" s="6">
        <f>AA26+AB26+AE26</f>
      </c>
      <c r="AG26" s="6">
        <f>I26+J26+L26</f>
      </c>
      <c r="AH26" s="53">
        <f>$H26*I26</f>
      </c>
      <c r="AI26" s="53">
        <f>$H26*J26</f>
      </c>
      <c r="AJ26" s="53">
        <f>$H26*K26</f>
      </c>
      <c r="AK26" s="53">
        <f>$H26*L26</f>
      </c>
      <c r="AL26" s="53">
        <f>$H26*M26</f>
      </c>
      <c r="AM26" s="3"/>
      <c r="AN26" s="5"/>
      <c r="AO26" s="5"/>
      <c r="AP26" s="5"/>
      <c r="AQ26" s="3"/>
    </row>
    <row x14ac:dyDescent="0.25" r="27" customHeight="1" ht="18">
      <c r="A27" s="5" t="s">
        <v>668</v>
      </c>
      <c r="B27" s="3" t="s">
        <v>1094</v>
      </c>
      <c r="C27" s="3" t="s">
        <v>1205</v>
      </c>
      <c r="D27" s="3" t="s">
        <v>963</v>
      </c>
      <c r="E27" s="3" t="s">
        <v>855</v>
      </c>
      <c r="F27" s="3" t="s">
        <v>1206</v>
      </c>
      <c r="G27" s="3" t="s">
        <v>1207</v>
      </c>
      <c r="H27" s="6">
        <v>12.2</v>
      </c>
      <c r="I27" s="6">
        <v>0.56</v>
      </c>
      <c r="J27" s="6"/>
      <c r="K27" s="5"/>
      <c r="L27" s="6">
        <v>0.49</v>
      </c>
      <c r="M27" s="6"/>
      <c r="N27" s="7"/>
      <c r="O27" s="6">
        <v>0.14</v>
      </c>
      <c r="P27" s="6">
        <v>0.14</v>
      </c>
      <c r="Q27" s="6"/>
      <c r="R27" s="31"/>
      <c r="S27" s="6"/>
      <c r="T27" s="31"/>
      <c r="U27" s="6"/>
      <c r="V27" s="23"/>
      <c r="W27" s="6"/>
      <c r="X27" s="6"/>
      <c r="Y27" s="5"/>
      <c r="Z27" s="3"/>
      <c r="AA27" s="6">
        <f>H27*I27/100</f>
      </c>
      <c r="AB27" s="6">
        <f>H27*J27/100</f>
      </c>
      <c r="AC27" s="7">
        <f>H27*K27</f>
      </c>
      <c r="AD27" s="7">
        <f>H27*M27</f>
      </c>
      <c r="AE27" s="6">
        <f>H27*L27/100</f>
      </c>
      <c r="AF27" s="6">
        <f>AA27+AB27+AE27</f>
      </c>
      <c r="AG27" s="6">
        <f>I27+J27+L27</f>
      </c>
      <c r="AH27" s="53">
        <f>$H27*I27</f>
      </c>
      <c r="AI27" s="53">
        <f>$H27*J27</f>
      </c>
      <c r="AJ27" s="53">
        <f>$H27*K27</f>
      </c>
      <c r="AK27" s="53">
        <f>$H27*L27</f>
      </c>
      <c r="AL27" s="53">
        <f>$H27*M27</f>
      </c>
      <c r="AM27" s="3"/>
      <c r="AN27" s="5"/>
      <c r="AO27" s="5"/>
      <c r="AP27" s="5"/>
      <c r="AQ27" s="3"/>
    </row>
    <row x14ac:dyDescent="0.25" r="28" customHeight="1" ht="18">
      <c r="A28" s="5" t="s">
        <v>397</v>
      </c>
      <c r="B28" s="3" t="s">
        <v>1094</v>
      </c>
      <c r="C28" s="3" t="s">
        <v>870</v>
      </c>
      <c r="D28" s="3"/>
      <c r="E28" s="3" t="s">
        <v>855</v>
      </c>
      <c r="F28" s="3" t="s">
        <v>1196</v>
      </c>
      <c r="G28" s="3" t="s">
        <v>1197</v>
      </c>
      <c r="H28" s="23">
        <v>2.976637</v>
      </c>
      <c r="I28" s="6">
        <v>2.1415765161813343</v>
      </c>
      <c r="J28" s="6">
        <v>5.057954659593077</v>
      </c>
      <c r="K28" s="7">
        <v>39.29066376374061</v>
      </c>
      <c r="L28" s="6">
        <v>1.5926444352859215</v>
      </c>
      <c r="M28" s="6">
        <v>0.40780120508843704</v>
      </c>
      <c r="N28" s="7"/>
      <c r="O28" s="23"/>
      <c r="P28" s="6"/>
      <c r="Q28" s="6"/>
      <c r="R28" s="31"/>
      <c r="S28" s="6"/>
      <c r="T28" s="31"/>
      <c r="U28" s="6"/>
      <c r="V28" s="23"/>
      <c r="W28" s="6"/>
      <c r="X28" s="6"/>
      <c r="Y28" s="5"/>
      <c r="Z28" s="3"/>
      <c r="AA28" s="6">
        <f>H28*I28/100</f>
      </c>
      <c r="AB28" s="6">
        <f>H28*J28/100</f>
      </c>
      <c r="AC28" s="7">
        <f>H28*K28</f>
      </c>
      <c r="AD28" s="7">
        <f>H28*M28</f>
      </c>
      <c r="AE28" s="6">
        <f>H28*L28/100</f>
      </c>
      <c r="AF28" s="6">
        <f>AA28+AB28+AE28</f>
      </c>
      <c r="AG28" s="6">
        <f>I28+J28+L28</f>
      </c>
      <c r="AH28" s="53">
        <f>$H28*I28</f>
      </c>
      <c r="AI28" s="53">
        <f>$H28*J28</f>
      </c>
      <c r="AJ28" s="53">
        <f>$H28*K28</f>
      </c>
      <c r="AK28" s="53">
        <f>$H28*L28</f>
      </c>
      <c r="AL28" s="53">
        <f>$H28*M28</f>
      </c>
      <c r="AM28" s="3"/>
      <c r="AN28" s="5"/>
      <c r="AO28" s="5"/>
      <c r="AP28" s="5"/>
      <c r="AQ28" s="3"/>
    </row>
    <row x14ac:dyDescent="0.25" r="29" customHeight="1" ht="18">
      <c r="A29" s="5" t="s">
        <v>847</v>
      </c>
      <c r="B29" s="3" t="s">
        <v>1094</v>
      </c>
      <c r="C29" s="3" t="s">
        <v>856</v>
      </c>
      <c r="D29" s="3" t="s">
        <v>929</v>
      </c>
      <c r="E29" s="3" t="s">
        <v>855</v>
      </c>
      <c r="F29" s="3" t="s">
        <v>1208</v>
      </c>
      <c r="G29" s="3" t="s">
        <v>1203</v>
      </c>
      <c r="H29" s="23">
        <v>0.095</v>
      </c>
      <c r="I29" s="6">
        <v>2.08</v>
      </c>
      <c r="J29" s="7"/>
      <c r="K29" s="31"/>
      <c r="L29" s="6"/>
      <c r="M29" s="6">
        <v>0.2</v>
      </c>
      <c r="N29" s="7"/>
      <c r="O29" s="23"/>
      <c r="P29" s="6"/>
      <c r="Q29" s="6"/>
      <c r="R29" s="31"/>
      <c r="S29" s="6"/>
      <c r="T29" s="31"/>
      <c r="U29" s="6"/>
      <c r="V29" s="23"/>
      <c r="W29" s="6"/>
      <c r="X29" s="6"/>
      <c r="Y29" s="5"/>
      <c r="Z29" s="3"/>
      <c r="AA29" s="6">
        <f>H29*I29/100</f>
      </c>
      <c r="AB29" s="6">
        <f>H29*J29/100</f>
      </c>
      <c r="AC29" s="7">
        <f>H29*K29</f>
      </c>
      <c r="AD29" s="7">
        <f>H29*M29</f>
      </c>
      <c r="AE29" s="6">
        <f>H29*L29/100</f>
      </c>
      <c r="AF29" s="6">
        <f>AA29+AB29+AE29</f>
      </c>
      <c r="AG29" s="6">
        <f>I29+J29+L29</f>
      </c>
      <c r="AH29" s="53">
        <f>$H29*I29</f>
      </c>
      <c r="AI29" s="53">
        <f>$H29*J29</f>
      </c>
      <c r="AJ29" s="53">
        <f>$H29*K29</f>
      </c>
      <c r="AK29" s="53">
        <f>$H29*L29</f>
      </c>
      <c r="AL29" s="53">
        <f>$H29*M29</f>
      </c>
      <c r="AM29" s="3"/>
      <c r="AN29" s="5"/>
      <c r="AO29" s="5"/>
      <c r="AP29" s="5"/>
      <c r="AQ29" s="3"/>
    </row>
    <row x14ac:dyDescent="0.25" r="30" customHeight="1" ht="18">
      <c r="A30" s="5" t="s">
        <v>631</v>
      </c>
      <c r="B30" s="3" t="s">
        <v>1094</v>
      </c>
      <c r="C30" s="3" t="s">
        <v>870</v>
      </c>
      <c r="D30" s="3"/>
      <c r="E30" s="3" t="s">
        <v>855</v>
      </c>
      <c r="F30" s="3" t="s">
        <v>1209</v>
      </c>
      <c r="G30" s="3" t="s">
        <v>1210</v>
      </c>
      <c r="H30" s="23">
        <v>2.5</v>
      </c>
      <c r="I30" s="6">
        <v>1.2</v>
      </c>
      <c r="J30" s="7">
        <v>2</v>
      </c>
      <c r="K30" s="31">
        <v>36</v>
      </c>
      <c r="L30" s="6">
        <v>1.8</v>
      </c>
      <c r="M30" s="6">
        <v>0.14</v>
      </c>
      <c r="N30" s="7"/>
      <c r="O30" s="23"/>
      <c r="P30" s="6"/>
      <c r="Q30" s="6"/>
      <c r="R30" s="31"/>
      <c r="S30" s="6"/>
      <c r="T30" s="31"/>
      <c r="U30" s="6"/>
      <c r="V30" s="23"/>
      <c r="W30" s="6"/>
      <c r="X30" s="6"/>
      <c r="Y30" s="5"/>
      <c r="Z30" s="3"/>
      <c r="AA30" s="6">
        <f>H30*I30/100</f>
      </c>
      <c r="AB30" s="6">
        <f>H30*J30/100</f>
      </c>
      <c r="AC30" s="7">
        <f>H30*K30</f>
      </c>
      <c r="AD30" s="7">
        <f>H30*M30</f>
      </c>
      <c r="AE30" s="6">
        <f>H30*L30/100</f>
      </c>
      <c r="AF30" s="6">
        <f>AA30+AB30+AE30</f>
      </c>
      <c r="AG30" s="6">
        <f>I30+J30+L30</f>
      </c>
      <c r="AH30" s="53">
        <f>$H30*I30</f>
      </c>
      <c r="AI30" s="53">
        <f>$H30*J30</f>
      </c>
      <c r="AJ30" s="53">
        <f>$H30*K30</f>
      </c>
      <c r="AK30" s="53">
        <f>$H30*L30</f>
      </c>
      <c r="AL30" s="53">
        <f>$H30*M30</f>
      </c>
      <c r="AM30" s="3"/>
      <c r="AN30" s="5"/>
      <c r="AO30" s="5"/>
      <c r="AP30" s="5"/>
      <c r="AQ30" s="3"/>
    </row>
    <row x14ac:dyDescent="0.25" r="31" customHeight="1" ht="18">
      <c r="A31" s="5" t="s">
        <v>707</v>
      </c>
      <c r="B31" s="3" t="s">
        <v>1094</v>
      </c>
      <c r="C31" s="3" t="s">
        <v>870</v>
      </c>
      <c r="D31" s="3"/>
      <c r="E31" s="3" t="s">
        <v>855</v>
      </c>
      <c r="F31" s="3" t="s">
        <v>1211</v>
      </c>
      <c r="G31" s="3" t="s">
        <v>1212</v>
      </c>
      <c r="H31" s="23">
        <v>2.545049</v>
      </c>
      <c r="I31" s="6">
        <v>1.1</v>
      </c>
      <c r="J31" s="6">
        <v>3.75</v>
      </c>
      <c r="K31" s="6">
        <v>39.61</v>
      </c>
      <c r="L31" s="6">
        <v>0.4</v>
      </c>
      <c r="M31" s="6"/>
      <c r="N31" s="7"/>
      <c r="O31" s="23"/>
      <c r="P31" s="6"/>
      <c r="Q31" s="6"/>
      <c r="R31" s="31"/>
      <c r="S31" s="6"/>
      <c r="T31" s="31"/>
      <c r="U31" s="6"/>
      <c r="V31" s="23"/>
      <c r="W31" s="6"/>
      <c r="X31" s="6"/>
      <c r="Y31" s="5"/>
      <c r="Z31" s="3"/>
      <c r="AA31" s="6">
        <f>H31*I31/100</f>
      </c>
      <c r="AB31" s="6">
        <f>H31*J31/100</f>
      </c>
      <c r="AC31" s="7">
        <f>H31*K31</f>
      </c>
      <c r="AD31" s="7">
        <f>H31*M31</f>
      </c>
      <c r="AE31" s="6">
        <f>H31*L31/100</f>
      </c>
      <c r="AF31" s="6">
        <f>AA31+AB31+AE31</f>
      </c>
      <c r="AG31" s="6">
        <f>I31+J31+L31</f>
      </c>
      <c r="AH31" s="53">
        <f>$H31*I31</f>
      </c>
      <c r="AI31" s="53">
        <f>$H31*J31</f>
      </c>
      <c r="AJ31" s="53">
        <f>$H31*K31</f>
      </c>
      <c r="AK31" s="53">
        <f>$H31*L31</f>
      </c>
      <c r="AL31" s="53">
        <f>$H31*M31</f>
      </c>
      <c r="AM31" s="3"/>
      <c r="AN31" s="5"/>
      <c r="AO31" s="5"/>
      <c r="AP31" s="5"/>
      <c r="AQ31" s="3"/>
    </row>
    <row x14ac:dyDescent="0.25" r="32" customHeight="1" ht="18">
      <c r="A32" s="5" t="s">
        <v>186</v>
      </c>
      <c r="B32" s="3" t="s">
        <v>1094</v>
      </c>
      <c r="C32" s="3" t="s">
        <v>870</v>
      </c>
      <c r="D32" s="3"/>
      <c r="E32" s="3" t="s">
        <v>855</v>
      </c>
      <c r="F32" s="3" t="s">
        <v>1213</v>
      </c>
      <c r="G32" s="3" t="s">
        <v>1204</v>
      </c>
      <c r="H32" s="6">
        <v>2.771</v>
      </c>
      <c r="I32" s="6"/>
      <c r="J32" s="6">
        <v>9.6</v>
      </c>
      <c r="K32" s="5">
        <v>139</v>
      </c>
      <c r="L32" s="6">
        <v>1.9</v>
      </c>
      <c r="M32" s="6">
        <v>0.8</v>
      </c>
      <c r="N32" s="7"/>
      <c r="O32" s="23"/>
      <c r="P32" s="6"/>
      <c r="Q32" s="6"/>
      <c r="R32" s="31"/>
      <c r="S32" s="6"/>
      <c r="T32" s="31"/>
      <c r="U32" s="6"/>
      <c r="V32" s="23"/>
      <c r="W32" s="6"/>
      <c r="X32" s="6"/>
      <c r="Y32" s="5"/>
      <c r="Z32" s="3"/>
      <c r="AA32" s="6">
        <f>H32*I32/100</f>
      </c>
      <c r="AB32" s="6">
        <f>H32*J32/100</f>
      </c>
      <c r="AC32" s="7">
        <f>H32*K32</f>
      </c>
      <c r="AD32" s="7">
        <f>H32*M32</f>
      </c>
      <c r="AE32" s="6">
        <f>H32*L32/100</f>
      </c>
      <c r="AF32" s="6">
        <f>AA32+AB32+AE32</f>
      </c>
      <c r="AG32" s="6">
        <f>I32+J32+L32</f>
      </c>
      <c r="AH32" s="53">
        <f>$H32*I32</f>
      </c>
      <c r="AI32" s="53">
        <f>$H32*J32</f>
      </c>
      <c r="AJ32" s="53">
        <f>$H32*K32</f>
      </c>
      <c r="AK32" s="53">
        <f>$H32*L32</f>
      </c>
      <c r="AL32" s="53">
        <f>$H32*M32</f>
      </c>
      <c r="AM32" s="3"/>
      <c r="AN32" s="5"/>
      <c r="AO32" s="5"/>
      <c r="AP32" s="5"/>
      <c r="AQ32" s="3"/>
    </row>
    <row x14ac:dyDescent="0.25" r="33" customHeight="1" ht="18">
      <c r="A33" s="5" t="s">
        <v>422</v>
      </c>
      <c r="B33" s="3" t="s">
        <v>1094</v>
      </c>
      <c r="C33" s="3" t="s">
        <v>856</v>
      </c>
      <c r="D33" s="3" t="s">
        <v>928</v>
      </c>
      <c r="E33" s="3" t="s">
        <v>855</v>
      </c>
      <c r="F33" s="3" t="s">
        <v>1214</v>
      </c>
      <c r="G33" s="3" t="s">
        <v>1204</v>
      </c>
      <c r="H33" s="7">
        <v>88</v>
      </c>
      <c r="I33" s="6">
        <v>0.29</v>
      </c>
      <c r="J33" s="6">
        <v>0.39</v>
      </c>
      <c r="K33" s="6">
        <v>47.4</v>
      </c>
      <c r="L33" s="6"/>
      <c r="M33" s="6"/>
      <c r="N33" s="7"/>
      <c r="O33" s="23"/>
      <c r="P33" s="6"/>
      <c r="Q33" s="6"/>
      <c r="R33" s="31"/>
      <c r="S33" s="6"/>
      <c r="T33" s="31"/>
      <c r="U33" s="6"/>
      <c r="V33" s="23"/>
      <c r="W33" s="6"/>
      <c r="X33" s="6"/>
      <c r="Y33" s="5"/>
      <c r="Z33" s="3"/>
      <c r="AA33" s="6">
        <f>H33*I33/100</f>
      </c>
      <c r="AB33" s="6">
        <f>H33*J33/100</f>
      </c>
      <c r="AC33" s="7">
        <f>H33*K33</f>
      </c>
      <c r="AD33" s="7">
        <f>H33*M33</f>
      </c>
      <c r="AE33" s="6">
        <f>H33*L33/100</f>
      </c>
      <c r="AF33" s="6">
        <f>AA33+AB33+AE33</f>
      </c>
      <c r="AG33" s="6">
        <f>I33+J33+L33</f>
      </c>
      <c r="AH33" s="53">
        <f>$H33*I33</f>
      </c>
      <c r="AI33" s="53">
        <f>$H33*J33</f>
      </c>
      <c r="AJ33" s="53">
        <f>$H33*K33</f>
      </c>
      <c r="AK33" s="53">
        <f>$H33*L33</f>
      </c>
      <c r="AL33" s="53">
        <f>$H33*M33</f>
      </c>
      <c r="AM33" s="3"/>
      <c r="AN33" s="5"/>
      <c r="AO33" s="5"/>
      <c r="AP33" s="5"/>
      <c r="AQ33" s="3"/>
    </row>
    <row x14ac:dyDescent="0.25" r="34" customHeight="1" ht="18">
      <c r="A34" s="5" t="s">
        <v>112</v>
      </c>
      <c r="B34" s="3" t="s">
        <v>1094</v>
      </c>
      <c r="C34" s="3" t="s">
        <v>866</v>
      </c>
      <c r="D34" s="3" t="s">
        <v>988</v>
      </c>
      <c r="E34" s="3" t="s">
        <v>855</v>
      </c>
      <c r="F34" s="3" t="s">
        <v>1215</v>
      </c>
      <c r="G34" s="3" t="s">
        <v>1216</v>
      </c>
      <c r="H34" s="6">
        <v>21.7</v>
      </c>
      <c r="I34" s="7">
        <v>7</v>
      </c>
      <c r="J34" s="6">
        <v>9.2</v>
      </c>
      <c r="K34" s="5">
        <v>89</v>
      </c>
      <c r="L34" s="6"/>
      <c r="M34" s="6"/>
      <c r="N34" s="7"/>
      <c r="O34" s="23"/>
      <c r="P34" s="6"/>
      <c r="Q34" s="6"/>
      <c r="R34" s="31"/>
      <c r="S34" s="6"/>
      <c r="T34" s="31"/>
      <c r="U34" s="6"/>
      <c r="V34" s="23"/>
      <c r="W34" s="6"/>
      <c r="X34" s="6"/>
      <c r="Y34" s="5"/>
      <c r="Z34" s="3"/>
      <c r="AA34" s="6">
        <f>H34*I34/100</f>
      </c>
      <c r="AB34" s="6">
        <f>H34*J34/100</f>
      </c>
      <c r="AC34" s="7">
        <f>H34*K34</f>
      </c>
      <c r="AD34" s="7">
        <f>H34*M34</f>
      </c>
      <c r="AE34" s="6">
        <f>H34*L34/100</f>
      </c>
      <c r="AF34" s="6">
        <f>AA34+AB34+AE34</f>
      </c>
      <c r="AG34" s="6">
        <f>I34+J34+L34</f>
      </c>
      <c r="AH34" s="53">
        <f>$H34*I34</f>
      </c>
      <c r="AI34" s="53">
        <f>$H34*J34</f>
      </c>
      <c r="AJ34" s="53">
        <f>$H34*K34</f>
      </c>
      <c r="AK34" s="53">
        <f>$H34*L34</f>
      </c>
      <c r="AL34" s="53">
        <f>$H34*M34</f>
      </c>
      <c r="AM34" s="3"/>
      <c r="AN34" s="5"/>
      <c r="AO34" s="5"/>
      <c r="AP34" s="5"/>
      <c r="AQ34" s="3"/>
    </row>
    <row x14ac:dyDescent="0.25" r="35" customHeight="1" ht="18">
      <c r="A35" s="5" t="s">
        <v>234</v>
      </c>
      <c r="B35" s="3" t="s">
        <v>1094</v>
      </c>
      <c r="C35" s="3" t="s">
        <v>866</v>
      </c>
      <c r="D35" s="3" t="s">
        <v>988</v>
      </c>
      <c r="E35" s="3" t="s">
        <v>855</v>
      </c>
      <c r="F35" s="3" t="s">
        <v>1217</v>
      </c>
      <c r="G35" s="3" t="s">
        <v>1218</v>
      </c>
      <c r="H35" s="6">
        <v>16.503</v>
      </c>
      <c r="I35" s="7">
        <v>5.147355026358843</v>
      </c>
      <c r="J35" s="7">
        <v>6.60997394413137</v>
      </c>
      <c r="K35" s="31">
        <v>89.09580076349754</v>
      </c>
      <c r="L35" s="6"/>
      <c r="M35" s="6"/>
      <c r="N35" s="7"/>
      <c r="O35" s="23"/>
      <c r="P35" s="6"/>
      <c r="Q35" s="6"/>
      <c r="R35" s="31"/>
      <c r="S35" s="6"/>
      <c r="T35" s="31"/>
      <c r="U35" s="6"/>
      <c r="V35" s="23"/>
      <c r="W35" s="6"/>
      <c r="X35" s="6"/>
      <c r="Y35" s="5"/>
      <c r="Z35" s="3"/>
      <c r="AA35" s="6">
        <f>H35*I35/100</f>
      </c>
      <c r="AB35" s="6">
        <f>H35*J35/100</f>
      </c>
      <c r="AC35" s="7">
        <f>H35*K35</f>
      </c>
      <c r="AD35" s="7">
        <f>H35*M35</f>
      </c>
      <c r="AE35" s="6">
        <f>H35*L35/100</f>
      </c>
      <c r="AF35" s="6">
        <f>AA35+AB35+AE35</f>
      </c>
      <c r="AG35" s="6">
        <f>I35+J35+L35</f>
      </c>
      <c r="AH35" s="53">
        <f>$H35*I35</f>
      </c>
      <c r="AI35" s="53">
        <f>$H35*J35</f>
      </c>
      <c r="AJ35" s="53">
        <f>$H35*K35</f>
      </c>
      <c r="AK35" s="53">
        <f>$H35*L35</f>
      </c>
      <c r="AL35" s="53">
        <f>$H35*M35</f>
      </c>
      <c r="AM35" s="3"/>
      <c r="AN35" s="5"/>
      <c r="AO35" s="5"/>
      <c r="AP35" s="5"/>
      <c r="AQ35" s="3"/>
    </row>
    <row x14ac:dyDescent="0.25" r="36" customHeight="1" ht="18">
      <c r="A36" s="5" t="s">
        <v>529</v>
      </c>
      <c r="B36" s="3" t="s">
        <v>1094</v>
      </c>
      <c r="C36" s="3" t="s">
        <v>864</v>
      </c>
      <c r="D36" s="3"/>
      <c r="E36" s="3" t="s">
        <v>855</v>
      </c>
      <c r="F36" s="3" t="s">
        <v>1219</v>
      </c>
      <c r="G36" s="3" t="s">
        <v>1220</v>
      </c>
      <c r="H36" s="6">
        <v>20.5</v>
      </c>
      <c r="I36" s="6">
        <v>1.1</v>
      </c>
      <c r="J36" s="5">
        <v>2</v>
      </c>
      <c r="K36" s="5">
        <v>9</v>
      </c>
      <c r="L36" s="6">
        <v>0.1</v>
      </c>
      <c r="M36" s="6"/>
      <c r="N36" s="7"/>
      <c r="O36" s="23"/>
      <c r="P36" s="6"/>
      <c r="Q36" s="6"/>
      <c r="R36" s="31"/>
      <c r="S36" s="6"/>
      <c r="T36" s="31"/>
      <c r="U36" s="6"/>
      <c r="V36" s="23"/>
      <c r="W36" s="6"/>
      <c r="X36" s="6"/>
      <c r="Y36" s="5"/>
      <c r="Z36" s="3"/>
      <c r="AA36" s="6">
        <f>H36*I36/100</f>
      </c>
      <c r="AB36" s="6">
        <f>H36*J36/100</f>
      </c>
      <c r="AC36" s="7">
        <f>H36*K36</f>
      </c>
      <c r="AD36" s="7">
        <f>H36*M36</f>
      </c>
      <c r="AE36" s="6">
        <f>H36*L36/100</f>
      </c>
      <c r="AF36" s="6">
        <f>AA36+AB36+AE36</f>
      </c>
      <c r="AG36" s="6">
        <f>I36+J36+L36</f>
      </c>
      <c r="AH36" s="53">
        <f>$H36*I36</f>
      </c>
      <c r="AI36" s="53">
        <f>$H36*J36</f>
      </c>
      <c r="AJ36" s="53">
        <f>$H36*K36</f>
      </c>
      <c r="AK36" s="53">
        <f>$H36*L36</f>
      </c>
      <c r="AL36" s="53">
        <f>$H36*M36</f>
      </c>
      <c r="AM36" s="3"/>
      <c r="AN36" s="5"/>
      <c r="AO36" s="5"/>
      <c r="AP36" s="5"/>
      <c r="AQ36" s="3"/>
    </row>
    <row x14ac:dyDescent="0.25" r="37" customHeight="1" ht="18">
      <c r="A37" s="5" t="s">
        <v>226</v>
      </c>
      <c r="B37" s="3" t="s">
        <v>1094</v>
      </c>
      <c r="C37" s="3" t="s">
        <v>963</v>
      </c>
      <c r="D37" s="3"/>
      <c r="E37" s="3" t="s">
        <v>855</v>
      </c>
      <c r="F37" s="3" t="s">
        <v>1221</v>
      </c>
      <c r="G37" s="3" t="s">
        <v>1222</v>
      </c>
      <c r="H37" s="6">
        <v>54.5</v>
      </c>
      <c r="I37" s="6">
        <v>3.094935779816514</v>
      </c>
      <c r="J37" s="6">
        <v>0.6040917431192661</v>
      </c>
      <c r="K37" s="18">
        <v>12.143120567375886</v>
      </c>
      <c r="L37" s="6">
        <v>0.4310642201834863</v>
      </c>
      <c r="M37" s="6"/>
      <c r="N37" s="7"/>
      <c r="O37" s="23">
        <v>0.08207339449541286</v>
      </c>
      <c r="P37" s="6">
        <v>0.09862385321100918</v>
      </c>
      <c r="Q37" s="6"/>
      <c r="R37" s="31"/>
      <c r="S37" s="6"/>
      <c r="T37" s="31"/>
      <c r="U37" s="6"/>
      <c r="V37" s="23"/>
      <c r="W37" s="6"/>
      <c r="X37" s="6"/>
      <c r="Y37" s="5"/>
      <c r="Z37" s="3"/>
      <c r="AA37" s="6">
        <f>H37*I37/100</f>
      </c>
      <c r="AB37" s="6">
        <f>H37*J37/100</f>
      </c>
      <c r="AC37" s="7">
        <f>H37*K37</f>
      </c>
      <c r="AD37" s="7">
        <f>H37*M37</f>
      </c>
      <c r="AE37" s="6">
        <f>H37*L37/100</f>
      </c>
      <c r="AF37" s="6">
        <f>AA37+AB37+AE37</f>
      </c>
      <c r="AG37" s="6">
        <f>I37+J37+L37</f>
      </c>
      <c r="AH37" s="53">
        <f>$H37*I37</f>
      </c>
      <c r="AI37" s="53">
        <f>$H37*J37</f>
      </c>
      <c r="AJ37" s="53">
        <f>$H37*K37</f>
      </c>
      <c r="AK37" s="53">
        <f>$H37*L37</f>
      </c>
      <c r="AL37" s="53">
        <f>$H37*M37</f>
      </c>
      <c r="AM37" s="3"/>
      <c r="AN37" s="5"/>
      <c r="AO37" s="5"/>
      <c r="AP37" s="5"/>
      <c r="AQ37" s="3"/>
    </row>
    <row x14ac:dyDescent="0.25" r="38" customHeight="1" ht="18">
      <c r="A38" s="5" t="s">
        <v>97</v>
      </c>
      <c r="B38" s="3" t="s">
        <v>1094</v>
      </c>
      <c r="C38" s="3" t="s">
        <v>866</v>
      </c>
      <c r="D38" s="3" t="s">
        <v>988</v>
      </c>
      <c r="E38" s="3" t="s">
        <v>855</v>
      </c>
      <c r="F38" s="3" t="s">
        <v>1223</v>
      </c>
      <c r="G38" s="3" t="s">
        <v>1222</v>
      </c>
      <c r="H38" s="7">
        <v>1</v>
      </c>
      <c r="I38" s="6">
        <v>6.5</v>
      </c>
      <c r="J38" s="7">
        <v>11</v>
      </c>
      <c r="K38" s="5"/>
      <c r="L38" s="6"/>
      <c r="M38" s="6"/>
      <c r="N38" s="7"/>
      <c r="O38" s="23"/>
      <c r="P38" s="6"/>
      <c r="Q38" s="6"/>
      <c r="R38" s="31"/>
      <c r="S38" s="6"/>
      <c r="T38" s="31"/>
      <c r="U38" s="6"/>
      <c r="V38" s="23"/>
      <c r="W38" s="6"/>
      <c r="X38" s="6"/>
      <c r="Y38" s="5"/>
      <c r="Z38" s="3"/>
      <c r="AA38" s="6">
        <f>H38*I38/100</f>
      </c>
      <c r="AB38" s="6">
        <f>H38*J38/100</f>
      </c>
      <c r="AC38" s="7">
        <f>H38*K38</f>
      </c>
      <c r="AD38" s="7">
        <f>H38*M38</f>
      </c>
      <c r="AE38" s="6">
        <f>H38*L38/100</f>
      </c>
      <c r="AF38" s="6">
        <f>AA38+AB38+AE38</f>
      </c>
      <c r="AG38" s="6">
        <f>I38+J38+L38</f>
      </c>
      <c r="AH38" s="53">
        <f>$H38*I38</f>
      </c>
      <c r="AI38" s="53">
        <f>$H38*J38</f>
      </c>
      <c r="AJ38" s="53">
        <f>$H38*K38</f>
      </c>
      <c r="AK38" s="53">
        <f>$H38*L38</f>
      </c>
      <c r="AL38" s="53">
        <f>$H38*M38</f>
      </c>
      <c r="AM38" s="3"/>
      <c r="AN38" s="5"/>
      <c r="AO38" s="5"/>
      <c r="AP38" s="5"/>
      <c r="AQ38" s="3"/>
    </row>
    <row x14ac:dyDescent="0.25" r="39" customHeight="1" ht="18">
      <c r="A39" s="5" t="s">
        <v>202</v>
      </c>
      <c r="B39" s="3" t="s">
        <v>1094</v>
      </c>
      <c r="C39" s="3" t="s">
        <v>870</v>
      </c>
      <c r="D39" s="3"/>
      <c r="E39" s="38" t="s">
        <v>859</v>
      </c>
      <c r="F39" s="3" t="s">
        <v>1224</v>
      </c>
      <c r="G39" s="3" t="s">
        <v>1225</v>
      </c>
      <c r="H39" s="6">
        <f>0.004+0.023+0.09</f>
      </c>
      <c r="I39" s="7">
        <f>(14.2*0.004+5.3*0.023+2.1*0.09)/$H39</f>
      </c>
      <c r="J39" s="7">
        <f>(34.5*0.004+11.3*0.023+7.4*0.09)/$H39</f>
      </c>
      <c r="K39" s="31">
        <f>(92*0.004+41*0.023+47*0.09)/$H39</f>
      </c>
      <c r="L39" s="6">
        <f>(0.81*0.004+0.79*0.023+0*0.09)/$H39</f>
      </c>
      <c r="M39" s="6">
        <f>(3.75*0.004+2.52*0.023+0*0.09)/$H39</f>
      </c>
      <c r="N39" s="7"/>
      <c r="O39" s="23"/>
      <c r="P39" s="6"/>
      <c r="Q39" s="6"/>
      <c r="R39" s="31"/>
      <c r="S39" s="6"/>
      <c r="T39" s="31"/>
      <c r="U39" s="6"/>
      <c r="V39" s="23"/>
      <c r="W39" s="6"/>
      <c r="X39" s="6"/>
      <c r="Y39" s="5"/>
      <c r="Z39" s="3"/>
      <c r="AA39" s="6">
        <f>H39*I39/100</f>
      </c>
      <c r="AB39" s="6">
        <f>H39*J39/100</f>
      </c>
      <c r="AC39" s="7">
        <f>H39*K39</f>
      </c>
      <c r="AD39" s="7">
        <f>H39*M39</f>
      </c>
      <c r="AE39" s="6">
        <f>H39*L39/100</f>
      </c>
      <c r="AF39" s="6">
        <f>AA39+AB39+AE39</f>
      </c>
      <c r="AG39" s="6">
        <f>I39+J39+L39</f>
      </c>
      <c r="AH39" s="53">
        <f>$H39*I39</f>
      </c>
      <c r="AI39" s="53">
        <f>$H39*J39</f>
      </c>
      <c r="AJ39" s="53">
        <f>$H39*K39</f>
      </c>
      <c r="AK39" s="53">
        <f>$H39*L39</f>
      </c>
      <c r="AL39" s="53">
        <f>$H39*M39</f>
      </c>
      <c r="AM39" s="3"/>
      <c r="AN39" s="5"/>
      <c r="AO39" s="5"/>
      <c r="AP39" s="5"/>
      <c r="AQ39" s="3"/>
    </row>
    <row x14ac:dyDescent="0.25" r="40" customHeight="1" ht="18">
      <c r="A40" s="5" t="s">
        <v>559</v>
      </c>
      <c r="B40" s="3" t="s">
        <v>1094</v>
      </c>
      <c r="C40" s="3" t="s">
        <v>870</v>
      </c>
      <c r="D40" s="3"/>
      <c r="E40" s="3" t="s">
        <v>855</v>
      </c>
      <c r="F40" s="3" t="s">
        <v>1226</v>
      </c>
      <c r="G40" s="3" t="s">
        <v>1227</v>
      </c>
      <c r="H40" s="6">
        <v>3.175</v>
      </c>
      <c r="I40" s="6">
        <v>0.76</v>
      </c>
      <c r="J40" s="6">
        <v>3.3</v>
      </c>
      <c r="K40" s="5">
        <v>101</v>
      </c>
      <c r="L40" s="6">
        <v>0.19</v>
      </c>
      <c r="M40" s="6">
        <v>2.1</v>
      </c>
      <c r="N40" s="7"/>
      <c r="O40" s="23"/>
      <c r="P40" s="6"/>
      <c r="Q40" s="6"/>
      <c r="R40" s="31"/>
      <c r="S40" s="6"/>
      <c r="T40" s="31"/>
      <c r="U40" s="6"/>
      <c r="V40" s="23"/>
      <c r="W40" s="6"/>
      <c r="X40" s="6"/>
      <c r="Y40" s="5"/>
      <c r="Z40" s="3"/>
      <c r="AA40" s="6">
        <f>H40*I40/100</f>
      </c>
      <c r="AB40" s="6">
        <f>H40*J40/100</f>
      </c>
      <c r="AC40" s="7">
        <f>H40*K40</f>
      </c>
      <c r="AD40" s="7">
        <f>H40*M40</f>
      </c>
      <c r="AE40" s="6">
        <f>H40*L40/100</f>
      </c>
      <c r="AF40" s="6">
        <f>AA40+AB40+AE40</f>
      </c>
      <c r="AG40" s="6">
        <f>I40+J40+L40</f>
      </c>
      <c r="AH40" s="53">
        <f>$H40*I40</f>
      </c>
      <c r="AI40" s="53">
        <f>$H40*J40</f>
      </c>
      <c r="AJ40" s="53">
        <f>$H40*K40</f>
      </c>
      <c r="AK40" s="53">
        <f>$H40*L40</f>
      </c>
      <c r="AL40" s="53">
        <f>$H40*M40</f>
      </c>
      <c r="AM40" s="3"/>
      <c r="AN40" s="5"/>
      <c r="AO40" s="5"/>
      <c r="AP40" s="5"/>
      <c r="AQ40" s="3"/>
    </row>
    <row x14ac:dyDescent="0.25" r="41" customHeight="1" ht="18">
      <c r="A41" s="5" t="s">
        <v>76</v>
      </c>
      <c r="B41" s="3" t="s">
        <v>1094</v>
      </c>
      <c r="C41" s="3" t="s">
        <v>866</v>
      </c>
      <c r="D41" s="3" t="s">
        <v>988</v>
      </c>
      <c r="E41" s="3" t="s">
        <v>855</v>
      </c>
      <c r="F41" s="3" t="s">
        <v>1228</v>
      </c>
      <c r="G41" s="3" t="s">
        <v>1204</v>
      </c>
      <c r="H41" s="7">
        <v>96.3</v>
      </c>
      <c r="I41" s="6">
        <v>4.865659397715473</v>
      </c>
      <c r="J41" s="6">
        <v>2.9767912772585667</v>
      </c>
      <c r="K41" s="31">
        <v>163.6957424714434</v>
      </c>
      <c r="L41" s="6"/>
      <c r="M41" s="6"/>
      <c r="N41" s="7"/>
      <c r="O41" s="23"/>
      <c r="P41" s="6"/>
      <c r="Q41" s="6"/>
      <c r="R41" s="31"/>
      <c r="S41" s="6"/>
      <c r="T41" s="31"/>
      <c r="U41" s="6"/>
      <c r="V41" s="23"/>
      <c r="W41" s="6"/>
      <c r="X41" s="6"/>
      <c r="Y41" s="5"/>
      <c r="Z41" s="3"/>
      <c r="AA41" s="6">
        <f>H41*I41/100</f>
      </c>
      <c r="AB41" s="6">
        <f>H41*J41/100</f>
      </c>
      <c r="AC41" s="7">
        <f>H41*K41</f>
      </c>
      <c r="AD41" s="7">
        <f>H41*M41</f>
      </c>
      <c r="AE41" s="6">
        <f>H41*L41/100</f>
      </c>
      <c r="AF41" s="6">
        <f>AA41+AB41+AE41</f>
      </c>
      <c r="AG41" s="6">
        <f>I41+J41+L41</f>
      </c>
      <c r="AH41" s="53">
        <f>$H41*I41</f>
      </c>
      <c r="AI41" s="53">
        <f>$H41*J41</f>
      </c>
      <c r="AJ41" s="53">
        <f>$H41*K41</f>
      </c>
      <c r="AK41" s="53">
        <f>$H41*L41</f>
      </c>
      <c r="AL41" s="53">
        <f>$H41*M41</f>
      </c>
      <c r="AM41" s="3"/>
      <c r="AN41" s="5"/>
      <c r="AO41" s="5"/>
      <c r="AP41" s="5"/>
      <c r="AQ41" s="3"/>
    </row>
    <row x14ac:dyDescent="0.25" r="42" customHeight="1" ht="18">
      <c r="A42" s="5" t="s">
        <v>480</v>
      </c>
      <c r="B42" s="3" t="s">
        <v>1094</v>
      </c>
      <c r="C42" s="3" t="s">
        <v>856</v>
      </c>
      <c r="D42" s="3" t="s">
        <v>929</v>
      </c>
      <c r="E42" s="3" t="s">
        <v>855</v>
      </c>
      <c r="F42" s="3" t="s">
        <v>1171</v>
      </c>
      <c r="G42" s="3" t="s">
        <v>1229</v>
      </c>
      <c r="H42" s="23">
        <v>0.03495</v>
      </c>
      <c r="I42" s="6">
        <v>6.2</v>
      </c>
      <c r="J42" s="6">
        <v>1.37</v>
      </c>
      <c r="K42" s="5"/>
      <c r="L42" s="6"/>
      <c r="M42" s="6"/>
      <c r="N42" s="7"/>
      <c r="O42" s="23"/>
      <c r="P42" s="6"/>
      <c r="Q42" s="6"/>
      <c r="R42" s="31"/>
      <c r="S42" s="6"/>
      <c r="T42" s="31"/>
      <c r="U42" s="6"/>
      <c r="V42" s="23"/>
      <c r="W42" s="6"/>
      <c r="X42" s="6"/>
      <c r="Y42" s="6">
        <v>36.6</v>
      </c>
      <c r="Z42" s="3" t="s">
        <v>944</v>
      </c>
      <c r="AA42" s="6">
        <f>H42*I42/100</f>
      </c>
      <c r="AB42" s="6">
        <f>H42*J42/100</f>
      </c>
      <c r="AC42" s="7">
        <f>H42*K42</f>
      </c>
      <c r="AD42" s="7">
        <f>H42*M42</f>
      </c>
      <c r="AE42" s="6">
        <f>H42*L42/100</f>
      </c>
      <c r="AF42" s="6">
        <f>AA42+AB42+AE42</f>
      </c>
      <c r="AG42" s="6">
        <f>I42+J42+L42</f>
      </c>
      <c r="AH42" s="53">
        <f>$H42*I42</f>
      </c>
      <c r="AI42" s="53">
        <f>$H42*J42</f>
      </c>
      <c r="AJ42" s="53">
        <f>$H42*K42</f>
      </c>
      <c r="AK42" s="53">
        <f>$H42*L42</f>
      </c>
      <c r="AL42" s="53">
        <f>$H42*M42</f>
      </c>
      <c r="AM42" s="3"/>
      <c r="AN42" s="5"/>
      <c r="AO42" s="5"/>
      <c r="AP42" s="5"/>
      <c r="AQ42" s="3"/>
    </row>
    <row x14ac:dyDescent="0.25" r="43" customHeight="1" ht="18">
      <c r="A43" s="5" t="s">
        <v>248</v>
      </c>
      <c r="B43" s="3" t="s">
        <v>1094</v>
      </c>
      <c r="C43" s="3" t="s">
        <v>866</v>
      </c>
      <c r="D43" s="3" t="s">
        <v>988</v>
      </c>
      <c r="E43" s="3" t="s">
        <v>855</v>
      </c>
      <c r="F43" s="3" t="s">
        <v>1230</v>
      </c>
      <c r="G43" s="3" t="s">
        <v>1204</v>
      </c>
      <c r="H43" s="6">
        <v>17.6</v>
      </c>
      <c r="I43" s="7">
        <v>10.059090909090909</v>
      </c>
      <c r="J43" s="7">
        <v>1.4846590909090907</v>
      </c>
      <c r="K43" s="31">
        <v>37.28409090909091</v>
      </c>
      <c r="L43" s="6"/>
      <c r="M43" s="6"/>
      <c r="N43" s="7"/>
      <c r="O43" s="23"/>
      <c r="P43" s="6"/>
      <c r="Q43" s="6"/>
      <c r="R43" s="31"/>
      <c r="S43" s="6"/>
      <c r="T43" s="31"/>
      <c r="U43" s="6"/>
      <c r="V43" s="23"/>
      <c r="W43" s="6"/>
      <c r="X43" s="6"/>
      <c r="Y43" s="5"/>
      <c r="Z43" s="3"/>
      <c r="AA43" s="6">
        <f>H43*I43/100</f>
      </c>
      <c r="AB43" s="6">
        <f>H43*J43/100</f>
      </c>
      <c r="AC43" s="7">
        <f>H43*K43</f>
      </c>
      <c r="AD43" s="7">
        <f>H43*M43</f>
      </c>
      <c r="AE43" s="6">
        <f>H43*L43/100</f>
      </c>
      <c r="AF43" s="6">
        <f>AA43+AB43+AE43</f>
      </c>
      <c r="AG43" s="6">
        <f>I43+J43+L43</f>
      </c>
      <c r="AH43" s="53">
        <f>$H43*I43</f>
      </c>
      <c r="AI43" s="53">
        <f>$H43*J43</f>
      </c>
      <c r="AJ43" s="53">
        <f>$H43*K43</f>
      </c>
      <c r="AK43" s="53">
        <f>$H43*L43</f>
      </c>
      <c r="AL43" s="53">
        <f>$H43*M43</f>
      </c>
      <c r="AM43" s="3"/>
      <c r="AN43" s="5"/>
      <c r="AO43" s="5"/>
      <c r="AP43" s="5"/>
      <c r="AQ43" s="3"/>
    </row>
    <row x14ac:dyDescent="0.25" r="44" customHeight="1" ht="18">
      <c r="A44" s="5" t="s">
        <v>843</v>
      </c>
      <c r="B44" s="3" t="s">
        <v>1094</v>
      </c>
      <c r="C44" s="3" t="s">
        <v>870</v>
      </c>
      <c r="D44" s="3"/>
      <c r="E44" s="3" t="s">
        <v>855</v>
      </c>
      <c r="F44" s="3" t="s">
        <v>1231</v>
      </c>
      <c r="G44" s="3" t="s">
        <v>1197</v>
      </c>
      <c r="H44" s="6">
        <v>1.22</v>
      </c>
      <c r="I44" s="6">
        <v>0.4</v>
      </c>
      <c r="J44" s="6">
        <v>0.7</v>
      </c>
      <c r="K44" s="6">
        <v>8.1</v>
      </c>
      <c r="L44" s="6">
        <v>0.5</v>
      </c>
      <c r="M44" s="6">
        <v>0.8</v>
      </c>
      <c r="N44" s="7"/>
      <c r="O44" s="23"/>
      <c r="P44" s="6"/>
      <c r="Q44" s="6"/>
      <c r="R44" s="31"/>
      <c r="S44" s="6"/>
      <c r="T44" s="31"/>
      <c r="U44" s="6"/>
      <c r="V44" s="23"/>
      <c r="W44" s="6"/>
      <c r="X44" s="6"/>
      <c r="Y44" s="5"/>
      <c r="Z44" s="3"/>
      <c r="AA44" s="6">
        <f>H44*I44/100</f>
      </c>
      <c r="AB44" s="6">
        <f>H44*J44/100</f>
      </c>
      <c r="AC44" s="7">
        <f>H44*K44</f>
      </c>
      <c r="AD44" s="7">
        <f>H44*M44</f>
      </c>
      <c r="AE44" s="6">
        <f>H44*L44/100</f>
      </c>
      <c r="AF44" s="6">
        <f>AA44+AB44+AE44</f>
      </c>
      <c r="AG44" s="6">
        <f>I44+J44+L44</f>
      </c>
      <c r="AH44" s="53">
        <f>$H44*I44</f>
      </c>
      <c r="AI44" s="53">
        <f>$H44*J44</f>
      </c>
      <c r="AJ44" s="53">
        <f>$H44*K44</f>
      </c>
      <c r="AK44" s="53">
        <f>$H44*L44</f>
      </c>
      <c r="AL44" s="53">
        <f>$H44*M44</f>
      </c>
      <c r="AM44" s="3"/>
      <c r="AN44" s="5"/>
      <c r="AO44" s="5"/>
      <c r="AP44" s="5"/>
      <c r="AQ44" s="3"/>
    </row>
    <row x14ac:dyDescent="0.25" r="45" customHeight="1" ht="18">
      <c r="A45" s="5" t="s">
        <v>799</v>
      </c>
      <c r="B45" s="3" t="s">
        <v>1094</v>
      </c>
      <c r="C45" s="3" t="s">
        <v>870</v>
      </c>
      <c r="D45" s="3"/>
      <c r="E45" s="3" t="s">
        <v>855</v>
      </c>
      <c r="F45" s="3" t="s">
        <v>1198</v>
      </c>
      <c r="G45" s="3" t="s">
        <v>1199</v>
      </c>
      <c r="H45" s="23">
        <v>3.061798</v>
      </c>
      <c r="I45" s="6">
        <v>2.1</v>
      </c>
      <c r="J45" s="6">
        <v>1.48</v>
      </c>
      <c r="K45" s="6">
        <v>45.7</v>
      </c>
      <c r="L45" s="6"/>
      <c r="M45" s="6"/>
      <c r="N45" s="7"/>
      <c r="O45" s="23"/>
      <c r="P45" s="6"/>
      <c r="Q45" s="6"/>
      <c r="R45" s="31"/>
      <c r="S45" s="6"/>
      <c r="T45" s="31"/>
      <c r="U45" s="6"/>
      <c r="V45" s="23"/>
      <c r="W45" s="6"/>
      <c r="X45" s="6"/>
      <c r="Y45" s="5"/>
      <c r="Z45" s="3"/>
      <c r="AA45" s="6">
        <f>H45*I45/100</f>
      </c>
      <c r="AB45" s="6">
        <f>H45*J45/100</f>
      </c>
      <c r="AC45" s="7">
        <f>H45*K45</f>
      </c>
      <c r="AD45" s="7">
        <f>H45*M45</f>
      </c>
      <c r="AE45" s="6">
        <f>H45*L45/100</f>
      </c>
      <c r="AF45" s="6">
        <f>AA45+AB45+AE45</f>
      </c>
      <c r="AG45" s="6">
        <f>I45+J45+L45</f>
      </c>
      <c r="AH45" s="53">
        <f>$H45*I45</f>
      </c>
      <c r="AI45" s="53">
        <f>$H45*J45</f>
      </c>
      <c r="AJ45" s="53">
        <f>$H45*K45</f>
      </c>
      <c r="AK45" s="53">
        <f>$H45*L45</f>
      </c>
      <c r="AL45" s="53">
        <f>$H45*M45</f>
      </c>
      <c r="AM45" s="3"/>
      <c r="AN45" s="5"/>
      <c r="AO45" s="5"/>
      <c r="AP45" s="5"/>
      <c r="AQ45" s="3"/>
    </row>
    <row x14ac:dyDescent="0.25" r="46" customHeight="1" ht="18">
      <c r="A46" s="5" t="s">
        <v>812</v>
      </c>
      <c r="B46" s="3" t="s">
        <v>1094</v>
      </c>
      <c r="C46" s="3" t="s">
        <v>869</v>
      </c>
      <c r="D46" s="3"/>
      <c r="E46" s="3" t="s">
        <v>855</v>
      </c>
      <c r="F46" s="3" t="s">
        <v>1232</v>
      </c>
      <c r="G46" s="3" t="s">
        <v>1233</v>
      </c>
      <c r="H46" s="23">
        <v>3.1304010000000004</v>
      </c>
      <c r="I46" s="6">
        <v>1.2571781378807376</v>
      </c>
      <c r="J46" s="6">
        <v>0.5637470502980289</v>
      </c>
      <c r="K46" s="7">
        <v>95.44283617338483</v>
      </c>
      <c r="L46" s="6">
        <v>0.17848237015002227</v>
      </c>
      <c r="M46" s="6"/>
      <c r="N46" s="7"/>
      <c r="O46" s="23"/>
      <c r="P46" s="6"/>
      <c r="Q46" s="6">
        <v>0.21094990066767802</v>
      </c>
      <c r="R46" s="7">
        <v>5.745757332686771</v>
      </c>
      <c r="S46" s="7"/>
      <c r="T46" s="31"/>
      <c r="U46" s="6"/>
      <c r="V46" s="23"/>
      <c r="W46" s="6"/>
      <c r="X46" s="6"/>
      <c r="Y46" s="5"/>
      <c r="Z46" s="3"/>
      <c r="AA46" s="6">
        <f>H46*I46/100</f>
      </c>
      <c r="AB46" s="6">
        <f>H46*J46/100</f>
      </c>
      <c r="AC46" s="7">
        <f>H46*K46</f>
      </c>
      <c r="AD46" s="7">
        <f>H46*M46</f>
      </c>
      <c r="AE46" s="6">
        <f>H46*L46/100</f>
      </c>
      <c r="AF46" s="6">
        <f>AA46+AB46+AE46</f>
      </c>
      <c r="AG46" s="6">
        <f>I46+J46+L46</f>
      </c>
      <c r="AH46" s="53">
        <f>$H46*I46</f>
      </c>
      <c r="AI46" s="53">
        <f>$H46*J46</f>
      </c>
      <c r="AJ46" s="53">
        <f>$H46*K46</f>
      </c>
      <c r="AK46" s="53">
        <f>$H46*L46</f>
      </c>
      <c r="AL46" s="53">
        <f>$H46*M46</f>
      </c>
      <c r="AM46" s="3"/>
      <c r="AN46" s="5"/>
      <c r="AO46" s="5"/>
      <c r="AP46" s="5"/>
      <c r="AQ46" s="3"/>
    </row>
    <row x14ac:dyDescent="0.25" r="47" customHeight="1" ht="18">
      <c r="A47" s="5" t="s">
        <v>633</v>
      </c>
      <c r="B47" s="3" t="s">
        <v>1094</v>
      </c>
      <c r="C47" s="3" t="s">
        <v>866</v>
      </c>
      <c r="D47" s="3" t="s">
        <v>988</v>
      </c>
      <c r="E47" s="3" t="s">
        <v>855</v>
      </c>
      <c r="F47" s="3" t="s">
        <v>1223</v>
      </c>
      <c r="G47" s="3" t="s">
        <v>1222</v>
      </c>
      <c r="H47" s="6">
        <v>7.8</v>
      </c>
      <c r="I47" s="7">
        <v>1</v>
      </c>
      <c r="J47" s="6">
        <v>4.2</v>
      </c>
      <c r="K47" s="5"/>
      <c r="L47" s="6"/>
      <c r="M47" s="6"/>
      <c r="N47" s="7"/>
      <c r="O47" s="23"/>
      <c r="P47" s="6"/>
      <c r="Q47" s="6"/>
      <c r="R47" s="31"/>
      <c r="S47" s="6"/>
      <c r="T47" s="31"/>
      <c r="U47" s="6"/>
      <c r="V47" s="23"/>
      <c r="W47" s="6"/>
      <c r="X47" s="6"/>
      <c r="Y47" s="5"/>
      <c r="Z47" s="3"/>
      <c r="AA47" s="6">
        <f>H47*I47/100</f>
      </c>
      <c r="AB47" s="6">
        <f>H47*J47/100</f>
      </c>
      <c r="AC47" s="7">
        <f>H47*K47</f>
      </c>
      <c r="AD47" s="7">
        <f>H47*M47</f>
      </c>
      <c r="AE47" s="6">
        <f>H47*L47/100</f>
      </c>
      <c r="AF47" s="6">
        <f>AA47+AB47+AE47</f>
      </c>
      <c r="AG47" s="6">
        <f>I47+J47+L47</f>
      </c>
      <c r="AH47" s="53">
        <f>$H47*I47</f>
      </c>
      <c r="AI47" s="53">
        <f>$H47*J47</f>
      </c>
      <c r="AJ47" s="53">
        <f>$H47*K47</f>
      </c>
      <c r="AK47" s="53">
        <f>$H47*L47</f>
      </c>
      <c r="AL47" s="53">
        <f>$H47*M47</f>
      </c>
      <c r="AM47" s="3"/>
      <c r="AN47" s="5"/>
      <c r="AO47" s="5"/>
      <c r="AP47" s="5"/>
      <c r="AQ47" s="3"/>
    </row>
    <row x14ac:dyDescent="0.25" r="48" customHeight="1" ht="12.75">
      <c r="A48" s="5" t="s">
        <v>222</v>
      </c>
      <c r="B48" s="3" t="s">
        <v>1094</v>
      </c>
      <c r="C48" s="3" t="s">
        <v>870</v>
      </c>
      <c r="D48" s="3"/>
      <c r="E48" s="38" t="s">
        <v>859</v>
      </c>
      <c r="F48" s="3" t="s">
        <v>1234</v>
      </c>
      <c r="G48" s="3" t="s">
        <v>1220</v>
      </c>
      <c r="H48" s="6">
        <v>0.762</v>
      </c>
      <c r="I48" s="6">
        <v>0.3</v>
      </c>
      <c r="J48" s="6">
        <v>9.99</v>
      </c>
      <c r="K48" s="6">
        <v>14.5</v>
      </c>
      <c r="L48" s="6">
        <v>1.77</v>
      </c>
      <c r="M48" s="6"/>
      <c r="N48" s="7"/>
      <c r="O48" s="23"/>
      <c r="P48" s="6"/>
      <c r="Q48" s="6"/>
      <c r="R48" s="31"/>
      <c r="S48" s="6"/>
      <c r="T48" s="31"/>
      <c r="U48" s="6"/>
      <c r="V48" s="23"/>
      <c r="W48" s="6"/>
      <c r="X48" s="6"/>
      <c r="Y48" s="5"/>
      <c r="Z48" s="3"/>
      <c r="AA48" s="6">
        <f>H48*I48/100</f>
      </c>
      <c r="AB48" s="6">
        <f>H48*J48/100</f>
      </c>
      <c r="AC48" s="7">
        <f>H48*K48</f>
      </c>
      <c r="AD48" s="7">
        <f>H48*M48</f>
      </c>
      <c r="AE48" s="6">
        <f>H48*L48/100</f>
      </c>
      <c r="AF48" s="6">
        <f>AA48+AB48+AE48</f>
      </c>
      <c r="AG48" s="6">
        <f>I48+J48+L48</f>
      </c>
      <c r="AH48" s="53">
        <f>$H48*I48</f>
      </c>
      <c r="AI48" s="53">
        <f>$H48*J48</f>
      </c>
      <c r="AJ48" s="53">
        <f>$H48*K48</f>
      </c>
      <c r="AK48" s="53">
        <f>$H48*L48</f>
      </c>
      <c r="AL48" s="53">
        <f>$H48*M48</f>
      </c>
      <c r="AM48" s="3"/>
      <c r="AN48" s="5"/>
      <c r="AO48" s="5"/>
      <c r="AP48" s="5"/>
      <c r="AQ48" s="3"/>
    </row>
    <row x14ac:dyDescent="0.25" r="49" customHeight="1" ht="12.75">
      <c r="A49" s="5" t="s">
        <v>728</v>
      </c>
      <c r="B49" s="3" t="s">
        <v>1094</v>
      </c>
      <c r="C49" s="3" t="s">
        <v>870</v>
      </c>
      <c r="D49" s="3"/>
      <c r="E49" s="3" t="s">
        <v>855</v>
      </c>
      <c r="F49" s="3" t="s">
        <v>1235</v>
      </c>
      <c r="G49" s="3" t="s">
        <v>1197</v>
      </c>
      <c r="H49" s="6">
        <v>1.75</v>
      </c>
      <c r="I49" s="6"/>
      <c r="J49" s="6">
        <v>2.05</v>
      </c>
      <c r="K49" s="6">
        <v>8.5</v>
      </c>
      <c r="L49" s="6">
        <v>1.71</v>
      </c>
      <c r="M49" s="6">
        <v>0.24</v>
      </c>
      <c r="N49" s="7"/>
      <c r="O49" s="23"/>
      <c r="P49" s="6"/>
      <c r="Q49" s="6"/>
      <c r="R49" s="31"/>
      <c r="S49" s="6"/>
      <c r="T49" s="31"/>
      <c r="U49" s="6"/>
      <c r="V49" s="23"/>
      <c r="W49" s="6"/>
      <c r="X49" s="6"/>
      <c r="Y49" s="5"/>
      <c r="Z49" s="3"/>
      <c r="AA49" s="6">
        <f>H49*I49/100</f>
      </c>
      <c r="AB49" s="6">
        <f>H49*J49/100</f>
      </c>
      <c r="AC49" s="7">
        <f>H49*K49</f>
      </c>
      <c r="AD49" s="7">
        <f>H49*M49</f>
      </c>
      <c r="AE49" s="6">
        <f>H49*L49/100</f>
      </c>
      <c r="AF49" s="6">
        <f>AA49+AB49+AE49</f>
      </c>
      <c r="AG49" s="6">
        <f>I49+J49+L49</f>
      </c>
      <c r="AH49" s="53">
        <f>$H49*I49</f>
      </c>
      <c r="AI49" s="53">
        <f>$H49*J49</f>
      </c>
      <c r="AJ49" s="53">
        <f>$H49*K49</f>
      </c>
      <c r="AK49" s="53">
        <f>$H49*L49</f>
      </c>
      <c r="AL49" s="53">
        <f>$H49*M49</f>
      </c>
      <c r="AM49" s="3"/>
      <c r="AN49" s="5"/>
      <c r="AO49" s="5"/>
      <c r="AP49" s="5"/>
      <c r="AQ49" s="3"/>
    </row>
    <row x14ac:dyDescent="0.25" r="50" customHeight="1" ht="12.75">
      <c r="A50" s="5" t="s">
        <v>773</v>
      </c>
      <c r="B50" s="3" t="s">
        <v>1094</v>
      </c>
      <c r="C50" s="3" t="s">
        <v>1077</v>
      </c>
      <c r="D50" s="3" t="s">
        <v>993</v>
      </c>
      <c r="E50" s="3" t="s">
        <v>855</v>
      </c>
      <c r="F50" s="3" t="s">
        <v>1236</v>
      </c>
      <c r="G50" s="3" t="s">
        <v>1201</v>
      </c>
      <c r="H50" s="6">
        <v>19.93</v>
      </c>
      <c r="I50" s="6">
        <v>0.2</v>
      </c>
      <c r="J50" s="6">
        <v>0.5</v>
      </c>
      <c r="K50" s="6">
        <v>16.4</v>
      </c>
      <c r="L50" s="6"/>
      <c r="M50" s="6"/>
      <c r="N50" s="7"/>
      <c r="O50" s="23"/>
      <c r="P50" s="6"/>
      <c r="Q50" s="6"/>
      <c r="R50" s="31"/>
      <c r="S50" s="6"/>
      <c r="T50" s="31"/>
      <c r="U50" s="6"/>
      <c r="V50" s="23"/>
      <c r="W50" s="6"/>
      <c r="X50" s="6"/>
      <c r="Y50" s="5"/>
      <c r="Z50" s="3"/>
      <c r="AA50" s="6">
        <f>H50*I50/100</f>
      </c>
      <c r="AB50" s="6">
        <f>H50*J50/100</f>
      </c>
      <c r="AC50" s="7">
        <f>H50*K50</f>
      </c>
      <c r="AD50" s="7">
        <f>H50*M50</f>
      </c>
      <c r="AE50" s="6">
        <f>H50*L50/100</f>
      </c>
      <c r="AF50" s="6">
        <f>AA50+AB50+AE50</f>
      </c>
      <c r="AG50" s="6">
        <f>I50+J50+L50</f>
      </c>
      <c r="AH50" s="53">
        <f>$H50*I50</f>
      </c>
      <c r="AI50" s="53">
        <f>$H50*J50</f>
      </c>
      <c r="AJ50" s="53">
        <f>$H50*K50</f>
      </c>
      <c r="AK50" s="53">
        <f>$H50*L50</f>
      </c>
      <c r="AL50" s="53">
        <f>$H50*M50</f>
      </c>
      <c r="AM50" s="3"/>
      <c r="AN50" s="5"/>
      <c r="AO50" s="5"/>
      <c r="AP50" s="5"/>
      <c r="AQ50" s="3"/>
    </row>
    <row x14ac:dyDescent="0.25" r="51" customHeight="1" ht="12.75">
      <c r="A51" s="5" t="s">
        <v>66</v>
      </c>
      <c r="B51" s="3" t="s">
        <v>1094</v>
      </c>
      <c r="C51" s="3" t="s">
        <v>866</v>
      </c>
      <c r="D51" s="3" t="s">
        <v>988</v>
      </c>
      <c r="E51" s="3" t="s">
        <v>855</v>
      </c>
      <c r="F51" s="3" t="s">
        <v>1230</v>
      </c>
      <c r="G51" s="3" t="s">
        <v>1204</v>
      </c>
      <c r="H51" s="5">
        <v>63</v>
      </c>
      <c r="I51" s="7">
        <v>1.8079365079365077</v>
      </c>
      <c r="J51" s="7">
        <v>12.095238095238095</v>
      </c>
      <c r="K51" s="31">
        <v>31.523809523809526</v>
      </c>
      <c r="L51" s="6"/>
      <c r="M51" s="6"/>
      <c r="N51" s="7"/>
      <c r="O51" s="23"/>
      <c r="P51" s="6"/>
      <c r="Q51" s="6"/>
      <c r="R51" s="31"/>
      <c r="S51" s="6"/>
      <c r="T51" s="31"/>
      <c r="U51" s="6"/>
      <c r="V51" s="23"/>
      <c r="W51" s="6"/>
      <c r="X51" s="6"/>
      <c r="Y51" s="5"/>
      <c r="Z51" s="3"/>
      <c r="AA51" s="6">
        <f>H51*I51/100</f>
      </c>
      <c r="AB51" s="6">
        <f>H51*J51/100</f>
      </c>
      <c r="AC51" s="7">
        <f>H51*K51</f>
      </c>
      <c r="AD51" s="7">
        <f>H51*M51</f>
      </c>
      <c r="AE51" s="6">
        <f>H51*L51/100</f>
      </c>
      <c r="AF51" s="6">
        <f>AA51+AB51+AE51</f>
      </c>
      <c r="AG51" s="6">
        <f>I51+J51+L51</f>
      </c>
      <c r="AH51" s="53">
        <f>$H51*I51</f>
      </c>
      <c r="AI51" s="53">
        <f>$H51*J51</f>
      </c>
      <c r="AJ51" s="53">
        <f>$H51*K51</f>
      </c>
      <c r="AK51" s="53">
        <f>$H51*L51</f>
      </c>
      <c r="AL51" s="53">
        <f>$H51*M51</f>
      </c>
      <c r="AM51" s="3"/>
      <c r="AN51" s="5"/>
      <c r="AO51" s="5"/>
      <c r="AP51" s="5"/>
      <c r="AQ51" s="3"/>
    </row>
    <row x14ac:dyDescent="0.25" r="52" customHeight="1" ht="12.75">
      <c r="A52" s="5" t="s">
        <v>806</v>
      </c>
      <c r="B52" s="3" t="s">
        <v>1094</v>
      </c>
      <c r="C52" s="3" t="s">
        <v>870</v>
      </c>
      <c r="D52" s="3"/>
      <c r="E52" s="3" t="s">
        <v>855</v>
      </c>
      <c r="F52" s="3" t="s">
        <v>1237</v>
      </c>
      <c r="G52" s="3" t="s">
        <v>1203</v>
      </c>
      <c r="H52" s="6">
        <v>3.4</v>
      </c>
      <c r="I52" s="6">
        <v>0.647</v>
      </c>
      <c r="J52" s="6">
        <v>1.697</v>
      </c>
      <c r="K52" s="5">
        <v>14</v>
      </c>
      <c r="L52" s="6">
        <v>0.656</v>
      </c>
      <c r="M52" s="6">
        <v>0.022</v>
      </c>
      <c r="N52" s="7"/>
      <c r="O52" s="23"/>
      <c r="P52" s="6"/>
      <c r="Q52" s="6"/>
      <c r="R52" s="31"/>
      <c r="S52" s="6"/>
      <c r="T52" s="31"/>
      <c r="U52" s="6"/>
      <c r="V52" s="23"/>
      <c r="W52" s="6"/>
      <c r="X52" s="6"/>
      <c r="Y52" s="5"/>
      <c r="Z52" s="3"/>
      <c r="AA52" s="6">
        <f>H52*I52/100</f>
      </c>
      <c r="AB52" s="6">
        <f>H52*J52/100</f>
      </c>
      <c r="AC52" s="7">
        <f>H52*K52</f>
      </c>
      <c r="AD52" s="7">
        <f>H52*M52</f>
      </c>
      <c r="AE52" s="6">
        <f>H52*L52/100</f>
      </c>
      <c r="AF52" s="6">
        <f>AA52+AB52+AE52</f>
      </c>
      <c r="AG52" s="6">
        <f>I52+J52+L52</f>
      </c>
      <c r="AH52" s="53">
        <f>$H52*I52</f>
      </c>
      <c r="AI52" s="53">
        <f>$H52*J52</f>
      </c>
      <c r="AJ52" s="53">
        <f>$H52*K52</f>
      </c>
      <c r="AK52" s="53">
        <f>$H52*L52</f>
      </c>
      <c r="AL52" s="53">
        <f>$H52*M52</f>
      </c>
      <c r="AM52" s="3"/>
      <c r="AN52" s="5"/>
      <c r="AO52" s="5"/>
      <c r="AP52" s="5"/>
      <c r="AQ52" s="3"/>
    </row>
    <row x14ac:dyDescent="0.25" r="53" customHeight="1" ht="12.75">
      <c r="A53" s="5" t="s">
        <v>732</v>
      </c>
      <c r="B53" s="3" t="s">
        <v>1094</v>
      </c>
      <c r="C53" s="3" t="s">
        <v>866</v>
      </c>
      <c r="D53" s="3"/>
      <c r="E53" s="3" t="s">
        <v>855</v>
      </c>
      <c r="F53" s="3" t="s">
        <v>1171</v>
      </c>
      <c r="G53" s="3" t="s">
        <v>1238</v>
      </c>
      <c r="H53" s="5">
        <v>17</v>
      </c>
      <c r="I53" s="6">
        <v>1.2</v>
      </c>
      <c r="J53" s="6"/>
      <c r="K53" s="5">
        <v>10</v>
      </c>
      <c r="L53" s="6"/>
      <c r="M53" s="6"/>
      <c r="N53" s="7"/>
      <c r="O53" s="23"/>
      <c r="P53" s="6"/>
      <c r="Q53" s="6"/>
      <c r="R53" s="31"/>
      <c r="S53" s="6"/>
      <c r="T53" s="31"/>
      <c r="U53" s="6"/>
      <c r="V53" s="23"/>
      <c r="W53" s="6"/>
      <c r="X53" s="6"/>
      <c r="Y53" s="5"/>
      <c r="Z53" s="3"/>
      <c r="AA53" s="6">
        <f>H53*I53/100</f>
      </c>
      <c r="AB53" s="6">
        <f>H53*J53/100</f>
      </c>
      <c r="AC53" s="7">
        <f>H53*K53</f>
      </c>
      <c r="AD53" s="7">
        <f>H53*M53</f>
      </c>
      <c r="AE53" s="6">
        <f>H53*L53/100</f>
      </c>
      <c r="AF53" s="6">
        <f>AA53+AB53+AE53</f>
      </c>
      <c r="AG53" s="6">
        <f>I53+J53+L53</f>
      </c>
      <c r="AH53" s="53">
        <f>$H53*I53</f>
      </c>
      <c r="AI53" s="53">
        <f>$H53*J53</f>
      </c>
      <c r="AJ53" s="53">
        <f>$H53*K53</f>
      </c>
      <c r="AK53" s="53">
        <f>$H53*L53</f>
      </c>
      <c r="AL53" s="53">
        <f>$H53*M53</f>
      </c>
      <c r="AM53" s="3"/>
      <c r="AN53" s="5"/>
      <c r="AO53" s="5"/>
      <c r="AP53" s="5"/>
      <c r="AQ53" s="3"/>
    </row>
    <row x14ac:dyDescent="0.25" r="54" customHeight="1" ht="12.75">
      <c r="A54" s="5" t="s">
        <v>717</v>
      </c>
      <c r="B54" s="3" t="s">
        <v>1094</v>
      </c>
      <c r="C54" s="3" t="s">
        <v>870</v>
      </c>
      <c r="D54" s="3"/>
      <c r="E54" s="3" t="s">
        <v>855</v>
      </c>
      <c r="F54" s="3" t="s">
        <v>1239</v>
      </c>
      <c r="G54" s="3" t="s">
        <v>1203</v>
      </c>
      <c r="H54" s="6">
        <v>4.7</v>
      </c>
      <c r="I54" s="6">
        <v>0.2</v>
      </c>
      <c r="J54" s="6">
        <v>4.5</v>
      </c>
      <c r="K54" s="5">
        <v>19</v>
      </c>
      <c r="L54" s="6">
        <v>0.33</v>
      </c>
      <c r="M54" s="6"/>
      <c r="N54" s="7"/>
      <c r="O54" s="23"/>
      <c r="P54" s="6"/>
      <c r="Q54" s="6"/>
      <c r="R54" s="31"/>
      <c r="S54" s="6"/>
      <c r="T54" s="31"/>
      <c r="U54" s="6"/>
      <c r="V54" s="23"/>
      <c r="W54" s="6"/>
      <c r="X54" s="6"/>
      <c r="Y54" s="5"/>
      <c r="Z54" s="3"/>
      <c r="AA54" s="6">
        <f>H54*I54/100</f>
      </c>
      <c r="AB54" s="6">
        <f>H54*J54/100</f>
      </c>
      <c r="AC54" s="7">
        <f>H54*K54</f>
      </c>
      <c r="AD54" s="7">
        <f>H54*M54</f>
      </c>
      <c r="AE54" s="6">
        <f>H54*L54/100</f>
      </c>
      <c r="AF54" s="6">
        <f>AA54+AB54+AE54</f>
      </c>
      <c r="AG54" s="6">
        <f>I54+J54+L54</f>
      </c>
      <c r="AH54" s="53">
        <f>$H54*I54</f>
      </c>
      <c r="AI54" s="53">
        <f>$H54*J54</f>
      </c>
      <c r="AJ54" s="53">
        <f>$H54*K54</f>
      </c>
      <c r="AK54" s="53">
        <f>$H54*L54</f>
      </c>
      <c r="AL54" s="53">
        <f>$H54*M54</f>
      </c>
      <c r="AM54" s="3"/>
      <c r="AN54" s="5"/>
      <c r="AO54" s="5"/>
      <c r="AP54" s="5"/>
      <c r="AQ54" s="3"/>
    </row>
    <row x14ac:dyDescent="0.25" r="55" customHeight="1" ht="12.75">
      <c r="A55" s="5" t="s">
        <v>185</v>
      </c>
      <c r="B55" s="3" t="s">
        <v>1094</v>
      </c>
      <c r="C55" s="3" t="s">
        <v>870</v>
      </c>
      <c r="D55" s="3"/>
      <c r="E55" s="3" t="s">
        <v>855</v>
      </c>
      <c r="F55" s="3" t="s">
        <v>1217</v>
      </c>
      <c r="G55" s="3" t="s">
        <v>1240</v>
      </c>
      <c r="H55" s="6">
        <v>17.4</v>
      </c>
      <c r="I55" s="7">
        <v>4.93448275862069</v>
      </c>
      <c r="J55" s="7">
        <v>7.7603448275862075</v>
      </c>
      <c r="K55" s="7">
        <v>73.58045977011496</v>
      </c>
      <c r="L55" s="17">
        <v>0.18</v>
      </c>
      <c r="M55" s="6"/>
      <c r="N55" s="7"/>
      <c r="O55" s="23"/>
      <c r="P55" s="6"/>
      <c r="Q55" s="6"/>
      <c r="R55" s="31"/>
      <c r="S55" s="6"/>
      <c r="T55" s="31"/>
      <c r="U55" s="6"/>
      <c r="V55" s="23"/>
      <c r="W55" s="6"/>
      <c r="X55" s="6"/>
      <c r="Y55" s="5"/>
      <c r="Z55" s="3"/>
      <c r="AA55" s="6">
        <f>H55*I55/100</f>
      </c>
      <c r="AB55" s="6">
        <f>H55*J55/100</f>
      </c>
      <c r="AC55" s="7">
        <f>H55*K55</f>
      </c>
      <c r="AD55" s="7">
        <f>H55*M55</f>
      </c>
      <c r="AE55" s="6">
        <f>H55*L55/100</f>
      </c>
      <c r="AF55" s="6">
        <f>AA55+AB55+AE55</f>
      </c>
      <c r="AG55" s="6">
        <f>I55+J55+L55</f>
      </c>
      <c r="AH55" s="53">
        <f>$H55*I55</f>
      </c>
      <c r="AI55" s="53">
        <f>$H55*J55</f>
      </c>
      <c r="AJ55" s="53">
        <f>$H55*K55</f>
      </c>
      <c r="AK55" s="53">
        <f>$H55*L55</f>
      </c>
      <c r="AL55" s="53">
        <f>$H55*M55</f>
      </c>
      <c r="AM55" s="3"/>
      <c r="AN55" s="5"/>
      <c r="AO55" s="5"/>
      <c r="AP55" s="5"/>
      <c r="AQ55" s="3"/>
    </row>
    <row x14ac:dyDescent="0.25" r="56" customHeight="1" ht="12.75">
      <c r="A56" s="5" t="s">
        <v>231</v>
      </c>
      <c r="B56" s="3" t="s">
        <v>1094</v>
      </c>
      <c r="C56" s="3" t="s">
        <v>869</v>
      </c>
      <c r="D56" s="3"/>
      <c r="E56" s="38" t="s">
        <v>859</v>
      </c>
      <c r="F56" s="3" t="s">
        <v>1226</v>
      </c>
      <c r="G56" s="3" t="s">
        <v>1185</v>
      </c>
      <c r="H56" s="6">
        <v>0.00742</v>
      </c>
      <c r="I56" s="6">
        <v>6.7</v>
      </c>
      <c r="J56" s="6">
        <v>3.7</v>
      </c>
      <c r="K56" s="5">
        <v>343</v>
      </c>
      <c r="L56" s="6"/>
      <c r="M56" s="6"/>
      <c r="N56" s="7"/>
      <c r="O56" s="23"/>
      <c r="P56" s="6"/>
      <c r="Q56" s="6"/>
      <c r="R56" s="31"/>
      <c r="S56" s="6"/>
      <c r="T56" s="31"/>
      <c r="U56" s="6"/>
      <c r="V56" s="23"/>
      <c r="W56" s="6"/>
      <c r="X56" s="6"/>
      <c r="Y56" s="5"/>
      <c r="Z56" s="3"/>
      <c r="AA56" s="6">
        <f>H56*I56/100</f>
      </c>
      <c r="AB56" s="6">
        <f>H56*J56/100</f>
      </c>
      <c r="AC56" s="7">
        <f>H56*K56</f>
      </c>
      <c r="AD56" s="7">
        <f>H56*M56</f>
      </c>
      <c r="AE56" s="6">
        <f>H56*L56/100</f>
      </c>
      <c r="AF56" s="6">
        <f>AA56+AB56+AE56</f>
      </c>
      <c r="AG56" s="6">
        <f>I56+J56+L56</f>
      </c>
      <c r="AH56" s="53">
        <f>$H56*I56</f>
      </c>
      <c r="AI56" s="53">
        <f>$H56*J56</f>
      </c>
      <c r="AJ56" s="53">
        <f>$H56*K56</f>
      </c>
      <c r="AK56" s="53">
        <f>$H56*L56</f>
      </c>
      <c r="AL56" s="53">
        <f>$H56*M56</f>
      </c>
      <c r="AM56" s="3"/>
      <c r="AN56" s="5"/>
      <c r="AO56" s="5"/>
      <c r="AP56" s="5"/>
      <c r="AQ56" s="3"/>
    </row>
    <row x14ac:dyDescent="0.25" r="57" customHeight="1" ht="12.75">
      <c r="A57" s="5" t="s">
        <v>536</v>
      </c>
      <c r="B57" s="3" t="s">
        <v>1094</v>
      </c>
      <c r="C57" s="3" t="s">
        <v>866</v>
      </c>
      <c r="D57" s="3" t="s">
        <v>988</v>
      </c>
      <c r="E57" s="3" t="s">
        <v>855</v>
      </c>
      <c r="F57" s="3" t="s">
        <v>1241</v>
      </c>
      <c r="G57" s="3" t="s">
        <v>1204</v>
      </c>
      <c r="H57" s="6">
        <v>11.868</v>
      </c>
      <c r="I57" s="6">
        <v>2</v>
      </c>
      <c r="J57" s="6">
        <v>3.24</v>
      </c>
      <c r="K57" s="6">
        <v>11.14</v>
      </c>
      <c r="L57" s="6">
        <v>0.1</v>
      </c>
      <c r="M57" s="6">
        <v>0.3</v>
      </c>
      <c r="N57" s="7"/>
      <c r="O57" s="23"/>
      <c r="P57" s="6"/>
      <c r="Q57" s="6"/>
      <c r="R57" s="31"/>
      <c r="S57" s="6"/>
      <c r="T57" s="31"/>
      <c r="U57" s="6"/>
      <c r="V57" s="23"/>
      <c r="W57" s="6"/>
      <c r="X57" s="6"/>
      <c r="Y57" s="5"/>
      <c r="Z57" s="3"/>
      <c r="AA57" s="6">
        <f>H57*I57/100</f>
      </c>
      <c r="AB57" s="6">
        <f>H57*J57/100</f>
      </c>
      <c r="AC57" s="7">
        <f>H57*K57</f>
      </c>
      <c r="AD57" s="7">
        <f>H57*M57</f>
      </c>
      <c r="AE57" s="6">
        <f>H57*L57/100</f>
      </c>
      <c r="AF57" s="6">
        <f>AA57+AB57+AE57</f>
      </c>
      <c r="AG57" s="6">
        <f>I57+J57+L57</f>
      </c>
      <c r="AH57" s="53">
        <f>$H57*I57</f>
      </c>
      <c r="AI57" s="53">
        <f>$H57*J57</f>
      </c>
      <c r="AJ57" s="53">
        <f>$H57*K57</f>
      </c>
      <c r="AK57" s="53">
        <f>$H57*L57</f>
      </c>
      <c r="AL57" s="53">
        <f>$H57*M57</f>
      </c>
      <c r="AM57" s="3"/>
      <c r="AN57" s="5"/>
      <c r="AO57" s="5"/>
      <c r="AP57" s="5"/>
      <c r="AQ57" s="3"/>
    </row>
    <row x14ac:dyDescent="0.25" r="58" customHeight="1" ht="12.75">
      <c r="A58" s="5" t="s">
        <v>850</v>
      </c>
      <c r="B58" s="3" t="s">
        <v>1094</v>
      </c>
      <c r="C58" s="3" t="s">
        <v>869</v>
      </c>
      <c r="D58" s="3"/>
      <c r="E58" s="3" t="s">
        <v>855</v>
      </c>
      <c r="F58" s="3" t="s">
        <v>1171</v>
      </c>
      <c r="G58" s="3" t="s">
        <v>1233</v>
      </c>
      <c r="H58" s="6">
        <v>0.562</v>
      </c>
      <c r="I58" s="6"/>
      <c r="J58" s="6">
        <v>1.4</v>
      </c>
      <c r="K58" s="6">
        <v>36.4</v>
      </c>
      <c r="L58" s="6"/>
      <c r="M58" s="6"/>
      <c r="N58" s="7"/>
      <c r="O58" s="23"/>
      <c r="P58" s="6"/>
      <c r="Q58" s="6">
        <v>0.5</v>
      </c>
      <c r="R58" s="31"/>
      <c r="S58" s="6"/>
      <c r="T58" s="31"/>
      <c r="U58" s="6"/>
      <c r="V58" s="23"/>
      <c r="W58" s="6"/>
      <c r="X58" s="6"/>
      <c r="Y58" s="5"/>
      <c r="Z58" s="3"/>
      <c r="AA58" s="6">
        <f>H58*I58/100</f>
      </c>
      <c r="AB58" s="6">
        <f>H58*J58/100</f>
      </c>
      <c r="AC58" s="7">
        <f>H58*K58</f>
      </c>
      <c r="AD58" s="7">
        <f>H58*M58</f>
      </c>
      <c r="AE58" s="6">
        <f>H58*L58/100</f>
      </c>
      <c r="AF58" s="6">
        <f>AA58+AB58+AE58</f>
      </c>
      <c r="AG58" s="6">
        <f>I58+J58+L58</f>
      </c>
      <c r="AH58" s="53">
        <f>$H58*I58</f>
      </c>
      <c r="AI58" s="53">
        <f>$H58*J58</f>
      </c>
      <c r="AJ58" s="53">
        <f>$H58*K58</f>
      </c>
      <c r="AK58" s="53">
        <f>$H58*L58</f>
      </c>
      <c r="AL58" s="53">
        <f>$H58*M58</f>
      </c>
      <c r="AM58" s="3"/>
      <c r="AN58" s="5"/>
      <c r="AO58" s="5"/>
      <c r="AP58" s="5"/>
      <c r="AQ58" s="3"/>
    </row>
    <row x14ac:dyDescent="0.25" r="59" customHeight="1" ht="12.75">
      <c r="A59" s="5" t="s">
        <v>15</v>
      </c>
      <c r="B59" s="3" t="s">
        <v>1094</v>
      </c>
      <c r="C59" s="3" t="s">
        <v>866</v>
      </c>
      <c r="D59" s="3" t="s">
        <v>989</v>
      </c>
      <c r="E59" s="3" t="s">
        <v>855</v>
      </c>
      <c r="F59" s="3" t="s">
        <v>1215</v>
      </c>
      <c r="G59" s="3" t="s">
        <v>1197</v>
      </c>
      <c r="H59" s="6">
        <v>0.694</v>
      </c>
      <c r="I59" s="6">
        <v>1.4</v>
      </c>
      <c r="J59" s="6">
        <v>30.2</v>
      </c>
      <c r="K59" s="5"/>
      <c r="L59" s="6"/>
      <c r="M59" s="6"/>
      <c r="N59" s="7"/>
      <c r="O59" s="23"/>
      <c r="P59" s="6"/>
      <c r="Q59" s="6"/>
      <c r="R59" s="31"/>
      <c r="S59" s="6"/>
      <c r="T59" s="31"/>
      <c r="U59" s="6"/>
      <c r="V59" s="23"/>
      <c r="W59" s="6"/>
      <c r="X59" s="6"/>
      <c r="Y59" s="5"/>
      <c r="Z59" s="3"/>
      <c r="AA59" s="6">
        <f>H59*I59/100</f>
      </c>
      <c r="AB59" s="6">
        <f>H59*J59/100</f>
      </c>
      <c r="AC59" s="7">
        <f>H59*K59</f>
      </c>
      <c r="AD59" s="7">
        <f>H59*M59</f>
      </c>
      <c r="AE59" s="6">
        <f>H59*L59/100</f>
      </c>
      <c r="AF59" s="6">
        <f>AA59+AB59+AE59</f>
      </c>
      <c r="AG59" s="6">
        <f>I59+J59+L59</f>
      </c>
      <c r="AH59" s="53">
        <f>$H59*I59</f>
      </c>
      <c r="AI59" s="53">
        <f>$H59*J59</f>
      </c>
      <c r="AJ59" s="53">
        <f>$H59*K59</f>
      </c>
      <c r="AK59" s="53">
        <f>$H59*L59</f>
      </c>
      <c r="AL59" s="53">
        <f>$H59*M59</f>
      </c>
      <c r="AM59" s="3"/>
      <c r="AN59" s="5"/>
      <c r="AO59" s="5"/>
      <c r="AP59" s="5"/>
      <c r="AQ59" s="3"/>
    </row>
    <row x14ac:dyDescent="0.25" r="60" customHeight="1" ht="12.75">
      <c r="A60" s="5" t="s">
        <v>80</v>
      </c>
      <c r="B60" s="3" t="s">
        <v>1094</v>
      </c>
      <c r="C60" s="3" t="s">
        <v>870</v>
      </c>
      <c r="D60" s="3"/>
      <c r="E60" s="3" t="s">
        <v>855</v>
      </c>
      <c r="F60" s="3" t="s">
        <v>1242</v>
      </c>
      <c r="G60" s="3" t="s">
        <v>1204</v>
      </c>
      <c r="H60" s="6">
        <v>0.425</v>
      </c>
      <c r="I60" s="7">
        <v>6.258823529411764</v>
      </c>
      <c r="J60" s="7">
        <v>11.352941176470589</v>
      </c>
      <c r="K60" s="31">
        <v>112.29411764705883</v>
      </c>
      <c r="L60" s="7">
        <v>0.4882352941176471</v>
      </c>
      <c r="M60" s="7">
        <v>2.2705882352941176</v>
      </c>
      <c r="N60" s="7"/>
      <c r="O60" s="23"/>
      <c r="P60" s="6"/>
      <c r="Q60" s="6"/>
      <c r="R60" s="31"/>
      <c r="S60" s="6"/>
      <c r="T60" s="31"/>
      <c r="U60" s="6"/>
      <c r="V60" s="23"/>
      <c r="W60" s="6"/>
      <c r="X60" s="6"/>
      <c r="Y60" s="5"/>
      <c r="Z60" s="3"/>
      <c r="AA60" s="6">
        <f>H60*I60/100</f>
      </c>
      <c r="AB60" s="6">
        <f>H60*J60/100</f>
      </c>
      <c r="AC60" s="7">
        <f>H60*K60</f>
      </c>
      <c r="AD60" s="7">
        <f>H60*M60</f>
      </c>
      <c r="AE60" s="6">
        <f>H60*L60/100</f>
      </c>
      <c r="AF60" s="6">
        <f>AA60+AB60+AE60</f>
      </c>
      <c r="AG60" s="6">
        <f>I60+J60+L60</f>
      </c>
      <c r="AH60" s="53">
        <f>$H60*I60</f>
      </c>
      <c r="AI60" s="53">
        <f>$H60*J60</f>
      </c>
      <c r="AJ60" s="53">
        <f>$H60*K60</f>
      </c>
      <c r="AK60" s="53">
        <f>$H60*L60</f>
      </c>
      <c r="AL60" s="53">
        <f>$H60*M60</f>
      </c>
      <c r="AM60" s="3"/>
      <c r="AN60" s="5"/>
      <c r="AO60" s="5"/>
      <c r="AP60" s="5"/>
      <c r="AQ60" s="3"/>
    </row>
    <row x14ac:dyDescent="0.25" r="61" customHeight="1" ht="12.75">
      <c r="A61" s="5" t="s">
        <v>249</v>
      </c>
      <c r="B61" s="3" t="s">
        <v>1094</v>
      </c>
      <c r="C61" s="3" t="s">
        <v>870</v>
      </c>
      <c r="D61" s="3"/>
      <c r="E61" s="3" t="s">
        <v>855</v>
      </c>
      <c r="F61" s="3" t="s">
        <v>1230</v>
      </c>
      <c r="G61" s="3" t="s">
        <v>1204</v>
      </c>
      <c r="H61" s="7">
        <v>26.1</v>
      </c>
      <c r="I61" s="7">
        <v>0.28505747126436776</v>
      </c>
      <c r="J61" s="7">
        <v>3.855172413793103</v>
      </c>
      <c r="K61" s="31">
        <v>35.22222222222222</v>
      </c>
      <c r="L61" s="7">
        <v>2.2329501915708816</v>
      </c>
      <c r="M61" s="7">
        <v>0.6609195402298849</v>
      </c>
      <c r="N61" s="7"/>
      <c r="O61" s="23"/>
      <c r="P61" s="6"/>
      <c r="Q61" s="6"/>
      <c r="R61" s="31"/>
      <c r="S61" s="6"/>
      <c r="T61" s="31"/>
      <c r="U61" s="6"/>
      <c r="V61" s="23"/>
      <c r="W61" s="6"/>
      <c r="X61" s="6"/>
      <c r="Y61" s="5"/>
      <c r="Z61" s="3"/>
      <c r="AA61" s="6">
        <f>H61*I61/100</f>
      </c>
      <c r="AB61" s="6">
        <f>H61*J61/100</f>
      </c>
      <c r="AC61" s="7">
        <f>H61*K61</f>
      </c>
      <c r="AD61" s="7">
        <f>H61*M61</f>
      </c>
      <c r="AE61" s="6">
        <f>H61*L61/100</f>
      </c>
      <c r="AF61" s="6">
        <f>AA61+AB61+AE61</f>
      </c>
      <c r="AG61" s="6">
        <f>I61+J61+L61</f>
      </c>
      <c r="AH61" s="53">
        <f>$H61*I61</f>
      </c>
      <c r="AI61" s="53">
        <f>$H61*J61</f>
      </c>
      <c r="AJ61" s="53">
        <f>$H61*K61</f>
      </c>
      <c r="AK61" s="53">
        <f>$H61*L61</f>
      </c>
      <c r="AL61" s="53">
        <f>$H61*M61</f>
      </c>
      <c r="AM61" s="3"/>
      <c r="AN61" s="5"/>
      <c r="AO61" s="5"/>
      <c r="AP61" s="5"/>
      <c r="AQ61" s="3"/>
    </row>
    <row x14ac:dyDescent="0.25" r="62" customHeight="1" ht="12.75">
      <c r="A62" s="5" t="s">
        <v>820</v>
      </c>
      <c r="B62" s="3" t="s">
        <v>1094</v>
      </c>
      <c r="C62" s="3" t="s">
        <v>869</v>
      </c>
      <c r="D62" s="3" t="s">
        <v>1014</v>
      </c>
      <c r="E62" s="3" t="s">
        <v>855</v>
      </c>
      <c r="F62" s="3" t="s">
        <v>1171</v>
      </c>
      <c r="G62" s="3" t="s">
        <v>1203</v>
      </c>
      <c r="H62" s="6">
        <v>0.45</v>
      </c>
      <c r="I62" s="6">
        <v>1.5</v>
      </c>
      <c r="J62" s="6">
        <v>1.25</v>
      </c>
      <c r="K62" s="5">
        <v>100</v>
      </c>
      <c r="L62" s="6"/>
      <c r="M62" s="6"/>
      <c r="N62" s="7"/>
      <c r="O62" s="23"/>
      <c r="P62" s="6"/>
      <c r="Q62" s="6"/>
      <c r="R62" s="31"/>
      <c r="S62" s="6"/>
      <c r="T62" s="31"/>
      <c r="U62" s="6"/>
      <c r="V62" s="23"/>
      <c r="W62" s="6"/>
      <c r="X62" s="6"/>
      <c r="Y62" s="5"/>
      <c r="Z62" s="3"/>
      <c r="AA62" s="6">
        <f>H62*I62/100</f>
      </c>
      <c r="AB62" s="6">
        <f>H62*J62/100</f>
      </c>
      <c r="AC62" s="7">
        <f>H62*K62</f>
      </c>
      <c r="AD62" s="7">
        <f>H62*M62</f>
      </c>
      <c r="AE62" s="6">
        <f>H62*L62/100</f>
      </c>
      <c r="AF62" s="6">
        <f>AA62+AB62+AE62</f>
      </c>
      <c r="AG62" s="6">
        <f>I62+J62+L62</f>
      </c>
      <c r="AH62" s="53">
        <f>$H62*I62</f>
      </c>
      <c r="AI62" s="53">
        <f>$H62*J62</f>
      </c>
      <c r="AJ62" s="53">
        <f>$H62*K62</f>
      </c>
      <c r="AK62" s="53">
        <f>$H62*L62</f>
      </c>
      <c r="AL62" s="53">
        <f>$H62*M62</f>
      </c>
      <c r="AM62" s="3"/>
      <c r="AN62" s="5"/>
      <c r="AO62" s="5"/>
      <c r="AP62" s="5"/>
      <c r="AQ62" s="3"/>
    </row>
    <row x14ac:dyDescent="0.25" r="63" customHeight="1" ht="12.75">
      <c r="A63" s="5" t="s">
        <v>595</v>
      </c>
      <c r="B63" s="3" t="s">
        <v>1094</v>
      </c>
      <c r="C63" s="3" t="s">
        <v>864</v>
      </c>
      <c r="D63" s="3"/>
      <c r="E63" s="3" t="s">
        <v>855</v>
      </c>
      <c r="F63" s="3" t="s">
        <v>1243</v>
      </c>
      <c r="G63" s="3" t="s">
        <v>1203</v>
      </c>
      <c r="H63" s="6">
        <v>0.067</v>
      </c>
      <c r="I63" s="6">
        <v>0.73</v>
      </c>
      <c r="J63" s="6">
        <v>0.25</v>
      </c>
      <c r="K63" s="5">
        <v>16</v>
      </c>
      <c r="L63" s="6"/>
      <c r="M63" s="6">
        <v>4.97</v>
      </c>
      <c r="N63" s="7"/>
      <c r="O63" s="23"/>
      <c r="P63" s="6"/>
      <c r="Q63" s="6"/>
      <c r="R63" s="31"/>
      <c r="S63" s="6"/>
      <c r="T63" s="31"/>
      <c r="U63" s="6"/>
      <c r="V63" s="23"/>
      <c r="W63" s="6"/>
      <c r="X63" s="6"/>
      <c r="Y63" s="5"/>
      <c r="Z63" s="3"/>
      <c r="AA63" s="6">
        <f>H63*I63/100</f>
      </c>
      <c r="AB63" s="6">
        <f>H63*J63/100</f>
      </c>
      <c r="AC63" s="7">
        <f>H63*K63</f>
      </c>
      <c r="AD63" s="7">
        <f>H63*M63</f>
      </c>
      <c r="AE63" s="6">
        <f>H63*L63/100</f>
      </c>
      <c r="AF63" s="6">
        <f>AA63+AB63+AE63</f>
      </c>
      <c r="AG63" s="6">
        <f>I63+J63+L63</f>
      </c>
      <c r="AH63" s="53">
        <f>$H63*I63</f>
      </c>
      <c r="AI63" s="53">
        <f>$H63*J63</f>
      </c>
      <c r="AJ63" s="53">
        <f>$H63*K63</f>
      </c>
      <c r="AK63" s="53">
        <f>$H63*L63</f>
      </c>
      <c r="AL63" s="53">
        <f>$H63*M63</f>
      </c>
      <c r="AM63" s="3"/>
      <c r="AN63" s="5"/>
      <c r="AO63" s="5"/>
      <c r="AP63" s="5"/>
      <c r="AQ63" s="3"/>
    </row>
    <row x14ac:dyDescent="0.25" r="64" customHeight="1" ht="12.75">
      <c r="A64" s="5" t="s">
        <v>731</v>
      </c>
      <c r="B64" s="3" t="s">
        <v>1094</v>
      </c>
      <c r="C64" s="3" t="s">
        <v>870</v>
      </c>
      <c r="D64" s="3"/>
      <c r="E64" s="3" t="s">
        <v>855</v>
      </c>
      <c r="F64" s="3" t="s">
        <v>1244</v>
      </c>
      <c r="G64" s="3" t="s">
        <v>1245</v>
      </c>
      <c r="H64" s="6">
        <v>0.2</v>
      </c>
      <c r="I64" s="6"/>
      <c r="J64" s="5">
        <v>5</v>
      </c>
      <c r="K64" s="5"/>
      <c r="L64" s="6"/>
      <c r="M64" s="6"/>
      <c r="N64" s="7"/>
      <c r="O64" s="23"/>
      <c r="P64" s="6"/>
      <c r="Q64" s="6"/>
      <c r="R64" s="31"/>
      <c r="S64" s="6"/>
      <c r="T64" s="31"/>
      <c r="U64" s="6"/>
      <c r="V64" s="23"/>
      <c r="W64" s="6"/>
      <c r="X64" s="6"/>
      <c r="Y64" s="5"/>
      <c r="Z64" s="3"/>
      <c r="AA64" s="6">
        <f>H64*I64/100</f>
      </c>
      <c r="AB64" s="6">
        <f>H64*J64/100</f>
      </c>
      <c r="AC64" s="7">
        <f>H64*K64</f>
      </c>
      <c r="AD64" s="7">
        <f>H64*M64</f>
      </c>
      <c r="AE64" s="6">
        <f>H64*L64/100</f>
      </c>
      <c r="AF64" s="6">
        <f>AA64+AB64+AE64</f>
      </c>
      <c r="AG64" s="6">
        <f>I64+J64+L64</f>
      </c>
      <c r="AH64" s="53">
        <f>$H64*I64</f>
      </c>
      <c r="AI64" s="53">
        <f>$H64*J64</f>
      </c>
      <c r="AJ64" s="53">
        <f>$H64*K64</f>
      </c>
      <c r="AK64" s="53">
        <f>$H64*L64</f>
      </c>
      <c r="AL64" s="53">
        <f>$H64*M64</f>
      </c>
      <c r="AM64" s="3"/>
      <c r="AN64" s="5"/>
      <c r="AO64" s="5"/>
      <c r="AP64" s="5"/>
      <c r="AQ64" s="3"/>
    </row>
    <row x14ac:dyDescent="0.25" r="65" customHeight="1" ht="12.75">
      <c r="A65" s="5" t="s">
        <v>259</v>
      </c>
      <c r="B65" s="3" t="s">
        <v>1094</v>
      </c>
      <c r="C65" s="3" t="s">
        <v>870</v>
      </c>
      <c r="D65" s="3"/>
      <c r="E65" s="3" t="s">
        <v>855</v>
      </c>
      <c r="F65" s="3" t="s">
        <v>1242</v>
      </c>
      <c r="G65" s="3" t="s">
        <v>1204</v>
      </c>
      <c r="H65" s="6">
        <v>0.75</v>
      </c>
      <c r="I65" s="7">
        <v>4.132000000000001</v>
      </c>
      <c r="J65" s="7">
        <v>6.990666666666667</v>
      </c>
      <c r="K65" s="31">
        <v>104.06666666666668</v>
      </c>
      <c r="L65" s="7">
        <v>0.3706666666666667</v>
      </c>
      <c r="M65" s="7">
        <v>1.3293333333333335</v>
      </c>
      <c r="N65" s="7"/>
      <c r="O65" s="23"/>
      <c r="P65" s="6"/>
      <c r="Q65" s="6"/>
      <c r="R65" s="31"/>
      <c r="S65" s="6"/>
      <c r="T65" s="31"/>
      <c r="U65" s="6"/>
      <c r="V65" s="23"/>
      <c r="W65" s="6"/>
      <c r="X65" s="6"/>
      <c r="Y65" s="5"/>
      <c r="Z65" s="3"/>
      <c r="AA65" s="6">
        <f>H65*I65/100</f>
      </c>
      <c r="AB65" s="6">
        <f>H65*J65/100</f>
      </c>
      <c r="AC65" s="7">
        <f>H65*K65</f>
      </c>
      <c r="AD65" s="7">
        <f>H65*M65</f>
      </c>
      <c r="AE65" s="6">
        <f>H65*L65/100</f>
      </c>
      <c r="AF65" s="6">
        <f>AA65+AB65+AE65</f>
      </c>
      <c r="AG65" s="6">
        <f>I65+J65+L65</f>
      </c>
      <c r="AH65" s="53">
        <f>$H65*I65</f>
      </c>
      <c r="AI65" s="53">
        <f>$H65*J65</f>
      </c>
      <c r="AJ65" s="53">
        <f>$H65*K65</f>
      </c>
      <c r="AK65" s="53">
        <f>$H65*L65</f>
      </c>
      <c r="AL65" s="53">
        <f>$H65*M65</f>
      </c>
      <c r="AM65" s="3"/>
      <c r="AN65" s="5"/>
      <c r="AO65" s="5"/>
      <c r="AP65" s="5"/>
      <c r="AQ65" s="3"/>
    </row>
    <row x14ac:dyDescent="0.25" r="66" customHeight="1" ht="12.75">
      <c r="A66" s="5" t="s">
        <v>1049</v>
      </c>
      <c r="B66" s="3" t="s">
        <v>1094</v>
      </c>
      <c r="C66" s="16" t="s">
        <v>1246</v>
      </c>
      <c r="D66" s="16" t="s">
        <v>1246</v>
      </c>
      <c r="E66" s="16" t="s">
        <v>1247</v>
      </c>
      <c r="F66" s="3" t="s">
        <v>1248</v>
      </c>
      <c r="G66" s="3" t="s">
        <v>1249</v>
      </c>
      <c r="H66" s="6">
        <v>9.5</v>
      </c>
      <c r="I66" s="7">
        <v>3</v>
      </c>
      <c r="J66" s="6">
        <v>2.5</v>
      </c>
      <c r="K66" s="5">
        <v>104</v>
      </c>
      <c r="L66" s="6">
        <v>0.2</v>
      </c>
      <c r="M66" s="6">
        <v>2.6</v>
      </c>
      <c r="N66" s="7"/>
      <c r="O66" s="23"/>
      <c r="P66" s="6"/>
      <c r="Q66" s="6"/>
      <c r="R66" s="31"/>
      <c r="S66" s="6"/>
      <c r="T66" s="31"/>
      <c r="U66" s="6"/>
      <c r="V66" s="23"/>
      <c r="W66" s="6"/>
      <c r="X66" s="6"/>
      <c r="Y66" s="5"/>
      <c r="Z66" s="3"/>
      <c r="AA66" s="6">
        <f>H66*I66/100</f>
      </c>
      <c r="AB66" s="6">
        <f>H66*J66/100</f>
      </c>
      <c r="AC66" s="7">
        <f>H66*K66</f>
      </c>
      <c r="AD66" s="7">
        <f>H66*M66</f>
      </c>
      <c r="AE66" s="6">
        <f>H66*L66/100</f>
      </c>
      <c r="AF66" s="6">
        <f>AA66+AB66+AE66</f>
      </c>
      <c r="AG66" s="6">
        <f>I66+J66+L66</f>
      </c>
      <c r="AH66" s="53">
        <f>$H66*I66</f>
      </c>
      <c r="AI66" s="53">
        <f>$H66*J66</f>
      </c>
      <c r="AJ66" s="53">
        <f>$H66*K66</f>
      </c>
      <c r="AK66" s="53">
        <f>$H66*L66</f>
      </c>
      <c r="AL66" s="53">
        <f>$H66*M66</f>
      </c>
      <c r="AM66" s="3"/>
      <c r="AN66" s="5"/>
      <c r="AO66" s="5"/>
      <c r="AP66" s="5"/>
      <c r="AQ66" s="3"/>
    </row>
    <row x14ac:dyDescent="0.25" r="67" customHeight="1" ht="12.75">
      <c r="A67" s="5" t="s">
        <v>348</v>
      </c>
      <c r="B67" s="3" t="s">
        <v>1094</v>
      </c>
      <c r="C67" s="3" t="s">
        <v>866</v>
      </c>
      <c r="D67" s="3" t="s">
        <v>988</v>
      </c>
      <c r="E67" s="3" t="s">
        <v>855</v>
      </c>
      <c r="F67" s="3" t="s">
        <v>1250</v>
      </c>
      <c r="G67" s="3" t="s">
        <v>1204</v>
      </c>
      <c r="H67" s="6">
        <v>2.444</v>
      </c>
      <c r="I67" s="6">
        <v>2.8</v>
      </c>
      <c r="J67" s="6">
        <v>3.8</v>
      </c>
      <c r="K67" s="6">
        <v>16.7</v>
      </c>
      <c r="L67" s="6">
        <v>0.2</v>
      </c>
      <c r="M67" s="6">
        <v>4.1</v>
      </c>
      <c r="N67" s="7"/>
      <c r="O67" s="23"/>
      <c r="P67" s="6"/>
      <c r="Q67" s="6"/>
      <c r="R67" s="31"/>
      <c r="S67" s="6"/>
      <c r="T67" s="31"/>
      <c r="U67" s="6"/>
      <c r="V67" s="23"/>
      <c r="W67" s="6"/>
      <c r="X67" s="6"/>
      <c r="Y67" s="5"/>
      <c r="Z67" s="3"/>
      <c r="AA67" s="6">
        <f>H67*I67/100</f>
      </c>
      <c r="AB67" s="6">
        <f>H67*J67/100</f>
      </c>
      <c r="AC67" s="7">
        <f>H67*K67</f>
      </c>
      <c r="AD67" s="7">
        <f>H67*M67</f>
      </c>
      <c r="AE67" s="6">
        <f>H67*L67/100</f>
      </c>
      <c r="AF67" s="6">
        <f>AA67+AB67+AE67</f>
      </c>
      <c r="AG67" s="6">
        <f>I67+J67+L67</f>
      </c>
      <c r="AH67" s="53">
        <f>$H67*I67</f>
      </c>
      <c r="AI67" s="53">
        <f>$H67*J67</f>
      </c>
      <c r="AJ67" s="53">
        <f>$H67*K67</f>
      </c>
      <c r="AK67" s="53">
        <f>$H67*L67</f>
      </c>
      <c r="AL67" s="53">
        <f>$H67*M67</f>
      </c>
      <c r="AM67" s="3"/>
      <c r="AN67" s="5"/>
      <c r="AO67" s="5"/>
      <c r="AP67" s="5"/>
      <c r="AQ67" s="3"/>
    </row>
    <row x14ac:dyDescent="0.25" r="68" customHeight="1" ht="12.75">
      <c r="A68" s="5" t="s">
        <v>648</v>
      </c>
      <c r="B68" s="3" t="s">
        <v>1094</v>
      </c>
      <c r="C68" s="3" t="s">
        <v>870</v>
      </c>
      <c r="D68" s="3"/>
      <c r="E68" s="3" t="s">
        <v>855</v>
      </c>
      <c r="F68" s="3" t="s">
        <v>1251</v>
      </c>
      <c r="G68" s="3" t="s">
        <v>1229</v>
      </c>
      <c r="H68" s="6">
        <v>0.215</v>
      </c>
      <c r="I68" s="6">
        <v>1.5</v>
      </c>
      <c r="J68" s="6">
        <v>1.3</v>
      </c>
      <c r="K68" s="5">
        <v>23</v>
      </c>
      <c r="L68" s="6"/>
      <c r="M68" s="6">
        <v>3.5</v>
      </c>
      <c r="N68" s="7"/>
      <c r="O68" s="23"/>
      <c r="P68" s="6"/>
      <c r="Q68" s="6"/>
      <c r="R68" s="31"/>
      <c r="S68" s="6"/>
      <c r="T68" s="31"/>
      <c r="U68" s="6"/>
      <c r="V68" s="23"/>
      <c r="W68" s="6"/>
      <c r="X68" s="6"/>
      <c r="Y68" s="5"/>
      <c r="Z68" s="3"/>
      <c r="AA68" s="6">
        <f>H68*I68/100</f>
      </c>
      <c r="AB68" s="6">
        <f>H68*J68/100</f>
      </c>
      <c r="AC68" s="7">
        <f>H68*K68</f>
      </c>
      <c r="AD68" s="7">
        <f>H68*M68</f>
      </c>
      <c r="AE68" s="6">
        <f>H68*L68/100</f>
      </c>
      <c r="AF68" s="6">
        <f>AA68+AB68+AE68</f>
      </c>
      <c r="AG68" s="6">
        <f>I68+J68+L68</f>
      </c>
      <c r="AH68" s="53">
        <f>$H68*I68</f>
      </c>
      <c r="AI68" s="53">
        <f>$H68*J68</f>
      </c>
      <c r="AJ68" s="53">
        <f>$H68*K68</f>
      </c>
      <c r="AK68" s="53">
        <f>$H68*L68</f>
      </c>
      <c r="AL68" s="53">
        <f>$H68*M68</f>
      </c>
      <c r="AM68" s="3"/>
      <c r="AN68" s="5"/>
      <c r="AO68" s="5"/>
      <c r="AP68" s="5"/>
      <c r="AQ68" s="3"/>
    </row>
    <row x14ac:dyDescent="0.25" r="69" customHeight="1" ht="12.75">
      <c r="A69" s="5" t="s">
        <v>548</v>
      </c>
      <c r="B69" s="3" t="s">
        <v>1094</v>
      </c>
      <c r="C69" s="3" t="s">
        <v>866</v>
      </c>
      <c r="D69" s="3" t="s">
        <v>988</v>
      </c>
      <c r="E69" s="3" t="s">
        <v>855</v>
      </c>
      <c r="F69" s="3" t="s">
        <v>1252</v>
      </c>
      <c r="G69" s="3" t="s">
        <v>1253</v>
      </c>
      <c r="H69" s="6">
        <v>4.7</v>
      </c>
      <c r="I69" s="7">
        <v>2.0170212765957447</v>
      </c>
      <c r="J69" s="7">
        <v>4.81063829787234</v>
      </c>
      <c r="K69" s="7">
        <v>48.106382978723396</v>
      </c>
      <c r="L69" s="6">
        <v>0.2</v>
      </c>
      <c r="M69" s="6"/>
      <c r="N69" s="7"/>
      <c r="O69" s="23"/>
      <c r="P69" s="6"/>
      <c r="Q69" s="6"/>
      <c r="R69" s="31"/>
      <c r="S69" s="6"/>
      <c r="T69" s="31"/>
      <c r="U69" s="6"/>
      <c r="V69" s="23"/>
      <c r="W69" s="6"/>
      <c r="X69" s="6"/>
      <c r="Y69" s="5"/>
      <c r="Z69" s="3"/>
      <c r="AA69" s="6">
        <f>H69*I69/100</f>
      </c>
      <c r="AB69" s="6">
        <f>H69*J69/100</f>
      </c>
      <c r="AC69" s="7">
        <f>H69*K69</f>
      </c>
      <c r="AD69" s="7">
        <f>H69*M69</f>
      </c>
      <c r="AE69" s="6">
        <f>H69*L69/100</f>
      </c>
      <c r="AF69" s="6">
        <f>AA69+AB69+AE69</f>
      </c>
      <c r="AG69" s="6">
        <f>I69+J69+L69</f>
      </c>
      <c r="AH69" s="53">
        <f>$H69*I69</f>
      </c>
      <c r="AI69" s="53">
        <f>$H69*J69</f>
      </c>
      <c r="AJ69" s="53">
        <f>$H69*K69</f>
      </c>
      <c r="AK69" s="53">
        <f>$H69*L69</f>
      </c>
      <c r="AL69" s="53">
        <f>$H69*M69</f>
      </c>
      <c r="AM69" s="3"/>
      <c r="AN69" s="5"/>
      <c r="AO69" s="5"/>
      <c r="AP69" s="5"/>
      <c r="AQ69" s="3"/>
    </row>
    <row x14ac:dyDescent="0.25" r="70" customHeight="1" ht="12.75">
      <c r="A70" s="5" t="s">
        <v>585</v>
      </c>
      <c r="B70" s="3" t="s">
        <v>1094</v>
      </c>
      <c r="C70" s="3" t="s">
        <v>870</v>
      </c>
      <c r="D70" s="3"/>
      <c r="E70" s="3" t="s">
        <v>855</v>
      </c>
      <c r="F70" s="3" t="s">
        <v>1213</v>
      </c>
      <c r="G70" s="3" t="s">
        <v>1204</v>
      </c>
      <c r="H70" s="6">
        <v>0.475</v>
      </c>
      <c r="I70" s="6"/>
      <c r="J70" s="6">
        <v>2.8</v>
      </c>
      <c r="K70" s="5">
        <v>39</v>
      </c>
      <c r="L70" s="6">
        <v>2.2</v>
      </c>
      <c r="M70" s="6"/>
      <c r="N70" s="7"/>
      <c r="O70" s="23"/>
      <c r="P70" s="6"/>
      <c r="Q70" s="6"/>
      <c r="R70" s="31"/>
      <c r="S70" s="6"/>
      <c r="T70" s="31"/>
      <c r="U70" s="6"/>
      <c r="V70" s="23"/>
      <c r="W70" s="6"/>
      <c r="X70" s="6"/>
      <c r="Y70" s="5"/>
      <c r="Z70" s="3"/>
      <c r="AA70" s="6">
        <f>H70*I70/100</f>
      </c>
      <c r="AB70" s="6">
        <f>H70*J70/100</f>
      </c>
      <c r="AC70" s="7">
        <f>H70*K70</f>
      </c>
      <c r="AD70" s="7">
        <f>H70*M70</f>
      </c>
      <c r="AE70" s="6">
        <f>H70*L70/100</f>
      </c>
      <c r="AF70" s="6">
        <f>AA70+AB70+AE70</f>
      </c>
      <c r="AG70" s="6">
        <f>I70+J70+L70</f>
      </c>
      <c r="AH70" s="53">
        <f>$H70*I70</f>
      </c>
      <c r="AI70" s="53">
        <f>$H70*J70</f>
      </c>
      <c r="AJ70" s="53">
        <f>$H70*K70</f>
      </c>
      <c r="AK70" s="53">
        <f>$H70*L70</f>
      </c>
      <c r="AL70" s="53">
        <f>$H70*M70</f>
      </c>
      <c r="AM70" s="3"/>
      <c r="AN70" s="5"/>
      <c r="AO70" s="5"/>
      <c r="AP70" s="5"/>
      <c r="AQ70" s="3"/>
    </row>
    <row x14ac:dyDescent="0.25" r="71" customHeight="1" ht="12.75">
      <c r="A71" s="5" t="s">
        <v>670</v>
      </c>
      <c r="B71" s="3" t="s">
        <v>1094</v>
      </c>
      <c r="C71" s="3" t="s">
        <v>870</v>
      </c>
      <c r="D71" s="3" t="s">
        <v>1027</v>
      </c>
      <c r="E71" s="3" t="s">
        <v>855</v>
      </c>
      <c r="F71" s="3" t="s">
        <v>1254</v>
      </c>
      <c r="G71" s="3" t="s">
        <v>1197</v>
      </c>
      <c r="H71" s="7">
        <v>1</v>
      </c>
      <c r="I71" s="6">
        <v>2.58</v>
      </c>
      <c r="J71" s="6">
        <v>2.21</v>
      </c>
      <c r="K71" s="6">
        <v>73.2</v>
      </c>
      <c r="L71" s="6">
        <v>0.89</v>
      </c>
      <c r="M71" s="6"/>
      <c r="N71" s="7"/>
      <c r="O71" s="23"/>
      <c r="P71" s="6"/>
      <c r="Q71" s="6"/>
      <c r="R71" s="31"/>
      <c r="S71" s="6"/>
      <c r="T71" s="31"/>
      <c r="U71" s="6"/>
      <c r="V71" s="23"/>
      <c r="W71" s="6"/>
      <c r="X71" s="6"/>
      <c r="Y71" s="5"/>
      <c r="Z71" s="3"/>
      <c r="AA71" s="6">
        <f>H71*I71/100</f>
      </c>
      <c r="AB71" s="6">
        <f>H71*J71/100</f>
      </c>
      <c r="AC71" s="7">
        <f>H71*K71</f>
      </c>
      <c r="AD71" s="7">
        <f>H71*M71</f>
      </c>
      <c r="AE71" s="6">
        <f>H71*L71/100</f>
      </c>
      <c r="AF71" s="6">
        <f>AA71+AB71+AE71</f>
      </c>
      <c r="AG71" s="6">
        <f>I71+J71+L71</f>
      </c>
      <c r="AH71" s="53">
        <f>$H71*I71</f>
      </c>
      <c r="AI71" s="53">
        <f>$H71*J71</f>
      </c>
      <c r="AJ71" s="53">
        <f>$H71*K71</f>
      </c>
      <c r="AK71" s="53">
        <f>$H71*L71</f>
      </c>
      <c r="AL71" s="53">
        <f>$H71*M71</f>
      </c>
      <c r="AM71" s="3"/>
      <c r="AN71" s="5"/>
      <c r="AO71" s="5"/>
      <c r="AP71" s="5"/>
      <c r="AQ71" s="3"/>
    </row>
    <row x14ac:dyDescent="0.25" r="72" customHeight="1" ht="12.75">
      <c r="A72" s="5" t="s">
        <v>681</v>
      </c>
      <c r="B72" s="3" t="s">
        <v>1094</v>
      </c>
      <c r="C72" s="3" t="s">
        <v>866</v>
      </c>
      <c r="D72" s="3" t="s">
        <v>989</v>
      </c>
      <c r="E72" s="3" t="s">
        <v>855</v>
      </c>
      <c r="F72" s="3" t="s">
        <v>1255</v>
      </c>
      <c r="G72" s="3" t="s">
        <v>1204</v>
      </c>
      <c r="H72" s="6">
        <v>10.4</v>
      </c>
      <c r="I72" s="6">
        <v>0.2</v>
      </c>
      <c r="J72" s="6">
        <v>2.7</v>
      </c>
      <c r="K72" s="5">
        <v>1</v>
      </c>
      <c r="L72" s="6"/>
      <c r="M72" s="6"/>
      <c r="N72" s="7"/>
      <c r="O72" s="23"/>
      <c r="P72" s="6"/>
      <c r="Q72" s="6"/>
      <c r="R72" s="31"/>
      <c r="S72" s="6"/>
      <c r="T72" s="31"/>
      <c r="U72" s="6"/>
      <c r="V72" s="23"/>
      <c r="W72" s="6"/>
      <c r="X72" s="6"/>
      <c r="Y72" s="5"/>
      <c r="Z72" s="3"/>
      <c r="AA72" s="6">
        <f>H72*I72/100</f>
      </c>
      <c r="AB72" s="6">
        <f>H72*J72/100</f>
      </c>
      <c r="AC72" s="7">
        <f>H72*K72</f>
      </c>
      <c r="AD72" s="7">
        <f>H72*M72</f>
      </c>
      <c r="AE72" s="6">
        <f>H72*L72/100</f>
      </c>
      <c r="AF72" s="6">
        <f>AA72+AB72+AE72</f>
      </c>
      <c r="AG72" s="6">
        <f>I72+J72+L72</f>
      </c>
      <c r="AH72" s="53">
        <f>$H72*I72</f>
      </c>
      <c r="AI72" s="53">
        <f>$H72*J72</f>
      </c>
      <c r="AJ72" s="53">
        <f>$H72*K72</f>
      </c>
      <c r="AK72" s="53">
        <f>$H72*L72</f>
      </c>
      <c r="AL72" s="53">
        <f>$H72*M72</f>
      </c>
      <c r="AM72" s="3"/>
      <c r="AN72" s="5"/>
      <c r="AO72" s="5"/>
      <c r="AP72" s="5"/>
      <c r="AQ72" s="3"/>
    </row>
    <row x14ac:dyDescent="0.25" r="73" customHeight="1" ht="12.75">
      <c r="A73" s="5" t="s">
        <v>715</v>
      </c>
      <c r="B73" s="3" t="s">
        <v>1094</v>
      </c>
      <c r="C73" s="3" t="s">
        <v>870</v>
      </c>
      <c r="D73" s="3"/>
      <c r="E73" s="3" t="s">
        <v>855</v>
      </c>
      <c r="F73" s="3" t="s">
        <v>1256</v>
      </c>
      <c r="G73" s="3" t="s">
        <v>1204</v>
      </c>
      <c r="H73" s="6">
        <v>6.3</v>
      </c>
      <c r="I73" s="6"/>
      <c r="J73" s="6">
        <v>3.3</v>
      </c>
      <c r="K73" s="6">
        <v>12.1</v>
      </c>
      <c r="L73" s="6">
        <v>0.5</v>
      </c>
      <c r="M73" s="6"/>
      <c r="N73" s="7"/>
      <c r="O73" s="23"/>
      <c r="P73" s="6"/>
      <c r="Q73" s="6"/>
      <c r="R73" s="31"/>
      <c r="S73" s="6"/>
      <c r="T73" s="31"/>
      <c r="U73" s="6"/>
      <c r="V73" s="23"/>
      <c r="W73" s="6"/>
      <c r="X73" s="6"/>
      <c r="Y73" s="5"/>
      <c r="Z73" s="3"/>
      <c r="AA73" s="6">
        <f>H73*I73/100</f>
      </c>
      <c r="AB73" s="6">
        <f>H73*J73/100</f>
      </c>
      <c r="AC73" s="7">
        <f>H73*K73</f>
      </c>
      <c r="AD73" s="7">
        <f>H73*M73</f>
      </c>
      <c r="AE73" s="6">
        <f>H73*L73/100</f>
      </c>
      <c r="AF73" s="6">
        <f>AA73+AB73+AE73</f>
      </c>
      <c r="AG73" s="6">
        <f>I73+J73+L73</f>
      </c>
      <c r="AH73" s="53">
        <f>$H73*I73</f>
      </c>
      <c r="AI73" s="53">
        <f>$H73*J73</f>
      </c>
      <c r="AJ73" s="53">
        <f>$H73*K73</f>
      </c>
      <c r="AK73" s="53">
        <f>$H73*L73</f>
      </c>
      <c r="AL73" s="53">
        <f>$H73*M73</f>
      </c>
      <c r="AM73" s="3"/>
      <c r="AN73" s="5"/>
      <c r="AO73" s="5"/>
      <c r="AP73" s="5"/>
      <c r="AQ73" s="3"/>
    </row>
    <row x14ac:dyDescent="0.25" r="74" customHeight="1" ht="12.75">
      <c r="A74" s="5" t="s">
        <v>823</v>
      </c>
      <c r="B74" s="3" t="s">
        <v>1094</v>
      </c>
      <c r="C74" s="3" t="s">
        <v>865</v>
      </c>
      <c r="D74" s="3" t="s">
        <v>979</v>
      </c>
      <c r="E74" s="3" t="s">
        <v>855</v>
      </c>
      <c r="F74" s="3" t="s">
        <v>1257</v>
      </c>
      <c r="G74" s="3" t="s">
        <v>1201</v>
      </c>
      <c r="H74" s="6">
        <v>2.75</v>
      </c>
      <c r="I74" s="7">
        <v>1</v>
      </c>
      <c r="J74" s="6">
        <v>1.3</v>
      </c>
      <c r="K74" s="5">
        <v>24</v>
      </c>
      <c r="L74" s="6">
        <v>0.18</v>
      </c>
      <c r="M74" s="6">
        <v>0.5</v>
      </c>
      <c r="N74" s="7"/>
      <c r="O74" s="23"/>
      <c r="P74" s="6"/>
      <c r="Q74" s="6"/>
      <c r="R74" s="31"/>
      <c r="S74" s="6"/>
      <c r="T74" s="31"/>
      <c r="U74" s="6"/>
      <c r="V74" s="23"/>
      <c r="W74" s="6"/>
      <c r="X74" s="6"/>
      <c r="Y74" s="5"/>
      <c r="Z74" s="3"/>
      <c r="AA74" s="6">
        <f>H74*I74/100</f>
      </c>
      <c r="AB74" s="6">
        <f>H74*J74/100</f>
      </c>
      <c r="AC74" s="7">
        <f>H74*K74</f>
      </c>
      <c r="AD74" s="7">
        <f>H74*M74</f>
      </c>
      <c r="AE74" s="6">
        <f>H74*L74/100</f>
      </c>
      <c r="AF74" s="6">
        <f>AA74+AB74+AE74</f>
      </c>
      <c r="AG74" s="6">
        <f>I74+J74+L74</f>
      </c>
      <c r="AH74" s="53">
        <f>$H74*I74</f>
      </c>
      <c r="AI74" s="53">
        <f>$H74*J74</f>
      </c>
      <c r="AJ74" s="53">
        <f>$H74*K74</f>
      </c>
      <c r="AK74" s="53">
        <f>$H74*L74</f>
      </c>
      <c r="AL74" s="53">
        <f>$H74*M74</f>
      </c>
      <c r="AM74" s="3"/>
      <c r="AN74" s="5"/>
      <c r="AO74" s="5"/>
      <c r="AP74" s="5"/>
      <c r="AQ74" s="3"/>
    </row>
    <row x14ac:dyDescent="0.25" r="75" customHeight="1" ht="12.75">
      <c r="A75" s="5" t="s">
        <v>666</v>
      </c>
      <c r="B75" s="3" t="s">
        <v>1094</v>
      </c>
      <c r="C75" s="3" t="s">
        <v>870</v>
      </c>
      <c r="D75" s="3"/>
      <c r="E75" s="3" t="s">
        <v>855</v>
      </c>
      <c r="F75" s="3" t="s">
        <v>1258</v>
      </c>
      <c r="G75" s="3" t="s">
        <v>1201</v>
      </c>
      <c r="H75" s="6">
        <v>21.8</v>
      </c>
      <c r="I75" s="6">
        <v>0.44935779816513766</v>
      </c>
      <c r="J75" s="7">
        <v>0.9422018348623854</v>
      </c>
      <c r="K75" s="31">
        <v>47.027522935779814</v>
      </c>
      <c r="L75" s="6"/>
      <c r="M75" s="6">
        <v>0.12449541284403672</v>
      </c>
      <c r="N75" s="7"/>
      <c r="O75" s="23"/>
      <c r="P75" s="6"/>
      <c r="Q75" s="6"/>
      <c r="R75" s="31"/>
      <c r="S75" s="6"/>
      <c r="T75" s="31"/>
      <c r="U75" s="6"/>
      <c r="V75" s="23"/>
      <c r="W75" s="6"/>
      <c r="X75" s="6"/>
      <c r="Y75" s="5"/>
      <c r="Z75" s="3"/>
      <c r="AA75" s="6">
        <f>H75*I75/100</f>
      </c>
      <c r="AB75" s="6">
        <f>H75*J75/100</f>
      </c>
      <c r="AC75" s="7">
        <f>H75*K75</f>
      </c>
      <c r="AD75" s="7">
        <f>H75*M75</f>
      </c>
      <c r="AE75" s="6">
        <f>H75*L75/100</f>
      </c>
      <c r="AF75" s="6">
        <f>AA75+AB75+AE75</f>
      </c>
      <c r="AG75" s="6">
        <f>I75+J75+L75</f>
      </c>
      <c r="AH75" s="53">
        <f>$H75*I75</f>
      </c>
      <c r="AI75" s="53">
        <f>$H75*J75</f>
      </c>
      <c r="AJ75" s="53">
        <f>$H75*K75</f>
      </c>
      <c r="AK75" s="53">
        <f>$H75*L75</f>
      </c>
      <c r="AL75" s="53">
        <f>$H75*M75</f>
      </c>
      <c r="AM75" s="3"/>
      <c r="AN75" s="5"/>
      <c r="AO75" s="5"/>
      <c r="AP75" s="5"/>
      <c r="AQ75" s="3"/>
    </row>
    <row x14ac:dyDescent="0.25" r="76" customHeight="1" ht="12.75">
      <c r="A76" s="5" t="s">
        <v>786</v>
      </c>
      <c r="B76" s="3" t="s">
        <v>1094</v>
      </c>
      <c r="C76" s="3" t="s">
        <v>870</v>
      </c>
      <c r="D76" s="3"/>
      <c r="E76" s="3" t="s">
        <v>855</v>
      </c>
      <c r="F76" s="3" t="s">
        <v>1259</v>
      </c>
      <c r="G76" s="3" t="s">
        <v>1245</v>
      </c>
      <c r="H76" s="6">
        <v>5.75</v>
      </c>
      <c r="I76" s="6"/>
      <c r="J76" s="6">
        <v>0.34747826086956524</v>
      </c>
      <c r="K76" s="6">
        <v>2.3021043478260865</v>
      </c>
      <c r="L76" s="6">
        <v>1.0313043478260868</v>
      </c>
      <c r="M76" s="6">
        <v>0.050504347826086954</v>
      </c>
      <c r="N76" s="7"/>
      <c r="O76" s="23"/>
      <c r="P76" s="6"/>
      <c r="Q76" s="6"/>
      <c r="R76" s="31"/>
      <c r="S76" s="6"/>
      <c r="T76" s="31"/>
      <c r="U76" s="6"/>
      <c r="V76" s="23"/>
      <c r="W76" s="6"/>
      <c r="X76" s="6"/>
      <c r="Y76" s="5"/>
      <c r="Z76" s="3"/>
      <c r="AA76" s="6">
        <f>H76*I76/100</f>
      </c>
      <c r="AB76" s="6">
        <f>H76*J76/100</f>
      </c>
      <c r="AC76" s="7">
        <f>H76*K76</f>
      </c>
      <c r="AD76" s="7">
        <f>H76*M76</f>
      </c>
      <c r="AE76" s="6">
        <f>H76*L76/100</f>
      </c>
      <c r="AF76" s="6">
        <f>AA76+AB76+AE76</f>
      </c>
      <c r="AG76" s="6">
        <f>I76+J76+L76</f>
      </c>
      <c r="AH76" s="53">
        <f>$H76*I76</f>
      </c>
      <c r="AI76" s="53">
        <f>$H76*J76</f>
      </c>
      <c r="AJ76" s="53">
        <f>$H76*K76</f>
      </c>
      <c r="AK76" s="53">
        <f>$H76*L76</f>
      </c>
      <c r="AL76" s="53">
        <f>$H76*M76</f>
      </c>
      <c r="AM76" s="3"/>
      <c r="AN76" s="5"/>
      <c r="AO76" s="5"/>
      <c r="AP76" s="5"/>
      <c r="AQ76" s="3"/>
    </row>
    <row x14ac:dyDescent="0.25" r="77" customHeight="1" ht="12.75">
      <c r="A77" s="5" t="s">
        <v>803</v>
      </c>
      <c r="B77" s="3" t="s">
        <v>1094</v>
      </c>
      <c r="C77" s="3" t="s">
        <v>870</v>
      </c>
      <c r="D77" s="3"/>
      <c r="E77" s="3" t="s">
        <v>855</v>
      </c>
      <c r="F77" s="3" t="s">
        <v>1260</v>
      </c>
      <c r="G77" s="3" t="s">
        <v>1261</v>
      </c>
      <c r="H77" s="6">
        <v>5.1579999999999995</v>
      </c>
      <c r="I77" s="6"/>
      <c r="J77" s="6">
        <v>1.8769988367584336</v>
      </c>
      <c r="K77" s="5"/>
      <c r="L77" s="6">
        <v>0.14899961225281116</v>
      </c>
      <c r="M77" s="6"/>
      <c r="N77" s="7"/>
      <c r="O77" s="23"/>
      <c r="P77" s="6"/>
      <c r="Q77" s="6"/>
      <c r="R77" s="31"/>
      <c r="S77" s="6"/>
      <c r="T77" s="31"/>
      <c r="U77" s="6"/>
      <c r="V77" s="23"/>
      <c r="W77" s="6"/>
      <c r="X77" s="6"/>
      <c r="Y77" s="5"/>
      <c r="Z77" s="3"/>
      <c r="AA77" s="6">
        <f>H77*I77/100</f>
      </c>
      <c r="AB77" s="6">
        <f>H77*J77/100</f>
      </c>
      <c r="AC77" s="7">
        <f>H77*K77</f>
      </c>
      <c r="AD77" s="7">
        <f>H77*M77</f>
      </c>
      <c r="AE77" s="6">
        <f>H77*L77/100</f>
      </c>
      <c r="AF77" s="6">
        <f>AA77+AB77+AE77</f>
      </c>
      <c r="AG77" s="6">
        <f>I77+J77+L77</f>
      </c>
      <c r="AH77" s="53">
        <f>$H77*I77</f>
      </c>
      <c r="AI77" s="53">
        <f>$H77*J77</f>
      </c>
      <c r="AJ77" s="53">
        <f>$H77*K77</f>
      </c>
      <c r="AK77" s="53">
        <f>$H77*L77</f>
      </c>
      <c r="AL77" s="53">
        <f>$H77*M77</f>
      </c>
      <c r="AM77" s="3"/>
      <c r="AN77" s="5"/>
      <c r="AO77" s="5"/>
      <c r="AP77" s="5"/>
      <c r="AQ77" s="3"/>
    </row>
    <row x14ac:dyDescent="0.25" r="78" customHeight="1" ht="12.75">
      <c r="A78" s="5" t="s">
        <v>49</v>
      </c>
      <c r="B78" s="3" t="s">
        <v>1094</v>
      </c>
      <c r="C78" s="3" t="s">
        <v>866</v>
      </c>
      <c r="D78" s="3" t="s">
        <v>988</v>
      </c>
      <c r="E78" s="3" t="s">
        <v>855</v>
      </c>
      <c r="F78" s="3" t="s">
        <v>1180</v>
      </c>
      <c r="G78" s="3" t="s">
        <v>1262</v>
      </c>
      <c r="H78" s="6">
        <v>14.27</v>
      </c>
      <c r="I78" s="7">
        <v>5.727512263489839</v>
      </c>
      <c r="J78" s="7">
        <v>16.0697967764541</v>
      </c>
      <c r="K78" s="31">
        <v>97.4989488437281</v>
      </c>
      <c r="L78" s="6"/>
      <c r="M78" s="6"/>
      <c r="N78" s="7"/>
      <c r="O78" s="23"/>
      <c r="P78" s="6"/>
      <c r="Q78" s="6"/>
      <c r="R78" s="31"/>
      <c r="S78" s="6"/>
      <c r="T78" s="31"/>
      <c r="U78" s="6"/>
      <c r="V78" s="23"/>
      <c r="W78" s="6"/>
      <c r="X78" s="6"/>
      <c r="Y78" s="5"/>
      <c r="Z78" s="3"/>
      <c r="AA78" s="6">
        <f>H78*I78/100</f>
      </c>
      <c r="AB78" s="6">
        <f>H78*J78/100</f>
      </c>
      <c r="AC78" s="7">
        <f>H78*K78</f>
      </c>
      <c r="AD78" s="7">
        <f>H78*M78</f>
      </c>
      <c r="AE78" s="6">
        <f>H78*L78/100</f>
      </c>
      <c r="AF78" s="6">
        <f>AA78+AB78+AE78</f>
      </c>
      <c r="AG78" s="6">
        <f>I78+J78+L78</f>
      </c>
      <c r="AH78" s="53">
        <f>$H78*I78</f>
      </c>
      <c r="AI78" s="53">
        <f>$H78*J78</f>
      </c>
      <c r="AJ78" s="53">
        <f>$H78*K78</f>
      </c>
      <c r="AK78" s="53">
        <f>$H78*L78</f>
      </c>
      <c r="AL78" s="53">
        <f>$H78*M78</f>
      </c>
      <c r="AM78" s="3"/>
      <c r="AN78" s="5"/>
      <c r="AO78" s="5"/>
      <c r="AP78" s="5"/>
      <c r="AQ78" s="3"/>
    </row>
    <row x14ac:dyDescent="0.25" r="79" customHeight="1" ht="12.75">
      <c r="A79" s="5" t="s">
        <v>350</v>
      </c>
      <c r="B79" s="3" t="s">
        <v>1094</v>
      </c>
      <c r="C79" s="3" t="s">
        <v>866</v>
      </c>
      <c r="D79" s="3" t="s">
        <v>989</v>
      </c>
      <c r="E79" s="3" t="s">
        <v>855</v>
      </c>
      <c r="F79" s="3" t="s">
        <v>1263</v>
      </c>
      <c r="G79" s="3" t="s">
        <v>1203</v>
      </c>
      <c r="H79" s="6">
        <v>14.99</v>
      </c>
      <c r="I79" s="6">
        <v>4.28</v>
      </c>
      <c r="J79" s="6">
        <v>4.686</v>
      </c>
      <c r="K79" s="5">
        <v>16</v>
      </c>
      <c r="L79" s="6"/>
      <c r="M79" s="6"/>
      <c r="N79" s="7"/>
      <c r="O79" s="23"/>
      <c r="P79" s="6"/>
      <c r="Q79" s="6"/>
      <c r="R79" s="31"/>
      <c r="S79" s="6"/>
      <c r="T79" s="31"/>
      <c r="U79" s="6"/>
      <c r="V79" s="23"/>
      <c r="W79" s="6"/>
      <c r="X79" s="6"/>
      <c r="Y79" s="5"/>
      <c r="Z79" s="3"/>
      <c r="AA79" s="6">
        <f>H79*I79/100</f>
      </c>
      <c r="AB79" s="6">
        <f>H79*J79/100</f>
      </c>
      <c r="AC79" s="7">
        <f>H79*K79</f>
      </c>
      <c r="AD79" s="7">
        <f>H79*M79</f>
      </c>
      <c r="AE79" s="6">
        <f>H79*L79/100</f>
      </c>
      <c r="AF79" s="6">
        <f>AA79+AB79+AE79</f>
      </c>
      <c r="AG79" s="6">
        <f>I79+J79+L79</f>
      </c>
      <c r="AH79" s="53">
        <f>$H79*I79</f>
      </c>
      <c r="AI79" s="53">
        <f>$H79*J79</f>
      </c>
      <c r="AJ79" s="53">
        <f>$H79*K79</f>
      </c>
      <c r="AK79" s="53">
        <f>$H79*L79</f>
      </c>
      <c r="AL79" s="53">
        <f>$H79*M79</f>
      </c>
      <c r="AM79" s="3"/>
      <c r="AN79" s="5"/>
      <c r="AO79" s="5"/>
      <c r="AP79" s="5"/>
      <c r="AQ79" s="3"/>
    </row>
    <row x14ac:dyDescent="0.25" r="80" customHeight="1" ht="12.75">
      <c r="A80" s="5" t="s">
        <v>588</v>
      </c>
      <c r="B80" s="3" t="s">
        <v>1094</v>
      </c>
      <c r="C80" s="3" t="s">
        <v>870</v>
      </c>
      <c r="D80" s="3"/>
      <c r="E80" s="3" t="s">
        <v>855</v>
      </c>
      <c r="F80" s="3" t="s">
        <v>1264</v>
      </c>
      <c r="G80" s="3" t="s">
        <v>1204</v>
      </c>
      <c r="H80" s="6">
        <v>1.8</v>
      </c>
      <c r="I80" s="6">
        <v>1.4</v>
      </c>
      <c r="J80" s="6">
        <v>5.1</v>
      </c>
      <c r="K80" s="5">
        <v>82</v>
      </c>
      <c r="L80" s="6">
        <v>0.2</v>
      </c>
      <c r="M80" s="6">
        <v>0.26</v>
      </c>
      <c r="N80" s="7"/>
      <c r="O80" s="23"/>
      <c r="P80" s="6"/>
      <c r="Q80" s="6"/>
      <c r="R80" s="31"/>
      <c r="S80" s="6"/>
      <c r="T80" s="31"/>
      <c r="U80" s="6"/>
      <c r="V80" s="23"/>
      <c r="W80" s="6"/>
      <c r="X80" s="6"/>
      <c r="Y80" s="5"/>
      <c r="Z80" s="3"/>
      <c r="AA80" s="6">
        <f>H80*I80/100</f>
      </c>
      <c r="AB80" s="6">
        <f>H80*J80/100</f>
      </c>
      <c r="AC80" s="7">
        <f>H80*K80</f>
      </c>
      <c r="AD80" s="7">
        <f>H80*M80</f>
      </c>
      <c r="AE80" s="6">
        <f>H80*L80/100</f>
      </c>
      <c r="AF80" s="6">
        <f>AA80+AB80+AE80</f>
      </c>
      <c r="AG80" s="6">
        <f>I80+J80+L80</f>
      </c>
      <c r="AH80" s="53">
        <f>$H80*I80</f>
      </c>
      <c r="AI80" s="53">
        <f>$H80*J80</f>
      </c>
      <c r="AJ80" s="53">
        <f>$H80*K80</f>
      </c>
      <c r="AK80" s="53">
        <f>$H80*L80</f>
      </c>
      <c r="AL80" s="53">
        <f>$H80*M80</f>
      </c>
      <c r="AM80" s="3"/>
      <c r="AN80" s="5"/>
      <c r="AO80" s="5"/>
      <c r="AP80" s="5"/>
      <c r="AQ80" s="3"/>
    </row>
    <row x14ac:dyDescent="0.25" r="81" customHeight="1" ht="12.75">
      <c r="A81" s="5" t="s">
        <v>672</v>
      </c>
      <c r="B81" s="3" t="s">
        <v>1094</v>
      </c>
      <c r="C81" s="3" t="s">
        <v>870</v>
      </c>
      <c r="D81" s="3"/>
      <c r="E81" s="3" t="s">
        <v>855</v>
      </c>
      <c r="F81" s="3" t="s">
        <v>1265</v>
      </c>
      <c r="G81" s="3" t="s">
        <v>1204</v>
      </c>
      <c r="H81" s="6">
        <v>6.619999999999999</v>
      </c>
      <c r="I81" s="7">
        <v>1.420392749244713</v>
      </c>
      <c r="J81" s="7">
        <v>2.4244712990936557</v>
      </c>
      <c r="K81" s="31">
        <v>69.14199395770393</v>
      </c>
      <c r="L81" s="7">
        <v>0.1959214501510574</v>
      </c>
      <c r="M81" s="7">
        <v>1.4836858006042297</v>
      </c>
      <c r="N81" s="7"/>
      <c r="O81" s="23"/>
      <c r="P81" s="6"/>
      <c r="Q81" s="6"/>
      <c r="R81" s="31"/>
      <c r="S81" s="6"/>
      <c r="T81" s="31"/>
      <c r="U81" s="6"/>
      <c r="V81" s="23"/>
      <c r="W81" s="6"/>
      <c r="X81" s="6"/>
      <c r="Y81" s="5"/>
      <c r="Z81" s="3"/>
      <c r="AA81" s="6">
        <f>H81*I81/100</f>
      </c>
      <c r="AB81" s="6">
        <f>H81*J81/100</f>
      </c>
      <c r="AC81" s="7">
        <f>H81*K81</f>
      </c>
      <c r="AD81" s="7">
        <f>H81*M81</f>
      </c>
      <c r="AE81" s="6">
        <f>H81*L81/100</f>
      </c>
      <c r="AF81" s="6">
        <f>AA81+AB81+AE81</f>
      </c>
      <c r="AG81" s="6">
        <f>I81+J81+L81</f>
      </c>
      <c r="AH81" s="53">
        <f>$H81*I81</f>
      </c>
      <c r="AI81" s="53">
        <f>$H81*J81</f>
      </c>
      <c r="AJ81" s="53">
        <f>$H81*K81</f>
      </c>
      <c r="AK81" s="53">
        <f>$H81*L81</f>
      </c>
      <c r="AL81" s="53">
        <f>$H81*M81</f>
      </c>
      <c r="AM81" s="3"/>
      <c r="AN81" s="5"/>
      <c r="AO81" s="5"/>
      <c r="AP81" s="5"/>
      <c r="AQ81" s="3"/>
    </row>
    <row x14ac:dyDescent="0.25" r="82" customHeight="1" ht="12.75">
      <c r="A82" s="5" t="s">
        <v>507</v>
      </c>
      <c r="B82" s="3" t="s">
        <v>1094</v>
      </c>
      <c r="C82" s="3" t="s">
        <v>870</v>
      </c>
      <c r="D82" s="3"/>
      <c r="E82" s="3" t="s">
        <v>855</v>
      </c>
      <c r="F82" s="3" t="s">
        <v>1256</v>
      </c>
      <c r="G82" s="3" t="s">
        <v>1204</v>
      </c>
      <c r="H82" s="6">
        <v>0.657</v>
      </c>
      <c r="I82" s="6">
        <v>0.3</v>
      </c>
      <c r="J82" s="6">
        <v>3.7</v>
      </c>
      <c r="K82" s="6">
        <v>35.9</v>
      </c>
      <c r="L82" s="6">
        <v>1.8</v>
      </c>
      <c r="M82" s="6">
        <v>0.8</v>
      </c>
      <c r="N82" s="7"/>
      <c r="O82" s="23"/>
      <c r="P82" s="6"/>
      <c r="Q82" s="6"/>
      <c r="R82" s="31"/>
      <c r="S82" s="6"/>
      <c r="T82" s="31"/>
      <c r="U82" s="6"/>
      <c r="V82" s="23"/>
      <c r="W82" s="6"/>
      <c r="X82" s="6"/>
      <c r="Y82" s="5"/>
      <c r="Z82" s="3"/>
      <c r="AA82" s="6">
        <f>H82*I82/100</f>
      </c>
      <c r="AB82" s="6">
        <f>H82*J82/100</f>
      </c>
      <c r="AC82" s="7">
        <f>H82*K82</f>
      </c>
      <c r="AD82" s="7">
        <f>H82*M82</f>
      </c>
      <c r="AE82" s="6">
        <f>H82*L82/100</f>
      </c>
      <c r="AF82" s="6">
        <f>AA82+AB82+AE82</f>
      </c>
      <c r="AG82" s="6">
        <f>I82+J82+L82</f>
      </c>
      <c r="AH82" s="53">
        <f>$H82*I82</f>
      </c>
      <c r="AI82" s="53">
        <f>$H82*J82</f>
      </c>
      <c r="AJ82" s="53">
        <f>$H82*K82</f>
      </c>
      <c r="AK82" s="53">
        <f>$H82*L82</f>
      </c>
      <c r="AL82" s="53">
        <f>$H82*M82</f>
      </c>
      <c r="AM82" s="3"/>
      <c r="AN82" s="5"/>
      <c r="AO82" s="5"/>
      <c r="AP82" s="5"/>
      <c r="AQ82" s="3"/>
    </row>
    <row x14ac:dyDescent="0.25" r="83" customHeight="1" ht="12.75">
      <c r="A83" s="5" t="s">
        <v>247</v>
      </c>
      <c r="B83" s="3" t="s">
        <v>1094</v>
      </c>
      <c r="C83" s="3" t="s">
        <v>866</v>
      </c>
      <c r="D83" s="3" t="s">
        <v>991</v>
      </c>
      <c r="E83" s="3" t="s">
        <v>855</v>
      </c>
      <c r="F83" s="3" t="s">
        <v>1266</v>
      </c>
      <c r="G83" s="3" t="s">
        <v>1204</v>
      </c>
      <c r="H83" s="6">
        <v>51.1</v>
      </c>
      <c r="I83" s="7">
        <v>4.314677103718198</v>
      </c>
      <c r="J83" s="6"/>
      <c r="K83" s="5"/>
      <c r="L83" s="6"/>
      <c r="M83" s="6"/>
      <c r="N83" s="7"/>
      <c r="O83" s="23"/>
      <c r="P83" s="6"/>
      <c r="Q83" s="6"/>
      <c r="R83" s="31"/>
      <c r="S83" s="6"/>
      <c r="T83" s="31"/>
      <c r="U83" s="6"/>
      <c r="V83" s="23"/>
      <c r="W83" s="6"/>
      <c r="X83" s="6"/>
      <c r="Y83" s="5"/>
      <c r="Z83" s="3"/>
      <c r="AA83" s="6">
        <f>H83*I83/100</f>
      </c>
      <c r="AB83" s="6">
        <f>H83*J83/100</f>
      </c>
      <c r="AC83" s="7">
        <f>H83*K83</f>
      </c>
      <c r="AD83" s="7">
        <f>H83*M83</f>
      </c>
      <c r="AE83" s="6">
        <f>H83*L83/100</f>
      </c>
      <c r="AF83" s="6">
        <f>AA83+AB83+AE83</f>
      </c>
      <c r="AG83" s="6">
        <f>I83+J83+L83</f>
      </c>
      <c r="AH83" s="53">
        <f>$H83*I83</f>
      </c>
      <c r="AI83" s="53">
        <f>$H83*J83</f>
      </c>
      <c r="AJ83" s="53">
        <f>$H83*K83</f>
      </c>
      <c r="AK83" s="53">
        <f>$H83*L83</f>
      </c>
      <c r="AL83" s="53">
        <f>$H83*M83</f>
      </c>
      <c r="AM83" s="3"/>
      <c r="AN83" s="5"/>
      <c r="AO83" s="5"/>
      <c r="AP83" s="5"/>
      <c r="AQ83" s="3"/>
    </row>
    <row x14ac:dyDescent="0.25" r="84" customHeight="1" ht="12.75">
      <c r="A84" s="5" t="s">
        <v>619</v>
      </c>
      <c r="B84" s="3" t="s">
        <v>1094</v>
      </c>
      <c r="C84" s="3" t="s">
        <v>870</v>
      </c>
      <c r="D84" s="3"/>
      <c r="E84" s="3" t="s">
        <v>855</v>
      </c>
      <c r="F84" s="3" t="s">
        <v>1267</v>
      </c>
      <c r="G84" s="3" t="s">
        <v>1204</v>
      </c>
      <c r="H84" s="23">
        <v>1.354</v>
      </c>
      <c r="I84" s="6"/>
      <c r="J84" s="6">
        <v>6.04</v>
      </c>
      <c r="K84" s="6">
        <v>3.4</v>
      </c>
      <c r="L84" s="6">
        <v>0.25</v>
      </c>
      <c r="M84" s="6">
        <v>0.25</v>
      </c>
      <c r="N84" s="7"/>
      <c r="O84" s="23"/>
      <c r="P84" s="6"/>
      <c r="Q84" s="6"/>
      <c r="R84" s="31"/>
      <c r="S84" s="6"/>
      <c r="T84" s="31"/>
      <c r="U84" s="6"/>
      <c r="V84" s="23"/>
      <c r="W84" s="6"/>
      <c r="X84" s="6"/>
      <c r="Y84" s="5"/>
      <c r="Z84" s="3"/>
      <c r="AA84" s="6">
        <f>H84*I84/100</f>
      </c>
      <c r="AB84" s="6">
        <f>H84*J84/100</f>
      </c>
      <c r="AC84" s="7">
        <f>H84*K84</f>
      </c>
      <c r="AD84" s="7">
        <f>H84*M84</f>
      </c>
      <c r="AE84" s="6">
        <f>H84*L84/100</f>
      </c>
      <c r="AF84" s="6">
        <f>AA84+AB84+AE84</f>
      </c>
      <c r="AG84" s="6">
        <f>I84+J84+L84</f>
      </c>
      <c r="AH84" s="53">
        <f>$H84*I84</f>
      </c>
      <c r="AI84" s="53">
        <f>$H84*J84</f>
      </c>
      <c r="AJ84" s="53">
        <f>$H84*K84</f>
      </c>
      <c r="AK84" s="53">
        <f>$H84*L84</f>
      </c>
      <c r="AL84" s="53">
        <f>$H84*M84</f>
      </c>
      <c r="AM84" s="3"/>
      <c r="AN84" s="5"/>
      <c r="AO84" s="5"/>
      <c r="AP84" s="5"/>
      <c r="AQ84" s="3"/>
    </row>
    <row x14ac:dyDescent="0.25" r="85" customHeight="1" ht="12.75">
      <c r="A85" s="5" t="s">
        <v>763</v>
      </c>
      <c r="B85" s="3" t="s">
        <v>1094</v>
      </c>
      <c r="C85" s="3" t="s">
        <v>866</v>
      </c>
      <c r="D85" s="3" t="s">
        <v>988</v>
      </c>
      <c r="E85" s="38" t="s">
        <v>859</v>
      </c>
      <c r="F85" s="3" t="s">
        <v>1171</v>
      </c>
      <c r="G85" s="3" t="s">
        <v>1268</v>
      </c>
      <c r="H85" s="6">
        <v>1.8</v>
      </c>
      <c r="I85" s="6"/>
      <c r="J85" s="6">
        <v>4.4</v>
      </c>
      <c r="K85" s="5"/>
      <c r="L85" s="6"/>
      <c r="M85" s="6"/>
      <c r="N85" s="7"/>
      <c r="O85" s="23"/>
      <c r="P85" s="6"/>
      <c r="Q85" s="6"/>
      <c r="R85" s="31"/>
      <c r="S85" s="6"/>
      <c r="T85" s="31"/>
      <c r="U85" s="6"/>
      <c r="V85" s="23"/>
      <c r="W85" s="6"/>
      <c r="X85" s="6"/>
      <c r="Y85" s="5"/>
      <c r="Z85" s="3"/>
      <c r="AA85" s="6">
        <f>H85*I85/100</f>
      </c>
      <c r="AB85" s="6">
        <f>H85*J85/100</f>
      </c>
      <c r="AC85" s="7">
        <f>H85*K85</f>
      </c>
      <c r="AD85" s="7">
        <f>H85*M85</f>
      </c>
      <c r="AE85" s="6">
        <f>H85*L85/100</f>
      </c>
      <c r="AF85" s="6">
        <f>AA85+AB85+AE85</f>
      </c>
      <c r="AG85" s="6">
        <f>I85+J85+L85</f>
      </c>
      <c r="AH85" s="53">
        <f>$H85*I85</f>
      </c>
      <c r="AI85" s="53">
        <f>$H85*J85</f>
      </c>
      <c r="AJ85" s="53">
        <f>$H85*K85</f>
      </c>
      <c r="AK85" s="53">
        <f>$H85*L85</f>
      </c>
      <c r="AL85" s="53">
        <f>$H85*M85</f>
      </c>
      <c r="AM85" s="3"/>
      <c r="AN85" s="5"/>
      <c r="AO85" s="5"/>
      <c r="AP85" s="5"/>
      <c r="AQ85" s="3"/>
    </row>
    <row x14ac:dyDescent="0.25" r="86" customHeight="1" ht="12.75">
      <c r="A86" s="5" t="s">
        <v>557</v>
      </c>
      <c r="B86" s="3" t="s">
        <v>1094</v>
      </c>
      <c r="C86" s="3" t="s">
        <v>870</v>
      </c>
      <c r="D86" s="3"/>
      <c r="E86" s="3" t="s">
        <v>855</v>
      </c>
      <c r="F86" s="3" t="s">
        <v>1198</v>
      </c>
      <c r="G86" s="3" t="s">
        <v>1199</v>
      </c>
      <c r="H86" s="6">
        <v>0.574</v>
      </c>
      <c r="I86" s="6">
        <v>5.1</v>
      </c>
      <c r="J86" s="6">
        <v>1.9</v>
      </c>
      <c r="K86" s="7">
        <v>60</v>
      </c>
      <c r="L86" s="6"/>
      <c r="M86" s="6"/>
      <c r="N86" s="7"/>
      <c r="O86" s="23"/>
      <c r="P86" s="6"/>
      <c r="Q86" s="6"/>
      <c r="R86" s="31"/>
      <c r="S86" s="6"/>
      <c r="T86" s="31"/>
      <c r="U86" s="6"/>
      <c r="V86" s="23"/>
      <c r="W86" s="6"/>
      <c r="X86" s="6"/>
      <c r="Y86" s="5"/>
      <c r="Z86" s="3"/>
      <c r="AA86" s="6">
        <f>H86*I86/100</f>
      </c>
      <c r="AB86" s="6">
        <f>H86*J86/100</f>
      </c>
      <c r="AC86" s="7">
        <f>H86*K86</f>
      </c>
      <c r="AD86" s="7">
        <f>H86*M86</f>
      </c>
      <c r="AE86" s="6">
        <f>H86*L86/100</f>
      </c>
      <c r="AF86" s="6">
        <f>AA86+AB86+AE86</f>
      </c>
      <c r="AG86" s="6">
        <f>I86+J86+L86</f>
      </c>
      <c r="AH86" s="53">
        <f>$H86*I86</f>
      </c>
      <c r="AI86" s="53">
        <f>$H86*J86</f>
      </c>
      <c r="AJ86" s="53">
        <f>$H86*K86</f>
      </c>
      <c r="AK86" s="53">
        <f>$H86*L86</f>
      </c>
      <c r="AL86" s="53">
        <f>$H86*M86</f>
      </c>
      <c r="AM86" s="3"/>
      <c r="AN86" s="5"/>
      <c r="AO86" s="5"/>
      <c r="AP86" s="5"/>
      <c r="AQ86" s="3"/>
    </row>
    <row x14ac:dyDescent="0.25" r="87" customHeight="1" ht="12.75">
      <c r="A87" s="5" t="s">
        <v>796</v>
      </c>
      <c r="B87" s="3" t="s">
        <v>1094</v>
      </c>
      <c r="C87" s="3" t="s">
        <v>869</v>
      </c>
      <c r="D87" s="3"/>
      <c r="E87" s="3" t="s">
        <v>855</v>
      </c>
      <c r="F87" s="3" t="s">
        <v>1269</v>
      </c>
      <c r="G87" s="3" t="s">
        <v>1270</v>
      </c>
      <c r="H87" s="6">
        <v>4.9</v>
      </c>
      <c r="I87" s="6"/>
      <c r="J87" s="7">
        <v>0.5967346938775511</v>
      </c>
      <c r="K87" s="7">
        <v>8.26734693877551</v>
      </c>
      <c r="L87" s="7">
        <v>0.3448979591836735</v>
      </c>
      <c r="M87" s="7">
        <v>0.5714285714285714</v>
      </c>
      <c r="N87" s="7"/>
      <c r="O87" s="23"/>
      <c r="P87" s="6"/>
      <c r="Q87" s="6"/>
      <c r="R87" s="31"/>
      <c r="S87" s="6"/>
      <c r="T87" s="6">
        <v>25.4</v>
      </c>
      <c r="U87" s="6"/>
      <c r="V87" s="23"/>
      <c r="W87" s="6"/>
      <c r="X87" s="6"/>
      <c r="Y87" s="5"/>
      <c r="Z87" s="3"/>
      <c r="AA87" s="6">
        <f>H87*I87/100</f>
      </c>
      <c r="AB87" s="6">
        <f>H87*J87/100</f>
      </c>
      <c r="AC87" s="7">
        <f>H87*K87</f>
      </c>
      <c r="AD87" s="7">
        <f>H87*M87</f>
      </c>
      <c r="AE87" s="6">
        <f>H87*L87/100</f>
      </c>
      <c r="AF87" s="6">
        <f>AA87+AB87+AE87</f>
      </c>
      <c r="AG87" s="6">
        <f>I87+J87+L87</f>
      </c>
      <c r="AH87" s="53">
        <f>$H87*I87</f>
      </c>
      <c r="AI87" s="53">
        <f>$H87*J87</f>
      </c>
      <c r="AJ87" s="53">
        <f>$H87*K87</f>
      </c>
      <c r="AK87" s="53">
        <f>$H87*L87</f>
      </c>
      <c r="AL87" s="53">
        <f>$H87*M87</f>
      </c>
      <c r="AM87" s="3"/>
      <c r="AN87" s="5"/>
      <c r="AO87" s="5"/>
      <c r="AP87" s="5"/>
      <c r="AQ87" s="3"/>
    </row>
    <row x14ac:dyDescent="0.25" r="88" customHeight="1" ht="12.75">
      <c r="A88" s="5" t="s">
        <v>8</v>
      </c>
      <c r="B88" s="3" t="s">
        <v>1094</v>
      </c>
      <c r="C88" s="3" t="s">
        <v>866</v>
      </c>
      <c r="D88" s="3" t="s">
        <v>988</v>
      </c>
      <c r="E88" s="3" t="s">
        <v>855</v>
      </c>
      <c r="F88" s="3" t="s">
        <v>1180</v>
      </c>
      <c r="G88" s="3" t="s">
        <v>1262</v>
      </c>
      <c r="H88" s="5">
        <v>194</v>
      </c>
      <c r="I88" s="7">
        <v>4.049536082474227</v>
      </c>
      <c r="J88" s="7">
        <v>9.206185567010309</v>
      </c>
      <c r="K88" s="7">
        <v>40.9680412371134</v>
      </c>
      <c r="L88" s="6"/>
      <c r="M88" s="6"/>
      <c r="N88" s="7"/>
      <c r="O88" s="23"/>
      <c r="P88" s="6"/>
      <c r="Q88" s="6"/>
      <c r="R88" s="31"/>
      <c r="S88" s="6"/>
      <c r="T88" s="31"/>
      <c r="U88" s="6"/>
      <c r="V88" s="23"/>
      <c r="W88" s="6"/>
      <c r="X88" s="6"/>
      <c r="Y88" s="5"/>
      <c r="Z88" s="3"/>
      <c r="AA88" s="6">
        <f>H88*I88/100</f>
      </c>
      <c r="AB88" s="6">
        <f>H88*J88/100</f>
      </c>
      <c r="AC88" s="7">
        <f>H88*K88</f>
      </c>
      <c r="AD88" s="7">
        <f>H88*M88</f>
      </c>
      <c r="AE88" s="6">
        <f>H88*L88/100</f>
      </c>
      <c r="AF88" s="6">
        <f>AA88+AB88+AE88</f>
      </c>
      <c r="AG88" s="6">
        <f>I88+J88+L88</f>
      </c>
      <c r="AH88" s="53">
        <f>$H88*I88</f>
      </c>
      <c r="AI88" s="53">
        <f>$H88*J88</f>
      </c>
      <c r="AJ88" s="53">
        <f>$H88*K88</f>
      </c>
      <c r="AK88" s="53">
        <f>$H88*L88</f>
      </c>
      <c r="AL88" s="53">
        <f>$H88*M88</f>
      </c>
      <c r="AM88" s="3"/>
      <c r="AN88" s="5"/>
      <c r="AO88" s="5"/>
      <c r="AP88" s="5"/>
      <c r="AQ88" s="3"/>
    </row>
    <row x14ac:dyDescent="0.25" r="89" customHeight="1" ht="12.75">
      <c r="A89" s="5" t="s">
        <v>623</v>
      </c>
      <c r="B89" s="3" t="s">
        <v>1094</v>
      </c>
      <c r="C89" s="3" t="s">
        <v>866</v>
      </c>
      <c r="D89" s="3" t="s">
        <v>988</v>
      </c>
      <c r="E89" s="3" t="s">
        <v>855</v>
      </c>
      <c r="F89" s="3" t="s">
        <v>1176</v>
      </c>
      <c r="G89" s="3" t="s">
        <v>1204</v>
      </c>
      <c r="H89" s="6">
        <v>7.7</v>
      </c>
      <c r="I89" s="6">
        <v>2.6</v>
      </c>
      <c r="J89" s="6">
        <v>3.1</v>
      </c>
      <c r="K89" s="5">
        <v>27</v>
      </c>
      <c r="L89" s="6"/>
      <c r="M89" s="6"/>
      <c r="N89" s="7"/>
      <c r="O89" s="23"/>
      <c r="P89" s="6"/>
      <c r="Q89" s="6"/>
      <c r="R89" s="31"/>
      <c r="S89" s="6"/>
      <c r="T89" s="31"/>
      <c r="U89" s="6"/>
      <c r="V89" s="23"/>
      <c r="W89" s="6"/>
      <c r="X89" s="6"/>
      <c r="Y89" s="5"/>
      <c r="Z89" s="3"/>
      <c r="AA89" s="6">
        <f>H89*I89/100</f>
      </c>
      <c r="AB89" s="6">
        <f>H89*J89/100</f>
      </c>
      <c r="AC89" s="7">
        <f>H89*K89</f>
      </c>
      <c r="AD89" s="7">
        <f>H89*M89</f>
      </c>
      <c r="AE89" s="6">
        <f>H89*L89/100</f>
      </c>
      <c r="AF89" s="6">
        <f>AA89+AB89+AE89</f>
      </c>
      <c r="AG89" s="6">
        <f>I89+J89+L89</f>
      </c>
      <c r="AH89" s="53">
        <f>$H89*I89</f>
      </c>
      <c r="AI89" s="53">
        <f>$H89*J89</f>
      </c>
      <c r="AJ89" s="53">
        <f>$H89*K89</f>
      </c>
      <c r="AK89" s="53">
        <f>$H89*L89</f>
      </c>
      <c r="AL89" s="53">
        <f>$H89*M89</f>
      </c>
      <c r="AM89" s="3"/>
      <c r="AN89" s="5"/>
      <c r="AO89" s="5"/>
      <c r="AP89" s="5"/>
      <c r="AQ89" s="3"/>
    </row>
    <row x14ac:dyDescent="0.25" r="90" customHeight="1" ht="12.75">
      <c r="A90" s="5" t="s">
        <v>174</v>
      </c>
      <c r="B90" s="3" t="s">
        <v>1094</v>
      </c>
      <c r="C90" s="3" t="s">
        <v>861</v>
      </c>
      <c r="D90" s="3" t="s">
        <v>967</v>
      </c>
      <c r="E90" s="3" t="s">
        <v>855</v>
      </c>
      <c r="F90" s="3" t="s">
        <v>1271</v>
      </c>
      <c r="G90" s="3" t="s">
        <v>1272</v>
      </c>
      <c r="H90" s="6">
        <f>6.5+0.2+0.015</f>
      </c>
      <c r="I90" s="6">
        <f>(0.02*6.5+0.02*0.2+0.01*0.015)/$H90</f>
      </c>
      <c r="J90" s="6">
        <f>(0.14*6.5+0.24*0.2+0*0.015)/$H90</f>
      </c>
      <c r="K90" s="7">
        <f>(8.3*6.5+8.2*0.2+25*0.015)/$H90</f>
      </c>
      <c r="L90" s="6">
        <f>(0.33*6.5+0.44*0.2+2.29*0.015)/$H90</f>
      </c>
      <c r="M90" s="6">
        <f>(0.08*6.5+0.13*0.2+0.63*0.015)/$H90</f>
      </c>
      <c r="N90" s="7"/>
      <c r="O90" s="23"/>
      <c r="P90" s="15">
        <f>(0.0081*6.5+0.0091*0.2+0.0021*0.015)/$H90</f>
      </c>
      <c r="Q90" s="6"/>
      <c r="R90" s="31"/>
      <c r="S90" s="6">
        <f>(1.34*6.5+0.85*0.2+6.49*0.015)/$H90</f>
      </c>
      <c r="T90" s="31"/>
      <c r="U90" s="6"/>
      <c r="V90" s="23"/>
      <c r="W90" s="6"/>
      <c r="X90" s="6"/>
      <c r="Y90" s="7">
        <f>(23.3*6.5+15.1*0.2+83.9*0.015)/$H90</f>
      </c>
      <c r="Z90" s="3" t="s">
        <v>965</v>
      </c>
      <c r="AA90" s="6">
        <f>H90*I90/100</f>
      </c>
      <c r="AB90" s="6">
        <f>H90*J90/100</f>
      </c>
      <c r="AC90" s="7">
        <f>H90*K90</f>
      </c>
      <c r="AD90" s="7">
        <f>H90*M90</f>
      </c>
      <c r="AE90" s="6">
        <f>H90*L90/100</f>
      </c>
      <c r="AF90" s="6">
        <f>AA90+AB90+AE90</f>
      </c>
      <c r="AG90" s="6">
        <f>I90+J90+L90</f>
      </c>
      <c r="AH90" s="53">
        <f>$H90*I90</f>
      </c>
      <c r="AI90" s="53">
        <f>$H90*J90</f>
      </c>
      <c r="AJ90" s="53">
        <f>$H90*K90</f>
      </c>
      <c r="AK90" s="53">
        <f>$H90*L90</f>
      </c>
      <c r="AL90" s="53">
        <f>$H90*M90</f>
      </c>
      <c r="AM90" s="3"/>
      <c r="AN90" s="5"/>
      <c r="AO90" s="5"/>
      <c r="AP90" s="5"/>
      <c r="AQ90" s="3"/>
    </row>
    <row x14ac:dyDescent="0.25" r="91" customHeight="1" ht="12.75">
      <c r="A91" s="5" t="s">
        <v>767</v>
      </c>
      <c r="B91" s="3" t="s">
        <v>1094</v>
      </c>
      <c r="C91" s="3" t="s">
        <v>870</v>
      </c>
      <c r="D91" s="3"/>
      <c r="E91" s="3" t="s">
        <v>855</v>
      </c>
      <c r="F91" s="3" t="s">
        <v>1256</v>
      </c>
      <c r="G91" s="3" t="s">
        <v>1204</v>
      </c>
      <c r="H91" s="6">
        <v>4.607</v>
      </c>
      <c r="I91" s="6">
        <v>0.5</v>
      </c>
      <c r="J91" s="6">
        <v>1.3</v>
      </c>
      <c r="K91" s="6">
        <v>24.1</v>
      </c>
      <c r="L91" s="6">
        <v>0.9</v>
      </c>
      <c r="M91" s="6">
        <v>0.1</v>
      </c>
      <c r="N91" s="7"/>
      <c r="O91" s="23"/>
      <c r="P91" s="6"/>
      <c r="Q91" s="6"/>
      <c r="R91" s="31"/>
      <c r="S91" s="6"/>
      <c r="T91" s="31"/>
      <c r="U91" s="6"/>
      <c r="V91" s="23"/>
      <c r="W91" s="6"/>
      <c r="X91" s="6"/>
      <c r="Y91" s="5"/>
      <c r="Z91" s="3"/>
      <c r="AA91" s="6">
        <f>H91*I91/100</f>
      </c>
      <c r="AB91" s="6">
        <f>H91*J91/100</f>
      </c>
      <c r="AC91" s="7">
        <f>H91*K91</f>
      </c>
      <c r="AD91" s="7">
        <f>H91*M91</f>
      </c>
      <c r="AE91" s="6">
        <f>H91*L91/100</f>
      </c>
      <c r="AF91" s="6">
        <f>AA91+AB91+AE91</f>
      </c>
      <c r="AG91" s="6">
        <f>I91+J91+L91</f>
      </c>
      <c r="AH91" s="53">
        <f>$H91*I91</f>
      </c>
      <c r="AI91" s="53">
        <f>$H91*J91</f>
      </c>
      <c r="AJ91" s="53">
        <f>$H91*K91</f>
      </c>
      <c r="AK91" s="53">
        <f>$H91*L91</f>
      </c>
      <c r="AL91" s="53">
        <f>$H91*M91</f>
      </c>
      <c r="AM91" s="3"/>
      <c r="AN91" s="5"/>
      <c r="AO91" s="5"/>
      <c r="AP91" s="5"/>
      <c r="AQ91" s="3"/>
    </row>
    <row x14ac:dyDescent="0.25" r="92" customHeight="1" ht="12.75">
      <c r="A92" s="5" t="s">
        <v>616</v>
      </c>
      <c r="B92" s="3" t="s">
        <v>1094</v>
      </c>
      <c r="C92" s="3" t="s">
        <v>869</v>
      </c>
      <c r="D92" s="3"/>
      <c r="E92" s="3" t="s">
        <v>855</v>
      </c>
      <c r="F92" s="3" t="s">
        <v>1252</v>
      </c>
      <c r="G92" s="3" t="s">
        <v>1273</v>
      </c>
      <c r="H92" s="6">
        <v>1.93</v>
      </c>
      <c r="I92" s="6">
        <v>0.3</v>
      </c>
      <c r="J92" s="6">
        <v>5.4</v>
      </c>
      <c r="K92" s="5">
        <v>21</v>
      </c>
      <c r="L92" s="6">
        <v>0.6</v>
      </c>
      <c r="M92" s="6">
        <v>0.1</v>
      </c>
      <c r="N92" s="7"/>
      <c r="O92" s="23"/>
      <c r="P92" s="6"/>
      <c r="Q92" s="6"/>
      <c r="R92" s="31"/>
      <c r="S92" s="6"/>
      <c r="T92" s="31"/>
      <c r="U92" s="6"/>
      <c r="V92" s="23"/>
      <c r="W92" s="6"/>
      <c r="X92" s="6"/>
      <c r="Y92" s="5"/>
      <c r="Z92" s="3"/>
      <c r="AA92" s="6">
        <f>H92*I92/100</f>
      </c>
      <c r="AB92" s="6">
        <f>H92*J92/100</f>
      </c>
      <c r="AC92" s="7">
        <f>H92*K92</f>
      </c>
      <c r="AD92" s="7">
        <f>H92*M92</f>
      </c>
      <c r="AE92" s="6">
        <f>H92*L92/100</f>
      </c>
      <c r="AF92" s="6">
        <f>AA92+AB92+AE92</f>
      </c>
      <c r="AG92" s="6">
        <f>I92+J92+L92</f>
      </c>
      <c r="AH92" s="53">
        <f>$H92*I92</f>
      </c>
      <c r="AI92" s="53">
        <f>$H92*J92</f>
      </c>
      <c r="AJ92" s="53">
        <f>$H92*K92</f>
      </c>
      <c r="AK92" s="53">
        <f>$H92*L92</f>
      </c>
      <c r="AL92" s="53">
        <f>$H92*M92</f>
      </c>
      <c r="AM92" s="3"/>
      <c r="AN92" s="5"/>
      <c r="AO92" s="5"/>
      <c r="AP92" s="5"/>
      <c r="AQ92" s="3"/>
    </row>
    <row x14ac:dyDescent="0.25" r="93" customHeight="1" ht="12.75">
      <c r="A93" s="5" t="s">
        <v>809</v>
      </c>
      <c r="B93" s="3" t="s">
        <v>1094</v>
      </c>
      <c r="C93" s="3" t="s">
        <v>865</v>
      </c>
      <c r="D93" s="3" t="s">
        <v>978</v>
      </c>
      <c r="E93" s="3" t="s">
        <v>855</v>
      </c>
      <c r="F93" s="3" t="s">
        <v>1274</v>
      </c>
      <c r="G93" s="3" t="s">
        <v>1203</v>
      </c>
      <c r="H93" s="23">
        <v>0.124</v>
      </c>
      <c r="I93" s="6">
        <v>0.5387096774193548</v>
      </c>
      <c r="J93" s="7">
        <v>2.6612903225806455</v>
      </c>
      <c r="K93" s="31">
        <v>25.258064516129032</v>
      </c>
      <c r="L93" s="6">
        <v>0.31048387096774194</v>
      </c>
      <c r="M93" s="6">
        <v>0.19564516129032258</v>
      </c>
      <c r="N93" s="7"/>
      <c r="O93" s="23"/>
      <c r="P93" s="6"/>
      <c r="Q93" s="6"/>
      <c r="R93" s="31"/>
      <c r="S93" s="6"/>
      <c r="T93" s="31"/>
      <c r="U93" s="6"/>
      <c r="V93" s="23"/>
      <c r="W93" s="6"/>
      <c r="X93" s="6"/>
      <c r="Y93" s="5"/>
      <c r="Z93" s="3"/>
      <c r="AA93" s="6">
        <f>H93*I93/100</f>
      </c>
      <c r="AB93" s="6">
        <f>H93*J93/100</f>
      </c>
      <c r="AC93" s="7">
        <f>H93*K93</f>
      </c>
      <c r="AD93" s="7">
        <f>H93*M93</f>
      </c>
      <c r="AE93" s="6">
        <f>H93*L93/100</f>
      </c>
      <c r="AF93" s="6">
        <f>AA93+AB93+AE93</f>
      </c>
      <c r="AG93" s="6">
        <f>I93+J93+L93</f>
      </c>
      <c r="AH93" s="53">
        <f>$H93*I93</f>
      </c>
      <c r="AI93" s="53">
        <f>$H93*J93</f>
      </c>
      <c r="AJ93" s="53">
        <f>$H93*K93</f>
      </c>
      <c r="AK93" s="53">
        <f>$H93*L93</f>
      </c>
      <c r="AL93" s="53">
        <f>$H93*M93</f>
      </c>
      <c r="AM93" s="3"/>
      <c r="AN93" s="5"/>
      <c r="AO93" s="5"/>
      <c r="AP93" s="5"/>
      <c r="AQ93" s="3"/>
    </row>
    <row x14ac:dyDescent="0.25" r="94" customHeight="1" ht="12.75">
      <c r="A94" s="5" t="s">
        <v>749</v>
      </c>
      <c r="B94" s="3" t="s">
        <v>1094</v>
      </c>
      <c r="C94" s="3" t="s">
        <v>870</v>
      </c>
      <c r="D94" s="3"/>
      <c r="E94" s="3" t="s">
        <v>855</v>
      </c>
      <c r="F94" s="3" t="s">
        <v>1275</v>
      </c>
      <c r="G94" s="3" t="s">
        <v>1276</v>
      </c>
      <c r="H94" s="6">
        <v>1.3</v>
      </c>
      <c r="I94" s="6"/>
      <c r="J94" s="6">
        <v>0.4</v>
      </c>
      <c r="K94" s="5">
        <v>6</v>
      </c>
      <c r="L94" s="7">
        <v>2</v>
      </c>
      <c r="M94" s="6">
        <v>0.5</v>
      </c>
      <c r="N94" s="7"/>
      <c r="O94" s="23"/>
      <c r="P94" s="6"/>
      <c r="Q94" s="6"/>
      <c r="R94" s="31"/>
      <c r="S94" s="6"/>
      <c r="T94" s="31"/>
      <c r="U94" s="6"/>
      <c r="V94" s="23"/>
      <c r="W94" s="6"/>
      <c r="X94" s="6"/>
      <c r="Y94" s="5"/>
      <c r="Z94" s="3"/>
      <c r="AA94" s="6">
        <f>H94*I94/100</f>
      </c>
      <c r="AB94" s="6">
        <f>H94*J94/100</f>
      </c>
      <c r="AC94" s="7">
        <f>H94*K94</f>
      </c>
      <c r="AD94" s="7">
        <f>H94*M94</f>
      </c>
      <c r="AE94" s="6">
        <f>H94*L94/100</f>
      </c>
      <c r="AF94" s="6">
        <f>AA94+AB94+AE94</f>
      </c>
      <c r="AG94" s="6">
        <f>I94+J94+L94</f>
      </c>
      <c r="AH94" s="53">
        <f>$H94*I94</f>
      </c>
      <c r="AI94" s="53">
        <f>$H94*J94</f>
      </c>
      <c r="AJ94" s="53">
        <f>$H94*K94</f>
      </c>
      <c r="AK94" s="53">
        <f>$H94*L94</f>
      </c>
      <c r="AL94" s="53">
        <f>$H94*M94</f>
      </c>
      <c r="AM94" s="3"/>
      <c r="AN94" s="5"/>
      <c r="AO94" s="5"/>
      <c r="AP94" s="5"/>
      <c r="AQ94" s="3"/>
    </row>
    <row x14ac:dyDescent="0.25" r="95" customHeight="1" ht="12.75">
      <c r="A95" s="5" t="s">
        <v>139</v>
      </c>
      <c r="B95" s="3" t="s">
        <v>1094</v>
      </c>
      <c r="C95" s="3" t="s">
        <v>870</v>
      </c>
      <c r="D95" s="3"/>
      <c r="E95" s="38" t="s">
        <v>859</v>
      </c>
      <c r="F95" s="3" t="s">
        <v>1226</v>
      </c>
      <c r="G95" s="3" t="s">
        <v>1227</v>
      </c>
      <c r="H95" s="6">
        <v>0.65</v>
      </c>
      <c r="I95" s="7">
        <v>2</v>
      </c>
      <c r="J95" s="7">
        <v>9</v>
      </c>
      <c r="K95" s="5">
        <v>280</v>
      </c>
      <c r="L95" s="6">
        <v>0.5</v>
      </c>
      <c r="M95" s="6">
        <v>1.7</v>
      </c>
      <c r="N95" s="7"/>
      <c r="O95" s="23"/>
      <c r="P95" s="6"/>
      <c r="Q95" s="6"/>
      <c r="R95" s="31"/>
      <c r="S95" s="6"/>
      <c r="T95" s="31"/>
      <c r="U95" s="6"/>
      <c r="V95" s="23"/>
      <c r="W95" s="6"/>
      <c r="X95" s="6"/>
      <c r="Y95" s="5"/>
      <c r="Z95" s="3"/>
      <c r="AA95" s="6">
        <f>H95*I95/100</f>
      </c>
      <c r="AB95" s="6">
        <f>H95*J95/100</f>
      </c>
      <c r="AC95" s="7">
        <f>H95*K95</f>
      </c>
      <c r="AD95" s="7">
        <f>H95*M95</f>
      </c>
      <c r="AE95" s="6">
        <f>H95*L95/100</f>
      </c>
      <c r="AF95" s="6">
        <f>AA95+AB95+AE95</f>
      </c>
      <c r="AG95" s="6">
        <f>I95+J95+L95</f>
      </c>
      <c r="AH95" s="53">
        <f>$H95*I95</f>
      </c>
      <c r="AI95" s="53">
        <f>$H95*J95</f>
      </c>
      <c r="AJ95" s="53">
        <f>$H95*K95</f>
      </c>
      <c r="AK95" s="53">
        <f>$H95*L95</f>
      </c>
      <c r="AL95" s="53">
        <f>$H95*M95</f>
      </c>
      <c r="AM95" s="3"/>
      <c r="AN95" s="5"/>
      <c r="AO95" s="5"/>
      <c r="AP95" s="5"/>
      <c r="AQ95" s="3"/>
    </row>
    <row x14ac:dyDescent="0.25" r="96" customHeight="1" ht="12.75">
      <c r="A96" s="5" t="s">
        <v>780</v>
      </c>
      <c r="B96" s="3" t="s">
        <v>1094</v>
      </c>
      <c r="C96" s="3" t="s">
        <v>870</v>
      </c>
      <c r="D96" s="3"/>
      <c r="E96" s="3" t="s">
        <v>855</v>
      </c>
      <c r="F96" s="3" t="s">
        <v>1242</v>
      </c>
      <c r="G96" s="3" t="s">
        <v>1197</v>
      </c>
      <c r="H96" s="6">
        <v>6.1</v>
      </c>
      <c r="I96" s="6"/>
      <c r="J96" s="6">
        <v>0.5</v>
      </c>
      <c r="K96" s="5">
        <v>36</v>
      </c>
      <c r="L96" s="6"/>
      <c r="M96" s="6">
        <v>1.2</v>
      </c>
      <c r="N96" s="7"/>
      <c r="O96" s="23"/>
      <c r="P96" s="6"/>
      <c r="Q96" s="6"/>
      <c r="R96" s="31"/>
      <c r="S96" s="6"/>
      <c r="T96" s="31"/>
      <c r="U96" s="6"/>
      <c r="V96" s="23"/>
      <c r="W96" s="6"/>
      <c r="X96" s="6"/>
      <c r="Y96" s="5"/>
      <c r="Z96" s="3"/>
      <c r="AA96" s="6">
        <f>H96*I96/100</f>
      </c>
      <c r="AB96" s="6">
        <f>H96*J96/100</f>
      </c>
      <c r="AC96" s="7">
        <f>H96*K96</f>
      </c>
      <c r="AD96" s="7">
        <f>H96*M96</f>
      </c>
      <c r="AE96" s="6">
        <f>H96*L96/100</f>
      </c>
      <c r="AF96" s="6">
        <f>AA96+AB96+AE96</f>
      </c>
      <c r="AG96" s="6">
        <f>I96+J96+L96</f>
      </c>
      <c r="AH96" s="53">
        <f>$H96*I96</f>
      </c>
      <c r="AI96" s="53">
        <f>$H96*J96</f>
      </c>
      <c r="AJ96" s="53">
        <f>$H96*K96</f>
      </c>
      <c r="AK96" s="53">
        <f>$H96*L96</f>
      </c>
      <c r="AL96" s="53">
        <f>$H96*M96</f>
      </c>
      <c r="AM96" s="3"/>
      <c r="AN96" s="5"/>
      <c r="AO96" s="5"/>
      <c r="AP96" s="5"/>
      <c r="AQ96" s="3"/>
    </row>
    <row x14ac:dyDescent="0.25" r="97" customHeight="1" ht="12.75">
      <c r="A97" s="5" t="s">
        <v>596</v>
      </c>
      <c r="B97" s="3" t="s">
        <v>1094</v>
      </c>
      <c r="C97" s="3" t="s">
        <v>856</v>
      </c>
      <c r="D97" s="3" t="s">
        <v>929</v>
      </c>
      <c r="E97" s="3" t="s">
        <v>855</v>
      </c>
      <c r="F97" s="3" t="s">
        <v>1277</v>
      </c>
      <c r="G97" s="3" t="s">
        <v>1233</v>
      </c>
      <c r="H97" s="6">
        <v>0.607</v>
      </c>
      <c r="I97" s="6">
        <v>2.4</v>
      </c>
      <c r="J97" s="6"/>
      <c r="K97" s="5">
        <v>26</v>
      </c>
      <c r="L97" s="6"/>
      <c r="M97" s="6">
        <v>0.22</v>
      </c>
      <c r="N97" s="7"/>
      <c r="O97" s="23"/>
      <c r="P97" s="6"/>
      <c r="Q97" s="6"/>
      <c r="R97" s="31"/>
      <c r="S97" s="6"/>
      <c r="T97" s="31"/>
      <c r="U97" s="6"/>
      <c r="V97" s="23"/>
      <c r="W97" s="6"/>
      <c r="X97" s="6"/>
      <c r="Y97" s="6">
        <v>1.7</v>
      </c>
      <c r="Z97" s="3" t="s">
        <v>950</v>
      </c>
      <c r="AA97" s="6">
        <f>H97*I97/100</f>
      </c>
      <c r="AB97" s="6">
        <f>H97*J97/100</f>
      </c>
      <c r="AC97" s="7">
        <f>H97*K97</f>
      </c>
      <c r="AD97" s="7">
        <f>H97*M97</f>
      </c>
      <c r="AE97" s="6">
        <f>H97*L97/100</f>
      </c>
      <c r="AF97" s="6">
        <f>AA97+AB97+AE97</f>
      </c>
      <c r="AG97" s="6">
        <f>I97+J97+L97</f>
      </c>
      <c r="AH97" s="53">
        <f>$H97*I97</f>
      </c>
      <c r="AI97" s="53">
        <f>$H97*J97</f>
      </c>
      <c r="AJ97" s="53">
        <f>$H97*K97</f>
      </c>
      <c r="AK97" s="53">
        <f>$H97*L97</f>
      </c>
      <c r="AL97" s="53">
        <f>$H97*M97</f>
      </c>
      <c r="AM97" s="3"/>
      <c r="AN97" s="5"/>
      <c r="AO97" s="5"/>
      <c r="AP97" s="5"/>
      <c r="AQ97" s="3"/>
    </row>
    <row x14ac:dyDescent="0.25" r="98" customHeight="1" ht="12.75">
      <c r="A98" s="5" t="s">
        <v>235</v>
      </c>
      <c r="B98" s="3" t="s">
        <v>1094</v>
      </c>
      <c r="C98" s="3" t="s">
        <v>861</v>
      </c>
      <c r="D98" s="3"/>
      <c r="E98" s="3" t="s">
        <v>855</v>
      </c>
      <c r="F98" s="3" t="s">
        <v>1271</v>
      </c>
      <c r="G98" s="3" t="s">
        <v>1272</v>
      </c>
      <c r="H98" s="6">
        <f>25.3+22.9+47.2+15.4+14+19.5</f>
      </c>
      <c r="I98" s="6">
        <f>(0.09*25.3+0.12*22.9+0.01*47.2+0.03*15.4+0.04*14+0.06*19.5)/$H98</f>
      </c>
      <c r="J98" s="6">
        <f>(0.49*25.3+0.62*22.9+0.07*47.2+0.18*15.4+0.36*14+0.3*19.5)/$H98</f>
      </c>
      <c r="K98" s="7">
        <f>(6.4*25.3+7.4*22.9+3.9*47.2+6.4*15.4+7.8*14+6.6*19.5)/$H98</f>
      </c>
      <c r="L98" s="6">
        <f>(0.44*25.3+0.4*22.9+0.63*47.2+0.55*15.4+0.52*14+0.5*19.5)/$H98</f>
      </c>
      <c r="M98" s="6">
        <f>(0.1*25.3+0.11*22.9+0.07*47.2+0.11*15.4+0.13*14+0.11*19.5)/$H98</f>
      </c>
      <c r="N98" s="7"/>
      <c r="O98" s="23"/>
      <c r="P98" s="15">
        <f>(0.0072*25.3+0.0071*22.9+0.0065*47.2+0.0098*15.4+0.0082*14+0.0118*19.5)/$H98</f>
      </c>
      <c r="Q98" s="6"/>
      <c r="R98" s="31"/>
      <c r="S98" s="23">
        <f>(0.01*25.3+0.01*22.9+0*47.2+0*15.4+0.02*14+0.01*19.5)/$H98</f>
      </c>
      <c r="T98" s="31"/>
      <c r="U98" s="6"/>
      <c r="V98" s="23"/>
      <c r="W98" s="6"/>
      <c r="X98" s="6"/>
      <c r="Y98" s="6">
        <f>(0*25.3+0*22.9+0*47.2+0*15.4+0.2*14+0.1*19.5)/$H98</f>
      </c>
      <c r="Z98" s="3" t="s">
        <v>965</v>
      </c>
      <c r="AA98" s="6">
        <f>H98*I98/100</f>
      </c>
      <c r="AB98" s="6">
        <f>H98*J98/100</f>
      </c>
      <c r="AC98" s="7">
        <f>H98*K98</f>
      </c>
      <c r="AD98" s="7">
        <f>H98*M98</f>
      </c>
      <c r="AE98" s="6">
        <f>H98*L98/100</f>
      </c>
      <c r="AF98" s="6">
        <f>AA98+AB98+AE98</f>
      </c>
      <c r="AG98" s="6">
        <f>I98+J98+L98</f>
      </c>
      <c r="AH98" s="53">
        <f>$H98*I98</f>
      </c>
      <c r="AI98" s="53">
        <f>$H98*J98</f>
      </c>
      <c r="AJ98" s="53">
        <f>$H98*K98</f>
      </c>
      <c r="AK98" s="53">
        <f>$H98*L98</f>
      </c>
      <c r="AL98" s="53">
        <f>$H98*M98</f>
      </c>
      <c r="AM98" s="3"/>
      <c r="AN98" s="5"/>
      <c r="AO98" s="5"/>
      <c r="AP98" s="5"/>
      <c r="AQ98" s="3"/>
    </row>
    <row x14ac:dyDescent="0.25" r="99" customHeight="1" ht="12.75">
      <c r="A99" s="5" t="s">
        <v>380</v>
      </c>
      <c r="B99" s="3" t="s">
        <v>1094</v>
      </c>
      <c r="C99" s="3" t="s">
        <v>869</v>
      </c>
      <c r="D99" s="3"/>
      <c r="E99" s="3" t="s">
        <v>855</v>
      </c>
      <c r="F99" s="3" t="s">
        <v>1196</v>
      </c>
      <c r="G99" s="3" t="s">
        <v>1197</v>
      </c>
      <c r="H99" s="23">
        <v>9.633233</v>
      </c>
      <c r="I99" s="6">
        <v>0.3896732280844863</v>
      </c>
      <c r="J99" s="6">
        <v>7.799577327777704</v>
      </c>
      <c r="K99" s="7">
        <v>35.04896578334605</v>
      </c>
      <c r="L99" s="6">
        <v>1.083120443572786</v>
      </c>
      <c r="M99" s="6">
        <v>0.16660194350121085</v>
      </c>
      <c r="N99" s="7"/>
      <c r="O99" s="23"/>
      <c r="P99" s="6"/>
      <c r="Q99" s="6"/>
      <c r="R99" s="31"/>
      <c r="S99" s="23">
        <v>0.009161273435619467</v>
      </c>
      <c r="T99" s="31"/>
      <c r="U99" s="6"/>
      <c r="V99" s="23"/>
      <c r="W99" s="6"/>
      <c r="X99" s="6"/>
      <c r="Y99" s="5"/>
      <c r="Z99" s="3"/>
      <c r="AA99" s="6">
        <f>H99*I99/100</f>
      </c>
      <c r="AB99" s="6">
        <f>H99*J99/100</f>
      </c>
      <c r="AC99" s="7">
        <f>H99*K99</f>
      </c>
      <c r="AD99" s="7">
        <f>H99*M99</f>
      </c>
      <c r="AE99" s="6">
        <f>H99*L99/100</f>
      </c>
      <c r="AF99" s="6">
        <f>AA99+AB99+AE99</f>
      </c>
      <c r="AG99" s="6">
        <f>I99+J99+L99</f>
      </c>
      <c r="AH99" s="53">
        <f>$H99*I99</f>
      </c>
      <c r="AI99" s="53">
        <f>$H99*J99</f>
      </c>
      <c r="AJ99" s="53">
        <f>$H99*K99</f>
      </c>
      <c r="AK99" s="53">
        <f>$H99*L99</f>
      </c>
      <c r="AL99" s="53">
        <f>$H99*M99</f>
      </c>
      <c r="AM99" s="3"/>
      <c r="AN99" s="5"/>
      <c r="AO99" s="5"/>
      <c r="AP99" s="5"/>
      <c r="AQ99" s="3"/>
    </row>
    <row x14ac:dyDescent="0.25" r="100" customHeight="1" ht="12.75">
      <c r="A100" s="5" t="s">
        <v>11</v>
      </c>
      <c r="B100" s="3" t="s">
        <v>1094</v>
      </c>
      <c r="C100" s="3" t="s">
        <v>866</v>
      </c>
      <c r="D100" s="3" t="s">
        <v>988</v>
      </c>
      <c r="E100" s="3" t="s">
        <v>855</v>
      </c>
      <c r="F100" s="3" t="s">
        <v>1180</v>
      </c>
      <c r="G100" s="3" t="s">
        <v>1262</v>
      </c>
      <c r="H100" s="6">
        <v>427.8</v>
      </c>
      <c r="I100" s="7">
        <v>2.4990042075736327</v>
      </c>
      <c r="J100" s="7">
        <v>3.3728190743338002</v>
      </c>
      <c r="K100" s="7">
        <v>51.676203833567094</v>
      </c>
      <c r="L100" s="6"/>
      <c r="M100" s="6"/>
      <c r="N100" s="7"/>
      <c r="O100" s="23"/>
      <c r="P100" s="6"/>
      <c r="Q100" s="6"/>
      <c r="R100" s="31"/>
      <c r="S100" s="6"/>
      <c r="T100" s="31"/>
      <c r="U100" s="6"/>
      <c r="V100" s="23"/>
      <c r="W100" s="6"/>
      <c r="X100" s="6"/>
      <c r="Y100" s="5"/>
      <c r="Z100" s="3"/>
      <c r="AA100" s="6">
        <f>H100*I100/100</f>
      </c>
      <c r="AB100" s="6">
        <f>H100*J100/100</f>
      </c>
      <c r="AC100" s="7">
        <f>H100*K100</f>
      </c>
      <c r="AD100" s="7">
        <f>H100*M100</f>
      </c>
      <c r="AE100" s="6">
        <f>H100*L100/100</f>
      </c>
      <c r="AF100" s="6">
        <f>AA100+AB100+AE100</f>
      </c>
      <c r="AG100" s="6">
        <f>I100+J100+L100</f>
      </c>
      <c r="AH100" s="53">
        <f>$H100*I100</f>
      </c>
      <c r="AI100" s="53">
        <f>$H100*J100</f>
      </c>
      <c r="AJ100" s="53">
        <f>$H100*K100</f>
      </c>
      <c r="AK100" s="53">
        <f>$H100*L100</f>
      </c>
      <c r="AL100" s="53">
        <f>$H100*M100</f>
      </c>
      <c r="AM100" s="3"/>
      <c r="AN100" s="5"/>
      <c r="AO100" s="5"/>
      <c r="AP100" s="5"/>
      <c r="AQ100" s="3"/>
    </row>
    <row x14ac:dyDescent="0.25" r="101" customHeight="1" ht="12.75">
      <c r="A101" s="5" t="s">
        <v>276</v>
      </c>
      <c r="B101" s="3" t="s">
        <v>1094</v>
      </c>
      <c r="C101" s="3" t="s">
        <v>866</v>
      </c>
      <c r="D101" s="3" t="s">
        <v>988</v>
      </c>
      <c r="E101" s="3" t="s">
        <v>855</v>
      </c>
      <c r="F101" s="3" t="s">
        <v>1180</v>
      </c>
      <c r="G101" s="3" t="s">
        <v>1262</v>
      </c>
      <c r="H101" s="6">
        <v>24.400000000000002</v>
      </c>
      <c r="I101" s="6">
        <v>3.1126229508196723</v>
      </c>
      <c r="J101" s="6">
        <v>4.597090163934427</v>
      </c>
      <c r="K101" s="7">
        <v>61.174180327868854</v>
      </c>
      <c r="L101" s="6"/>
      <c r="M101" s="6"/>
      <c r="N101" s="7"/>
      <c r="O101" s="23"/>
      <c r="P101" s="6"/>
      <c r="Q101" s="6"/>
      <c r="R101" s="31"/>
      <c r="S101" s="6"/>
      <c r="T101" s="31"/>
      <c r="U101" s="6"/>
      <c r="V101" s="23"/>
      <c r="W101" s="6"/>
      <c r="X101" s="6"/>
      <c r="Y101" s="5"/>
      <c r="Z101" s="3"/>
      <c r="AA101" s="6">
        <f>H101*I101/100</f>
      </c>
      <c r="AB101" s="6">
        <f>H101*J101/100</f>
      </c>
      <c r="AC101" s="7">
        <f>H101*K101</f>
      </c>
      <c r="AD101" s="7">
        <f>H101*M101</f>
      </c>
      <c r="AE101" s="6">
        <f>H101*L101/100</f>
      </c>
      <c r="AF101" s="6">
        <f>AA101+AB101+AE101</f>
      </c>
      <c r="AG101" s="6">
        <f>I101+J101+L101</f>
      </c>
      <c r="AH101" s="53">
        <f>$H101*I101</f>
      </c>
      <c r="AI101" s="53">
        <f>$H101*J101</f>
      </c>
      <c r="AJ101" s="53">
        <f>$H101*K101</f>
      </c>
      <c r="AK101" s="53">
        <f>$H101*L101</f>
      </c>
      <c r="AL101" s="53">
        <f>$H101*M101</f>
      </c>
      <c r="AM101" s="3"/>
      <c r="AN101" s="5"/>
      <c r="AO101" s="5"/>
      <c r="AP101" s="5"/>
      <c r="AQ101" s="3"/>
    </row>
    <row x14ac:dyDescent="0.25" r="102" customHeight="1" ht="12.75">
      <c r="A102" s="5" t="s">
        <v>29</v>
      </c>
      <c r="B102" s="3" t="s">
        <v>1094</v>
      </c>
      <c r="C102" s="3" t="s">
        <v>866</v>
      </c>
      <c r="D102" s="3" t="s">
        <v>988</v>
      </c>
      <c r="E102" s="3" t="s">
        <v>855</v>
      </c>
      <c r="F102" s="3" t="s">
        <v>1180</v>
      </c>
      <c r="G102" s="3" t="s">
        <v>1262</v>
      </c>
      <c r="H102" s="6">
        <v>145.1</v>
      </c>
      <c r="I102" s="7">
        <v>3.9301585113714688</v>
      </c>
      <c r="J102" s="7">
        <v>8.34459682977257</v>
      </c>
      <c r="K102" s="31">
        <v>62.486836664369406</v>
      </c>
      <c r="L102" s="6"/>
      <c r="M102" s="6"/>
      <c r="N102" s="7"/>
      <c r="O102" s="23"/>
      <c r="P102" s="6"/>
      <c r="Q102" s="6"/>
      <c r="R102" s="31"/>
      <c r="S102" s="6"/>
      <c r="T102" s="31"/>
      <c r="U102" s="6"/>
      <c r="V102" s="23"/>
      <c r="W102" s="6"/>
      <c r="X102" s="6"/>
      <c r="Y102" s="5"/>
      <c r="Z102" s="3"/>
      <c r="AA102" s="6">
        <f>H102*I102/100</f>
      </c>
      <c r="AB102" s="6">
        <f>H102*J102/100</f>
      </c>
      <c r="AC102" s="7">
        <f>H102*K102</f>
      </c>
      <c r="AD102" s="7">
        <f>H102*M102</f>
      </c>
      <c r="AE102" s="6">
        <f>H102*L102/100</f>
      </c>
      <c r="AF102" s="6">
        <f>AA102+AB102+AE102</f>
      </c>
      <c r="AG102" s="6">
        <f>I102+J102+L102</f>
      </c>
      <c r="AH102" s="53">
        <f>$H102*I102</f>
      </c>
      <c r="AI102" s="53">
        <f>$H102*J102</f>
      </c>
      <c r="AJ102" s="53">
        <f>$H102*K102</f>
      </c>
      <c r="AK102" s="53">
        <f>$H102*L102</f>
      </c>
      <c r="AL102" s="53">
        <f>$H102*M102</f>
      </c>
      <c r="AM102" s="3"/>
      <c r="AN102" s="5"/>
      <c r="AO102" s="5"/>
      <c r="AP102" s="5"/>
      <c r="AQ102" s="3"/>
    </row>
    <row x14ac:dyDescent="0.25" r="103" customHeight="1" ht="12.75">
      <c r="A103" s="5" t="s">
        <v>87</v>
      </c>
      <c r="B103" s="3" t="s">
        <v>1094</v>
      </c>
      <c r="C103" s="3" t="s">
        <v>866</v>
      </c>
      <c r="D103" s="3" t="s">
        <v>988</v>
      </c>
      <c r="E103" s="3" t="s">
        <v>855</v>
      </c>
      <c r="F103" s="3" t="s">
        <v>1180</v>
      </c>
      <c r="G103" s="3" t="s">
        <v>1262</v>
      </c>
      <c r="H103" s="7">
        <v>56</v>
      </c>
      <c r="I103" s="7">
        <v>5.310714285714285</v>
      </c>
      <c r="J103" s="7">
        <v>7.821785714285714</v>
      </c>
      <c r="K103" s="31">
        <v>106.26785714285714</v>
      </c>
      <c r="L103" s="6"/>
      <c r="M103" s="6"/>
      <c r="N103" s="7"/>
      <c r="O103" s="23"/>
      <c r="P103" s="6"/>
      <c r="Q103" s="6"/>
      <c r="R103" s="31"/>
      <c r="S103" s="6"/>
      <c r="T103" s="31"/>
      <c r="U103" s="6"/>
      <c r="V103" s="23"/>
      <c r="W103" s="6"/>
      <c r="X103" s="6"/>
      <c r="Y103" s="5"/>
      <c r="Z103" s="3"/>
      <c r="AA103" s="6">
        <f>H103*I103/100</f>
      </c>
      <c r="AB103" s="6">
        <f>H103*J103/100</f>
      </c>
      <c r="AC103" s="7">
        <f>H103*K103</f>
      </c>
      <c r="AD103" s="7">
        <f>H103*M103</f>
      </c>
      <c r="AE103" s="6">
        <f>H103*L103/100</f>
      </c>
      <c r="AF103" s="6">
        <f>AA103+AB103+AE103</f>
      </c>
      <c r="AG103" s="6">
        <f>I103+J103+L103</f>
      </c>
      <c r="AH103" s="53">
        <f>$H103*I103</f>
      </c>
      <c r="AI103" s="53">
        <f>$H103*J103</f>
      </c>
      <c r="AJ103" s="53">
        <f>$H103*K103</f>
      </c>
      <c r="AK103" s="53">
        <f>$H103*L103</f>
      </c>
      <c r="AL103" s="53">
        <f>$H103*M103</f>
      </c>
      <c r="AM103" s="3"/>
      <c r="AN103" s="5"/>
      <c r="AO103" s="5"/>
      <c r="AP103" s="5"/>
      <c r="AQ103" s="3"/>
    </row>
    <row x14ac:dyDescent="0.25" r="104" customHeight="1" ht="12.75">
      <c r="A104" s="5" t="s">
        <v>460</v>
      </c>
      <c r="B104" s="3" t="s">
        <v>1094</v>
      </c>
      <c r="C104" s="3" t="s">
        <v>866</v>
      </c>
      <c r="D104" s="3" t="s">
        <v>988</v>
      </c>
      <c r="E104" s="3" t="s">
        <v>855</v>
      </c>
      <c r="F104" s="3" t="s">
        <v>1180</v>
      </c>
      <c r="G104" s="3" t="s">
        <v>1262</v>
      </c>
      <c r="H104" s="6">
        <v>8.27</v>
      </c>
      <c r="I104" s="7">
        <v>2.421064087061669</v>
      </c>
      <c r="J104" s="7">
        <v>5.698101571946796</v>
      </c>
      <c r="K104" s="31">
        <v>35.54268440145103</v>
      </c>
      <c r="L104" s="6"/>
      <c r="M104" s="6"/>
      <c r="N104" s="7"/>
      <c r="O104" s="23"/>
      <c r="P104" s="6"/>
      <c r="Q104" s="6"/>
      <c r="R104" s="31"/>
      <c r="S104" s="6"/>
      <c r="T104" s="31"/>
      <c r="U104" s="6"/>
      <c r="V104" s="23"/>
      <c r="W104" s="6"/>
      <c r="X104" s="6"/>
      <c r="Y104" s="5"/>
      <c r="Z104" s="3"/>
      <c r="AA104" s="6">
        <f>H104*I104/100</f>
      </c>
      <c r="AB104" s="6">
        <f>H104*J104/100</f>
      </c>
      <c r="AC104" s="7">
        <f>H104*K104</f>
      </c>
      <c r="AD104" s="7">
        <f>H104*M104</f>
      </c>
      <c r="AE104" s="6">
        <f>H104*L104/100</f>
      </c>
      <c r="AF104" s="6">
        <f>AA104+AB104+AE104</f>
      </c>
      <c r="AG104" s="6">
        <f>I104+J104+L104</f>
      </c>
      <c r="AH104" s="53">
        <f>$H104*I104</f>
      </c>
      <c r="AI104" s="53">
        <f>$H104*J104</f>
      </c>
      <c r="AJ104" s="53">
        <f>$H104*K104</f>
      </c>
      <c r="AK104" s="53">
        <f>$H104*L104</f>
      </c>
      <c r="AL104" s="53">
        <f>$H104*M104</f>
      </c>
      <c r="AM104" s="3"/>
      <c r="AN104" s="5"/>
      <c r="AO104" s="5"/>
      <c r="AP104" s="5"/>
      <c r="AQ104" s="3"/>
    </row>
    <row x14ac:dyDescent="0.25" r="105" customHeight="1" ht="12.75">
      <c r="A105" s="5" t="s">
        <v>647</v>
      </c>
      <c r="B105" s="3" t="s">
        <v>1094</v>
      </c>
      <c r="C105" s="3" t="s">
        <v>869</v>
      </c>
      <c r="D105" s="3"/>
      <c r="E105" s="3" t="s">
        <v>855</v>
      </c>
      <c r="F105" s="3" t="s">
        <v>1278</v>
      </c>
      <c r="G105" s="3" t="s">
        <v>1279</v>
      </c>
      <c r="H105" s="5">
        <v>20</v>
      </c>
      <c r="I105" s="6"/>
      <c r="J105" s="6">
        <v>0.35</v>
      </c>
      <c r="K105" s="5"/>
      <c r="L105" s="6">
        <v>0.35</v>
      </c>
      <c r="M105" s="6"/>
      <c r="N105" s="7"/>
      <c r="O105" s="23"/>
      <c r="P105" s="6"/>
      <c r="Q105" s="6"/>
      <c r="R105" s="31"/>
      <c r="S105" s="6"/>
      <c r="T105" s="5">
        <v>41</v>
      </c>
      <c r="U105" s="6"/>
      <c r="V105" s="23"/>
      <c r="W105" s="6"/>
      <c r="X105" s="6"/>
      <c r="Y105" s="5"/>
      <c r="Z105" s="3"/>
      <c r="AA105" s="6">
        <f>H105*I105/100</f>
      </c>
      <c r="AB105" s="6">
        <f>H105*J105/100</f>
      </c>
      <c r="AC105" s="7">
        <f>H105*K105</f>
      </c>
      <c r="AD105" s="7">
        <f>H105*M105</f>
      </c>
      <c r="AE105" s="6">
        <f>H105*L105/100</f>
      </c>
      <c r="AF105" s="6">
        <f>AA105+AB105+AE105</f>
      </c>
      <c r="AG105" s="6">
        <f>I105+J105+L105</f>
      </c>
      <c r="AH105" s="53">
        <f>$H105*I105</f>
      </c>
      <c r="AI105" s="53">
        <f>$H105*J105</f>
      </c>
      <c r="AJ105" s="53">
        <f>$H105*K105</f>
      </c>
      <c r="AK105" s="53">
        <f>$H105*L105</f>
      </c>
      <c r="AL105" s="53">
        <f>$H105*M105</f>
      </c>
      <c r="AM105" s="3"/>
      <c r="AN105" s="5"/>
      <c r="AO105" s="5"/>
      <c r="AP105" s="5"/>
      <c r="AQ105" s="3"/>
    </row>
    <row x14ac:dyDescent="0.25" r="106" customHeight="1" ht="12.75">
      <c r="A106" s="5" t="s">
        <v>500</v>
      </c>
      <c r="B106" s="3" t="s">
        <v>1094</v>
      </c>
      <c r="C106" s="3" t="s">
        <v>870</v>
      </c>
      <c r="D106" s="3"/>
      <c r="E106" s="3" t="s">
        <v>855</v>
      </c>
      <c r="F106" s="3" t="s">
        <v>1280</v>
      </c>
      <c r="G106" s="3" t="s">
        <v>1203</v>
      </c>
      <c r="H106" s="23">
        <v>0.227899</v>
      </c>
      <c r="I106" s="6">
        <v>0.17</v>
      </c>
      <c r="J106" s="7">
        <v>1.85</v>
      </c>
      <c r="K106" s="31">
        <v>33</v>
      </c>
      <c r="L106" s="6">
        <v>2.96</v>
      </c>
      <c r="M106" s="6"/>
      <c r="N106" s="7"/>
      <c r="O106" s="23"/>
      <c r="P106" s="6"/>
      <c r="Q106" s="6"/>
      <c r="R106" s="31"/>
      <c r="S106" s="6"/>
      <c r="T106" s="31"/>
      <c r="U106" s="6"/>
      <c r="V106" s="23"/>
      <c r="W106" s="6"/>
      <c r="X106" s="6"/>
      <c r="Y106" s="5"/>
      <c r="Z106" s="3"/>
      <c r="AA106" s="6">
        <f>H106*I106/100</f>
      </c>
      <c r="AB106" s="6">
        <f>H106*J106/100</f>
      </c>
      <c r="AC106" s="7">
        <f>H106*K106</f>
      </c>
      <c r="AD106" s="7">
        <f>H106*M106</f>
      </c>
      <c r="AE106" s="6">
        <f>H106*L106/100</f>
      </c>
      <c r="AF106" s="6">
        <f>AA106+AB106+AE106</f>
      </c>
      <c r="AG106" s="6">
        <f>I106+J106+L106</f>
      </c>
      <c r="AH106" s="53">
        <f>$H106*I106</f>
      </c>
      <c r="AI106" s="53">
        <f>$H106*J106</f>
      </c>
      <c r="AJ106" s="53">
        <f>$H106*K106</f>
      </c>
      <c r="AK106" s="53">
        <f>$H106*L106</f>
      </c>
      <c r="AL106" s="53">
        <f>$H106*M106</f>
      </c>
      <c r="AM106" s="3"/>
      <c r="AN106" s="5"/>
      <c r="AO106" s="5"/>
      <c r="AP106" s="5"/>
      <c r="AQ106" s="3"/>
    </row>
    <row x14ac:dyDescent="0.25" r="107" customHeight="1" ht="12.75">
      <c r="A107" s="5" t="s">
        <v>140</v>
      </c>
      <c r="B107" s="3" t="s">
        <v>1094</v>
      </c>
      <c r="C107" s="3" t="s">
        <v>870</v>
      </c>
      <c r="D107" s="3"/>
      <c r="E107" s="3" t="s">
        <v>855</v>
      </c>
      <c r="F107" s="3" t="s">
        <v>1281</v>
      </c>
      <c r="G107" s="3" t="s">
        <v>1282</v>
      </c>
      <c r="H107" s="5">
        <v>107</v>
      </c>
      <c r="I107" s="6">
        <v>3.494392523364486</v>
      </c>
      <c r="J107" s="6">
        <v>0.08691588785046729</v>
      </c>
      <c r="K107" s="7">
        <v>9.25233644859813</v>
      </c>
      <c r="L107" s="6">
        <v>0.18831775700934578</v>
      </c>
      <c r="M107" s="6">
        <v>0.10579439252336449</v>
      </c>
      <c r="N107" s="7"/>
      <c r="O107" s="23"/>
      <c r="P107" s="6"/>
      <c r="Q107" s="6"/>
      <c r="R107" s="31"/>
      <c r="S107" s="6"/>
      <c r="T107" s="31"/>
      <c r="U107" s="6"/>
      <c r="V107" s="23"/>
      <c r="W107" s="6"/>
      <c r="X107" s="6"/>
      <c r="Y107" s="5"/>
      <c r="Z107" s="3"/>
      <c r="AA107" s="6">
        <f>H107*I107/100</f>
      </c>
      <c r="AB107" s="6">
        <f>H107*J107/100</f>
      </c>
      <c r="AC107" s="7">
        <f>H107*K107</f>
      </c>
      <c r="AD107" s="7">
        <f>H107*M107</f>
      </c>
      <c r="AE107" s="6">
        <f>H107*L107/100</f>
      </c>
      <c r="AF107" s="6">
        <f>AA107+AB107+AE107</f>
      </c>
      <c r="AG107" s="6">
        <f>I107+J107+L107</f>
      </c>
      <c r="AH107" s="53">
        <f>$H107*I107</f>
      </c>
      <c r="AI107" s="53">
        <f>$H107*J107</f>
      </c>
      <c r="AJ107" s="53">
        <f>$H107*K107</f>
      </c>
      <c r="AK107" s="53">
        <f>$H107*L107</f>
      </c>
      <c r="AL107" s="53">
        <f>$H107*M107</f>
      </c>
      <c r="AM107" s="3"/>
      <c r="AN107" s="5"/>
      <c r="AO107" s="5"/>
      <c r="AP107" s="5"/>
      <c r="AQ107" s="3"/>
    </row>
    <row x14ac:dyDescent="0.25" r="108" customHeight="1" ht="12.75">
      <c r="A108" s="5" t="s">
        <v>250</v>
      </c>
      <c r="B108" s="3" t="s">
        <v>1094</v>
      </c>
      <c r="C108" s="3" t="s">
        <v>866</v>
      </c>
      <c r="D108" s="3" t="s">
        <v>988</v>
      </c>
      <c r="E108" s="3" t="s">
        <v>855</v>
      </c>
      <c r="F108" s="3" t="s">
        <v>1283</v>
      </c>
      <c r="G108" s="3" t="s">
        <v>1204</v>
      </c>
      <c r="H108" s="6">
        <v>43.6</v>
      </c>
      <c r="I108" s="6">
        <v>0.95</v>
      </c>
      <c r="J108" s="6">
        <v>4.09</v>
      </c>
      <c r="K108" s="5"/>
      <c r="L108" s="6"/>
      <c r="M108" s="6"/>
      <c r="N108" s="7"/>
      <c r="O108" s="23"/>
      <c r="P108" s="6"/>
      <c r="Q108" s="6"/>
      <c r="R108" s="31"/>
      <c r="S108" s="6"/>
      <c r="T108" s="31"/>
      <c r="U108" s="6"/>
      <c r="V108" s="23"/>
      <c r="W108" s="6"/>
      <c r="X108" s="6"/>
      <c r="Y108" s="5"/>
      <c r="Z108" s="3"/>
      <c r="AA108" s="6">
        <f>H108*I108/100</f>
      </c>
      <c r="AB108" s="6">
        <f>H108*J108/100</f>
      </c>
      <c r="AC108" s="7">
        <f>H108*K108</f>
      </c>
      <c r="AD108" s="7">
        <f>H108*M108</f>
      </c>
      <c r="AE108" s="6">
        <f>H108*L108/100</f>
      </c>
      <c r="AF108" s="6">
        <f>AA108+AB108+AE108</f>
      </c>
      <c r="AG108" s="6">
        <f>I108+J108+L108</f>
      </c>
      <c r="AH108" s="53">
        <f>$H108*I108</f>
      </c>
      <c r="AI108" s="53">
        <f>$H108*J108</f>
      </c>
      <c r="AJ108" s="53">
        <f>$H108*K108</f>
      </c>
      <c r="AK108" s="53">
        <f>$H108*L108</f>
      </c>
      <c r="AL108" s="53">
        <f>$H108*M108</f>
      </c>
      <c r="AM108" s="3"/>
      <c r="AN108" s="5"/>
      <c r="AO108" s="5"/>
      <c r="AP108" s="5"/>
      <c r="AQ108" s="3"/>
    </row>
    <row x14ac:dyDescent="0.25" r="109" customHeight="1" ht="12.75">
      <c r="A109" s="5" t="s">
        <v>593</v>
      </c>
      <c r="B109" s="3" t="s">
        <v>1094</v>
      </c>
      <c r="C109" s="3" t="s">
        <v>869</v>
      </c>
      <c r="D109" s="3"/>
      <c r="E109" s="3" t="s">
        <v>855</v>
      </c>
      <c r="F109" s="3" t="s">
        <v>1284</v>
      </c>
      <c r="G109" s="3" t="s">
        <v>1285</v>
      </c>
      <c r="H109" s="23">
        <v>0.209338</v>
      </c>
      <c r="I109" s="6">
        <v>1.3221077874060132</v>
      </c>
      <c r="J109" s="6">
        <v>1.1132319024735118</v>
      </c>
      <c r="K109" s="7">
        <v>161.00705079823064</v>
      </c>
      <c r="L109" s="6"/>
      <c r="M109" s="6">
        <v>2.1011007079460007</v>
      </c>
      <c r="N109" s="7"/>
      <c r="O109" s="23"/>
      <c r="P109" s="6"/>
      <c r="Q109" s="6"/>
      <c r="R109" s="31"/>
      <c r="S109" s="6"/>
      <c r="T109" s="31"/>
      <c r="U109" s="6"/>
      <c r="V109" s="23"/>
      <c r="W109" s="6"/>
      <c r="X109" s="6"/>
      <c r="Y109" s="5"/>
      <c r="Z109" s="3"/>
      <c r="AA109" s="6">
        <f>H109*I109/100</f>
      </c>
      <c r="AB109" s="6">
        <f>H109*J109/100</f>
      </c>
      <c r="AC109" s="7">
        <f>H109*K109</f>
      </c>
      <c r="AD109" s="7">
        <f>H109*M109</f>
      </c>
      <c r="AE109" s="6">
        <f>H109*L109/100</f>
      </c>
      <c r="AF109" s="6">
        <f>AA109+AB109+AE109</f>
      </c>
      <c r="AG109" s="6">
        <f>I109+J109+L109</f>
      </c>
      <c r="AH109" s="53">
        <f>$H109*I109</f>
      </c>
      <c r="AI109" s="53">
        <f>$H109*J109</f>
      </c>
      <c r="AJ109" s="53">
        <f>$H109*K109</f>
      </c>
      <c r="AK109" s="53">
        <f>$H109*L109</f>
      </c>
      <c r="AL109" s="53">
        <f>$H109*M109</f>
      </c>
      <c r="AM109" s="3"/>
      <c r="AN109" s="5"/>
      <c r="AO109" s="5"/>
      <c r="AP109" s="5"/>
      <c r="AQ109" s="3"/>
    </row>
    <row x14ac:dyDescent="0.25" r="110" customHeight="1" ht="12.75">
      <c r="A110" s="5" t="s">
        <v>496</v>
      </c>
      <c r="B110" s="3" t="s">
        <v>1094</v>
      </c>
      <c r="C110" s="3" t="s">
        <v>870</v>
      </c>
      <c r="D110" s="3"/>
      <c r="E110" s="3" t="s">
        <v>855</v>
      </c>
      <c r="F110" s="3" t="s">
        <v>1171</v>
      </c>
      <c r="G110" s="3" t="s">
        <v>1286</v>
      </c>
      <c r="H110" s="23">
        <v>0.215534</v>
      </c>
      <c r="I110" s="6">
        <v>4.91</v>
      </c>
      <c r="J110" s="6">
        <v>2.2</v>
      </c>
      <c r="K110" s="6">
        <v>193.6</v>
      </c>
      <c r="L110" s="6">
        <v>0.15</v>
      </c>
      <c r="M110" s="6"/>
      <c r="N110" s="7"/>
      <c r="O110" s="23"/>
      <c r="P110" s="6"/>
      <c r="Q110" s="6"/>
      <c r="R110" s="31"/>
      <c r="S110" s="6"/>
      <c r="T110" s="31"/>
      <c r="U110" s="6"/>
      <c r="V110" s="23"/>
      <c r="W110" s="6"/>
      <c r="X110" s="6"/>
      <c r="Y110" s="5"/>
      <c r="Z110" s="3"/>
      <c r="AA110" s="6">
        <f>H110*I110/100</f>
      </c>
      <c r="AB110" s="6">
        <f>H110*J110/100</f>
      </c>
      <c r="AC110" s="7">
        <f>H110*K110</f>
      </c>
      <c r="AD110" s="7">
        <f>H110*M110</f>
      </c>
      <c r="AE110" s="6">
        <f>H110*L110/100</f>
      </c>
      <c r="AF110" s="6">
        <f>AA110+AB110+AE110</f>
      </c>
      <c r="AG110" s="6">
        <f>I110+J110+L110</f>
      </c>
      <c r="AH110" s="53">
        <f>$H110*I110</f>
      </c>
      <c r="AI110" s="53">
        <f>$H110*J110</f>
      </c>
      <c r="AJ110" s="53">
        <f>$H110*K110</f>
      </c>
      <c r="AK110" s="53">
        <f>$H110*L110</f>
      </c>
      <c r="AL110" s="53">
        <f>$H110*M110</f>
      </c>
      <c r="AM110" s="3"/>
      <c r="AN110" s="5"/>
      <c r="AO110" s="5"/>
      <c r="AP110" s="5"/>
      <c r="AQ110" s="3"/>
    </row>
    <row x14ac:dyDescent="0.25" r="111" customHeight="1" ht="12.75">
      <c r="A111" s="5" t="s">
        <v>785</v>
      </c>
      <c r="B111" s="3" t="s">
        <v>1094</v>
      </c>
      <c r="C111" s="3" t="s">
        <v>856</v>
      </c>
      <c r="D111" s="3" t="s">
        <v>925</v>
      </c>
      <c r="E111" s="3" t="s">
        <v>855</v>
      </c>
      <c r="F111" s="3" t="s">
        <v>1287</v>
      </c>
      <c r="G111" s="3" t="s">
        <v>1288</v>
      </c>
      <c r="H111" s="23">
        <v>4.87613</v>
      </c>
      <c r="I111" s="17">
        <v>0.14567621444344522</v>
      </c>
      <c r="J111" s="6">
        <v>1.328</v>
      </c>
      <c r="K111" s="7">
        <v>79.29</v>
      </c>
      <c r="L111" s="17">
        <v>0.016628909310248075</v>
      </c>
      <c r="M111" s="6">
        <v>0.294</v>
      </c>
      <c r="N111" s="7"/>
      <c r="O111" s="23"/>
      <c r="P111" s="6"/>
      <c r="Q111" s="6"/>
      <c r="R111" s="31"/>
      <c r="S111" s="6"/>
      <c r="T111" s="31"/>
      <c r="U111" s="6"/>
      <c r="V111" s="23"/>
      <c r="W111" s="6"/>
      <c r="X111" s="6"/>
      <c r="Y111" s="5">
        <v>88</v>
      </c>
      <c r="Z111" s="3" t="s">
        <v>937</v>
      </c>
      <c r="AA111" s="6">
        <f>H111*I111/100</f>
      </c>
      <c r="AB111" s="6">
        <f>H111*J111/100</f>
      </c>
      <c r="AC111" s="7">
        <f>H111*K111</f>
      </c>
      <c r="AD111" s="7">
        <f>H111*M111</f>
      </c>
      <c r="AE111" s="6">
        <f>H111*L111/100</f>
      </c>
      <c r="AF111" s="6">
        <f>AA111+AB111+AE111</f>
      </c>
      <c r="AG111" s="6">
        <f>I111+J111+L111</f>
      </c>
      <c r="AH111" s="53">
        <f>$H111*I111</f>
      </c>
      <c r="AI111" s="53">
        <f>$H111*J111</f>
      </c>
      <c r="AJ111" s="53">
        <f>$H111*K111</f>
      </c>
      <c r="AK111" s="53">
        <f>$H111*L111</f>
      </c>
      <c r="AL111" s="53">
        <f>$H111*M111</f>
      </c>
      <c r="AM111" s="3"/>
      <c r="AN111" s="5"/>
      <c r="AO111" s="5"/>
      <c r="AP111" s="5"/>
      <c r="AQ111" s="3"/>
    </row>
    <row x14ac:dyDescent="0.25" r="112" customHeight="1" ht="12.75">
      <c r="A112" s="5" t="s">
        <v>261</v>
      </c>
      <c r="B112" s="3" t="s">
        <v>1094</v>
      </c>
      <c r="C112" s="3" t="s">
        <v>856</v>
      </c>
      <c r="D112" s="3" t="s">
        <v>929</v>
      </c>
      <c r="E112" s="3" t="s">
        <v>855</v>
      </c>
      <c r="F112" s="3" t="s">
        <v>1289</v>
      </c>
      <c r="G112" s="3" t="s">
        <v>1273</v>
      </c>
      <c r="H112" s="23">
        <v>0.145097</v>
      </c>
      <c r="I112" s="6">
        <v>11.46</v>
      </c>
      <c r="J112" s="6"/>
      <c r="K112" s="5"/>
      <c r="L112" s="6"/>
      <c r="M112" s="6"/>
      <c r="N112" s="7"/>
      <c r="O112" s="23"/>
      <c r="P112" s="6"/>
      <c r="Q112" s="6"/>
      <c r="R112" s="31"/>
      <c r="S112" s="6"/>
      <c r="T112" s="31"/>
      <c r="U112" s="6"/>
      <c r="V112" s="23"/>
      <c r="W112" s="6"/>
      <c r="X112" s="6"/>
      <c r="Y112" s="5"/>
      <c r="Z112" s="3"/>
      <c r="AA112" s="6">
        <f>H112*I112/100</f>
      </c>
      <c r="AB112" s="6">
        <f>H112*J112/100</f>
      </c>
      <c r="AC112" s="7">
        <f>H112*K112</f>
      </c>
      <c r="AD112" s="7">
        <f>H112*M112</f>
      </c>
      <c r="AE112" s="6">
        <f>H112*L112/100</f>
      </c>
      <c r="AF112" s="6">
        <f>AA112+AB112+AE112</f>
      </c>
      <c r="AG112" s="6">
        <f>I112+J112+L112</f>
      </c>
      <c r="AH112" s="53">
        <f>$H112*I112</f>
      </c>
      <c r="AI112" s="53">
        <f>$H112*J112</f>
      </c>
      <c r="AJ112" s="53">
        <f>$H112*K112</f>
      </c>
      <c r="AK112" s="53">
        <f>$H112*L112</f>
      </c>
      <c r="AL112" s="53">
        <f>$H112*M112</f>
      </c>
      <c r="AM112" s="3"/>
      <c r="AN112" s="5"/>
      <c r="AO112" s="5"/>
      <c r="AP112" s="5"/>
      <c r="AQ112" s="3"/>
    </row>
    <row x14ac:dyDescent="0.25" r="113" customHeight="1" ht="12.75">
      <c r="A113" s="5" t="s">
        <v>719</v>
      </c>
      <c r="B113" s="3" t="s">
        <v>1094</v>
      </c>
      <c r="C113" s="3" t="s">
        <v>866</v>
      </c>
      <c r="D113" s="3" t="s">
        <v>988</v>
      </c>
      <c r="E113" s="3" t="s">
        <v>855</v>
      </c>
      <c r="F113" s="3" t="s">
        <v>1250</v>
      </c>
      <c r="G113" s="3" t="s">
        <v>1204</v>
      </c>
      <c r="H113" s="6">
        <v>8.096</v>
      </c>
      <c r="I113" s="6">
        <v>0.3</v>
      </c>
      <c r="J113" s="6">
        <v>0.7</v>
      </c>
      <c r="K113" s="5">
        <v>9</v>
      </c>
      <c r="L113" s="6">
        <v>1.2</v>
      </c>
      <c r="M113" s="6"/>
      <c r="N113" s="7"/>
      <c r="O113" s="23"/>
      <c r="P113" s="6"/>
      <c r="Q113" s="6"/>
      <c r="R113" s="31"/>
      <c r="S113" s="6"/>
      <c r="T113" s="31"/>
      <c r="U113" s="6"/>
      <c r="V113" s="23"/>
      <c r="W113" s="6"/>
      <c r="X113" s="6"/>
      <c r="Y113" s="5"/>
      <c r="Z113" s="3"/>
      <c r="AA113" s="6">
        <f>H113*I113/100</f>
      </c>
      <c r="AB113" s="6">
        <f>H113*J113/100</f>
      </c>
      <c r="AC113" s="7">
        <f>H113*K113</f>
      </c>
      <c r="AD113" s="7">
        <f>H113*M113</f>
      </c>
      <c r="AE113" s="6">
        <f>H113*L113/100</f>
      </c>
      <c r="AF113" s="6">
        <f>AA113+AB113+AE113</f>
      </c>
      <c r="AG113" s="6">
        <f>I113+J113+L113</f>
      </c>
      <c r="AH113" s="53">
        <f>$H113*I113</f>
      </c>
      <c r="AI113" s="53">
        <f>$H113*J113</f>
      </c>
      <c r="AJ113" s="53">
        <f>$H113*K113</f>
      </c>
      <c r="AK113" s="53">
        <f>$H113*L113</f>
      </c>
      <c r="AL113" s="53">
        <f>$H113*M113</f>
      </c>
      <c r="AM113" s="3"/>
      <c r="AN113" s="5"/>
      <c r="AO113" s="5"/>
      <c r="AP113" s="5"/>
      <c r="AQ113" s="3"/>
    </row>
    <row x14ac:dyDescent="0.25" r="114" customHeight="1" ht="12.75">
      <c r="A114" s="5" t="s">
        <v>184</v>
      </c>
      <c r="B114" s="3" t="s">
        <v>1094</v>
      </c>
      <c r="C114" s="3" t="s">
        <v>869</v>
      </c>
      <c r="D114" s="3"/>
      <c r="E114" s="3" t="s">
        <v>855</v>
      </c>
      <c r="F114" s="3" t="s">
        <v>1290</v>
      </c>
      <c r="G114" s="3" t="s">
        <v>1262</v>
      </c>
      <c r="H114" s="5">
        <v>78</v>
      </c>
      <c r="I114" s="6">
        <v>0.2472692307692308</v>
      </c>
      <c r="J114" s="6">
        <v>0.5038461538461539</v>
      </c>
      <c r="K114" s="5"/>
      <c r="L114" s="6">
        <v>0.28423076923076923</v>
      </c>
      <c r="M114" s="6"/>
      <c r="N114" s="7"/>
      <c r="O114" s="23"/>
      <c r="P114" s="6"/>
      <c r="Q114" s="6"/>
      <c r="R114" s="31"/>
      <c r="S114" s="6"/>
      <c r="T114" s="31"/>
      <c r="U114" s="6">
        <v>0.32961538461538464</v>
      </c>
      <c r="V114" s="6"/>
      <c r="W114" s="6"/>
      <c r="X114" s="6"/>
      <c r="Y114" s="6"/>
      <c r="Z114" s="3"/>
      <c r="AA114" s="6">
        <f>H114*I114/100</f>
      </c>
      <c r="AB114" s="6">
        <f>H114*J114/100</f>
      </c>
      <c r="AC114" s="7">
        <f>H114*K114</f>
      </c>
      <c r="AD114" s="7">
        <f>H114*M114</f>
      </c>
      <c r="AE114" s="6">
        <f>H114*L114/100</f>
      </c>
      <c r="AF114" s="6">
        <f>AA114+AB114+AE114</f>
      </c>
      <c r="AG114" s="6">
        <f>I114+J114+L114</f>
      </c>
      <c r="AH114" s="53">
        <f>$H114*I114</f>
      </c>
      <c r="AI114" s="53">
        <f>$H114*J114</f>
      </c>
      <c r="AJ114" s="53">
        <f>$H114*K114</f>
      </c>
      <c r="AK114" s="53">
        <f>$H114*L114</f>
      </c>
      <c r="AL114" s="53">
        <f>$H114*M114</f>
      </c>
      <c r="AM114" s="3"/>
      <c r="AN114" s="5"/>
      <c r="AO114" s="5"/>
      <c r="AP114" s="5"/>
      <c r="AQ114" s="3"/>
    </row>
    <row x14ac:dyDescent="0.25" r="115" customHeight="1" ht="12.75">
      <c r="A115" s="5" t="s">
        <v>679</v>
      </c>
      <c r="B115" s="3" t="s">
        <v>1094</v>
      </c>
      <c r="C115" s="3" t="s">
        <v>866</v>
      </c>
      <c r="D115" s="3" t="s">
        <v>989</v>
      </c>
      <c r="E115" s="3" t="s">
        <v>855</v>
      </c>
      <c r="F115" s="3" t="s">
        <v>1198</v>
      </c>
      <c r="G115" s="3" t="s">
        <v>1199</v>
      </c>
      <c r="H115" s="23">
        <v>2.1450389999999997</v>
      </c>
      <c r="I115" s="6">
        <v>1.22</v>
      </c>
      <c r="J115" s="6">
        <v>4.41</v>
      </c>
      <c r="K115" s="6">
        <v>32.7</v>
      </c>
      <c r="L115" s="6"/>
      <c r="M115" s="6"/>
      <c r="N115" s="7"/>
      <c r="O115" s="23"/>
      <c r="P115" s="6"/>
      <c r="Q115" s="6"/>
      <c r="R115" s="31"/>
      <c r="S115" s="6"/>
      <c r="T115" s="31"/>
      <c r="U115" s="6"/>
      <c r="V115" s="23"/>
      <c r="W115" s="6"/>
      <c r="X115" s="6"/>
      <c r="Y115" s="5"/>
      <c r="Z115" s="3"/>
      <c r="AA115" s="6">
        <f>H115*I115/100</f>
      </c>
      <c r="AB115" s="6">
        <f>H115*J115/100</f>
      </c>
      <c r="AC115" s="7">
        <f>H115*K115</f>
      </c>
      <c r="AD115" s="7">
        <f>H115*M115</f>
      </c>
      <c r="AE115" s="6">
        <f>H115*L115/100</f>
      </c>
      <c r="AF115" s="6">
        <f>AA115+AB115+AE115</f>
      </c>
      <c r="AG115" s="6">
        <f>I115+J115+L115</f>
      </c>
      <c r="AH115" s="53">
        <f>$H115*I115</f>
      </c>
      <c r="AI115" s="53">
        <f>$H115*J115</f>
      </c>
      <c r="AJ115" s="53">
        <f>$H115*K115</f>
      </c>
      <c r="AK115" s="53">
        <f>$H115*L115</f>
      </c>
      <c r="AL115" s="53">
        <f>$H115*M115</f>
      </c>
      <c r="AM115" s="3"/>
      <c r="AN115" s="5"/>
      <c r="AO115" s="5"/>
      <c r="AP115" s="5"/>
      <c r="AQ115" s="3"/>
    </row>
    <row x14ac:dyDescent="0.25" r="116" customHeight="1" ht="12.75">
      <c r="A116" s="5" t="s">
        <v>724</v>
      </c>
      <c r="B116" s="3" t="s">
        <v>1094</v>
      </c>
      <c r="C116" s="3" t="s">
        <v>870</v>
      </c>
      <c r="D116" s="3"/>
      <c r="E116" s="3" t="s">
        <v>855</v>
      </c>
      <c r="F116" s="3" t="s">
        <v>1291</v>
      </c>
      <c r="G116" s="3" t="s">
        <v>1197</v>
      </c>
      <c r="H116" s="6">
        <v>4.458</v>
      </c>
      <c r="I116" s="6">
        <v>0.92</v>
      </c>
      <c r="J116" s="6">
        <v>3.24</v>
      </c>
      <c r="K116" s="6">
        <v>25.97</v>
      </c>
      <c r="L116" s="6">
        <v>0.81</v>
      </c>
      <c r="M116" s="6">
        <v>0.31</v>
      </c>
      <c r="N116" s="7"/>
      <c r="O116" s="23"/>
      <c r="P116" s="6"/>
      <c r="Q116" s="6"/>
      <c r="R116" s="31"/>
      <c r="S116" s="6"/>
      <c r="T116" s="31"/>
      <c r="U116" s="6"/>
      <c r="V116" s="23"/>
      <c r="W116" s="6"/>
      <c r="X116" s="6"/>
      <c r="Y116" s="5"/>
      <c r="Z116" s="3"/>
      <c r="AA116" s="6">
        <f>H116*I116/100</f>
      </c>
      <c r="AB116" s="6">
        <f>H116*J116/100</f>
      </c>
      <c r="AC116" s="7">
        <f>H116*K116</f>
      </c>
      <c r="AD116" s="7">
        <f>H116*M116</f>
      </c>
      <c r="AE116" s="6">
        <f>H116*L116/100</f>
      </c>
      <c r="AF116" s="6">
        <f>AA116+AB116+AE116</f>
      </c>
      <c r="AG116" s="6">
        <f>I116+J116+L116</f>
      </c>
      <c r="AH116" s="53">
        <f>$H116*I116</f>
      </c>
      <c r="AI116" s="53">
        <f>$H116*J116</f>
      </c>
      <c r="AJ116" s="53">
        <f>$H116*K116</f>
      </c>
      <c r="AK116" s="53">
        <f>$H116*L116</f>
      </c>
      <c r="AL116" s="53">
        <f>$H116*M116</f>
      </c>
      <c r="AM116" s="3"/>
      <c r="AN116" s="5"/>
      <c r="AO116" s="5"/>
      <c r="AP116" s="5"/>
      <c r="AQ116" s="3"/>
    </row>
    <row x14ac:dyDescent="0.25" r="117" customHeight="1" ht="12.75">
      <c r="A117" s="5" t="s">
        <v>671</v>
      </c>
      <c r="B117" s="3" t="s">
        <v>1094</v>
      </c>
      <c r="C117" s="3" t="s">
        <v>870</v>
      </c>
      <c r="D117" s="3"/>
      <c r="E117" s="3" t="s">
        <v>855</v>
      </c>
      <c r="F117" s="3" t="s">
        <v>1292</v>
      </c>
      <c r="G117" s="3" t="s">
        <v>1204</v>
      </c>
      <c r="H117" s="23">
        <v>4.867</v>
      </c>
      <c r="I117" s="6">
        <v>1.684857201561537</v>
      </c>
      <c r="J117" s="6">
        <v>0.935196219437025</v>
      </c>
      <c r="K117" s="31">
        <v>33.25518800082186</v>
      </c>
      <c r="L117" s="6">
        <v>1.208506266694062</v>
      </c>
      <c r="M117" s="6">
        <v>1.1089089788370656</v>
      </c>
      <c r="N117" s="7"/>
      <c r="O117" s="23"/>
      <c r="P117" s="6"/>
      <c r="Q117" s="6"/>
      <c r="R117" s="31"/>
      <c r="S117" s="6"/>
      <c r="T117" s="31"/>
      <c r="U117" s="6"/>
      <c r="V117" s="23"/>
      <c r="W117" s="6"/>
      <c r="X117" s="6"/>
      <c r="Y117" s="5"/>
      <c r="Z117" s="3"/>
      <c r="AA117" s="6">
        <f>H117*I117/100</f>
      </c>
      <c r="AB117" s="6">
        <f>H117*J117/100</f>
      </c>
      <c r="AC117" s="7">
        <f>H117*K117</f>
      </c>
      <c r="AD117" s="7">
        <f>H117*M117</f>
      </c>
      <c r="AE117" s="6">
        <f>H117*L117/100</f>
      </c>
      <c r="AF117" s="6">
        <f>AA117+AB117+AE117</f>
      </c>
      <c r="AG117" s="6">
        <f>I117+J117+L117</f>
      </c>
      <c r="AH117" s="53">
        <f>$H117*I117</f>
      </c>
      <c r="AI117" s="53">
        <f>$H117*J117</f>
      </c>
      <c r="AJ117" s="53">
        <f>$H117*K117</f>
      </c>
      <c r="AK117" s="53">
        <f>$H117*L117</f>
      </c>
      <c r="AL117" s="53">
        <f>$H117*M117</f>
      </c>
      <c r="AM117" s="3"/>
      <c r="AN117" s="5"/>
      <c r="AO117" s="5"/>
      <c r="AP117" s="5"/>
      <c r="AQ117" s="3"/>
    </row>
    <row x14ac:dyDescent="0.25" r="118" customHeight="1" ht="12.75">
      <c r="A118" s="5" t="s">
        <v>686</v>
      </c>
      <c r="B118" s="3" t="s">
        <v>1094</v>
      </c>
      <c r="C118" s="3" t="s">
        <v>870</v>
      </c>
      <c r="D118" s="3"/>
      <c r="E118" s="3" t="s">
        <v>855</v>
      </c>
      <c r="F118" s="3" t="s">
        <v>1293</v>
      </c>
      <c r="G118" s="3" t="s">
        <v>1201</v>
      </c>
      <c r="H118" s="6">
        <v>0.895</v>
      </c>
      <c r="I118" s="7">
        <v>0.7257206703910616</v>
      </c>
      <c r="J118" s="7">
        <v>3.9948603351955314</v>
      </c>
      <c r="K118" s="7">
        <v>11.315083798882682</v>
      </c>
      <c r="L118" s="7">
        <v>0.7974301675977653</v>
      </c>
      <c r="M118" s="6"/>
      <c r="N118" s="7"/>
      <c r="O118" s="23"/>
      <c r="P118" s="6"/>
      <c r="Q118" s="6"/>
      <c r="R118" s="31"/>
      <c r="S118" s="6"/>
      <c r="T118" s="31"/>
      <c r="U118" s="6"/>
      <c r="V118" s="23"/>
      <c r="W118" s="6"/>
      <c r="X118" s="6"/>
      <c r="Y118" s="5"/>
      <c r="Z118" s="3"/>
      <c r="AA118" s="6">
        <f>H118*I118/100</f>
      </c>
      <c r="AB118" s="6">
        <f>H118*J118/100</f>
      </c>
      <c r="AC118" s="7">
        <f>H118*K118</f>
      </c>
      <c r="AD118" s="7">
        <f>H118*M118</f>
      </c>
      <c r="AE118" s="6">
        <f>H118*L118/100</f>
      </c>
      <c r="AF118" s="6">
        <f>AA118+AB118+AE118</f>
      </c>
      <c r="AG118" s="6">
        <f>I118+J118+L118</f>
      </c>
      <c r="AH118" s="53">
        <f>$H118*I118</f>
      </c>
      <c r="AI118" s="53">
        <f>$H118*J118</f>
      </c>
      <c r="AJ118" s="53">
        <f>$H118*K118</f>
      </c>
      <c r="AK118" s="53">
        <f>$H118*L118</f>
      </c>
      <c r="AL118" s="53">
        <f>$H118*M118</f>
      </c>
      <c r="AM118" s="3"/>
      <c r="AN118" s="5"/>
      <c r="AO118" s="5"/>
      <c r="AP118" s="5"/>
      <c r="AQ118" s="3"/>
    </row>
    <row x14ac:dyDescent="0.25" r="119" customHeight="1" ht="12.75">
      <c r="A119" s="5" t="s">
        <v>625</v>
      </c>
      <c r="B119" s="3" t="s">
        <v>1094</v>
      </c>
      <c r="C119" s="3" t="s">
        <v>866</v>
      </c>
      <c r="D119" s="3" t="s">
        <v>988</v>
      </c>
      <c r="E119" s="3" t="s">
        <v>855</v>
      </c>
      <c r="F119" s="3" t="s">
        <v>1294</v>
      </c>
      <c r="G119" s="3" t="s">
        <v>1204</v>
      </c>
      <c r="H119" s="23">
        <v>8.852</v>
      </c>
      <c r="I119" s="6">
        <v>3.4649062358788973</v>
      </c>
      <c r="J119" s="6">
        <v>1.4796825576140984</v>
      </c>
      <c r="K119" s="5"/>
      <c r="L119" s="6"/>
      <c r="M119" s="6"/>
      <c r="N119" s="7"/>
      <c r="O119" s="23"/>
      <c r="P119" s="6"/>
      <c r="Q119" s="6"/>
      <c r="R119" s="31"/>
      <c r="S119" s="6"/>
      <c r="T119" s="31"/>
      <c r="U119" s="6"/>
      <c r="V119" s="23"/>
      <c r="W119" s="6"/>
      <c r="X119" s="6"/>
      <c r="Y119" s="5"/>
      <c r="Z119" s="3"/>
      <c r="AA119" s="6">
        <f>H119*I119/100</f>
      </c>
      <c r="AB119" s="6">
        <f>H119*J119/100</f>
      </c>
      <c r="AC119" s="7">
        <f>H119*K119</f>
      </c>
      <c r="AD119" s="7">
        <f>H119*M119</f>
      </c>
      <c r="AE119" s="6">
        <f>H119*L119/100</f>
      </c>
      <c r="AF119" s="6">
        <f>AA119+AB119+AE119</f>
      </c>
      <c r="AG119" s="6">
        <f>I119+J119+L119</f>
      </c>
      <c r="AH119" s="53">
        <f>$H119*I119</f>
      </c>
      <c r="AI119" s="53">
        <f>$H119*J119</f>
      </c>
      <c r="AJ119" s="53">
        <f>$H119*K119</f>
      </c>
      <c r="AK119" s="53">
        <f>$H119*L119</f>
      </c>
      <c r="AL119" s="53">
        <f>$H119*M119</f>
      </c>
      <c r="AM119" s="3"/>
      <c r="AN119" s="5"/>
      <c r="AO119" s="5"/>
      <c r="AP119" s="5"/>
      <c r="AQ119" s="3"/>
    </row>
    <row x14ac:dyDescent="0.25" r="120" customHeight="1" ht="12.75">
      <c r="A120" s="5" t="s">
        <v>790</v>
      </c>
      <c r="B120" s="3" t="s">
        <v>1094</v>
      </c>
      <c r="C120" s="3" t="s">
        <v>856</v>
      </c>
      <c r="D120" s="3" t="s">
        <v>931</v>
      </c>
      <c r="E120" s="3" t="s">
        <v>855</v>
      </c>
      <c r="F120" s="3" t="s">
        <v>1295</v>
      </c>
      <c r="G120" s="3" t="s">
        <v>1296</v>
      </c>
      <c r="H120" s="6">
        <v>5.9</v>
      </c>
      <c r="I120" s="6">
        <v>0.6</v>
      </c>
      <c r="J120" s="6"/>
      <c r="K120" s="5">
        <v>110</v>
      </c>
      <c r="L120" s="6"/>
      <c r="M120" s="6"/>
      <c r="N120" s="7"/>
      <c r="O120" s="23"/>
      <c r="P120" s="6"/>
      <c r="Q120" s="6"/>
      <c r="R120" s="31"/>
      <c r="S120" s="6"/>
      <c r="T120" s="31"/>
      <c r="U120" s="6"/>
      <c r="V120" s="23"/>
      <c r="W120" s="6"/>
      <c r="X120" s="6"/>
      <c r="Y120" s="5"/>
      <c r="Z120" s="3"/>
      <c r="AA120" s="6">
        <f>H120*I120/100</f>
      </c>
      <c r="AB120" s="6">
        <f>H120*J120/100</f>
      </c>
      <c r="AC120" s="7">
        <f>H120*K120</f>
      </c>
      <c r="AD120" s="7">
        <f>H120*M120</f>
      </c>
      <c r="AE120" s="6">
        <f>H120*L120/100</f>
      </c>
      <c r="AF120" s="6">
        <f>AA120+AB120+AE120</f>
      </c>
      <c r="AG120" s="6">
        <f>I120+J120+L120</f>
      </c>
      <c r="AH120" s="53">
        <f>$H120*I120</f>
      </c>
      <c r="AI120" s="53">
        <f>$H120*J120</f>
      </c>
      <c r="AJ120" s="53">
        <f>$H120*K120</f>
      </c>
      <c r="AK120" s="53">
        <f>$H120*L120</f>
      </c>
      <c r="AL120" s="53">
        <f>$H120*M120</f>
      </c>
      <c r="AM120" s="3"/>
      <c r="AN120" s="5"/>
      <c r="AO120" s="5"/>
      <c r="AP120" s="5"/>
      <c r="AQ120" s="3"/>
    </row>
    <row x14ac:dyDescent="0.25" r="121" customHeight="1" ht="12.75">
      <c r="A121" s="5" t="s">
        <v>598</v>
      </c>
      <c r="B121" s="3" t="s">
        <v>1094</v>
      </c>
      <c r="C121" s="3" t="s">
        <v>870</v>
      </c>
      <c r="D121" s="3"/>
      <c r="E121" s="3" t="s">
        <v>855</v>
      </c>
      <c r="F121" s="3" t="s">
        <v>1297</v>
      </c>
      <c r="G121" s="3" t="s">
        <v>1203</v>
      </c>
      <c r="H121" s="6">
        <v>2.98</v>
      </c>
      <c r="I121" s="6">
        <v>1.588</v>
      </c>
      <c r="J121" s="6">
        <v>4.94</v>
      </c>
      <c r="K121" s="5">
        <v>15</v>
      </c>
      <c r="L121" s="6"/>
      <c r="M121" s="6"/>
      <c r="N121" s="7"/>
      <c r="O121" s="23"/>
      <c r="P121" s="6"/>
      <c r="Q121" s="6"/>
      <c r="R121" s="31"/>
      <c r="S121" s="6"/>
      <c r="T121" s="31"/>
      <c r="U121" s="6"/>
      <c r="V121" s="23"/>
      <c r="W121" s="6"/>
      <c r="X121" s="6"/>
      <c r="Y121" s="5"/>
      <c r="Z121" s="3"/>
      <c r="AA121" s="6">
        <f>H121*I121/100</f>
      </c>
      <c r="AB121" s="6">
        <f>H121*J121/100</f>
      </c>
      <c r="AC121" s="7">
        <f>H121*K121</f>
      </c>
      <c r="AD121" s="7">
        <f>H121*M121</f>
      </c>
      <c r="AE121" s="6">
        <f>H121*L121/100</f>
      </c>
      <c r="AF121" s="6">
        <f>AA121+AB121+AE121</f>
      </c>
      <c r="AG121" s="6">
        <f>I121+J121+L121</f>
      </c>
      <c r="AH121" s="53">
        <f>$H121*I121</f>
      </c>
      <c r="AI121" s="53">
        <f>$H121*J121</f>
      </c>
      <c r="AJ121" s="53">
        <f>$H121*K121</f>
      </c>
      <c r="AK121" s="53">
        <f>$H121*L121</f>
      </c>
      <c r="AL121" s="53">
        <f>$H121*M121</f>
      </c>
      <c r="AM121" s="3"/>
      <c r="AN121" s="5"/>
      <c r="AO121" s="5"/>
      <c r="AP121" s="5"/>
      <c r="AQ121" s="3"/>
    </row>
    <row x14ac:dyDescent="0.25" r="122" customHeight="1" ht="12.75">
      <c r="A122" s="5" t="s">
        <v>370</v>
      </c>
      <c r="B122" s="3" t="s">
        <v>1094</v>
      </c>
      <c r="C122" s="3" t="s">
        <v>870</v>
      </c>
      <c r="D122" s="3"/>
      <c r="E122" s="3" t="s">
        <v>855</v>
      </c>
      <c r="F122" s="3" t="s">
        <v>1242</v>
      </c>
      <c r="G122" s="3" t="s">
        <v>1204</v>
      </c>
      <c r="H122" s="6">
        <v>0.6800000000000002</v>
      </c>
      <c r="I122" s="7">
        <v>2.45</v>
      </c>
      <c r="J122" s="7">
        <v>4.935294117647058</v>
      </c>
      <c r="K122" s="31">
        <v>78.99999999999999</v>
      </c>
      <c r="L122" s="7">
        <v>1.2058823529411762</v>
      </c>
      <c r="M122" s="7">
        <v>0.688235294117647</v>
      </c>
      <c r="N122" s="7"/>
      <c r="O122" s="23"/>
      <c r="P122" s="6"/>
      <c r="Q122" s="6"/>
      <c r="R122" s="31"/>
      <c r="S122" s="6"/>
      <c r="T122" s="31"/>
      <c r="U122" s="6"/>
      <c r="V122" s="23"/>
      <c r="W122" s="6"/>
      <c r="X122" s="6"/>
      <c r="Y122" s="5"/>
      <c r="Z122" s="3"/>
      <c r="AA122" s="6">
        <f>H122*I122/100</f>
      </c>
      <c r="AB122" s="6">
        <f>H122*J122/100</f>
      </c>
      <c r="AC122" s="7">
        <f>H122*K122</f>
      </c>
      <c r="AD122" s="7">
        <f>H122*M122</f>
      </c>
      <c r="AE122" s="6">
        <f>H122*L122/100</f>
      </c>
      <c r="AF122" s="6">
        <f>AA122+AB122+AE122</f>
      </c>
      <c r="AG122" s="6">
        <f>I122+J122+L122</f>
      </c>
      <c r="AH122" s="53">
        <f>$H122*I122</f>
      </c>
      <c r="AI122" s="53">
        <f>$H122*J122</f>
      </c>
      <c r="AJ122" s="53">
        <f>$H122*K122</f>
      </c>
      <c r="AK122" s="53">
        <f>$H122*L122</f>
      </c>
      <c r="AL122" s="53">
        <f>$H122*M122</f>
      </c>
      <c r="AM122" s="3"/>
      <c r="AN122" s="5"/>
      <c r="AO122" s="5"/>
      <c r="AP122" s="5"/>
      <c r="AQ122" s="3"/>
    </row>
    <row x14ac:dyDescent="0.25" r="123" customHeight="1" ht="12.75">
      <c r="A123" s="5" t="s">
        <v>713</v>
      </c>
      <c r="B123" s="3" t="s">
        <v>1094</v>
      </c>
      <c r="C123" s="3" t="s">
        <v>869</v>
      </c>
      <c r="D123" s="3"/>
      <c r="E123" s="3" t="s">
        <v>855</v>
      </c>
      <c r="F123" s="3" t="s">
        <v>1252</v>
      </c>
      <c r="G123" s="3" t="s">
        <v>1273</v>
      </c>
      <c r="H123" s="6">
        <v>1.59</v>
      </c>
      <c r="I123" s="6">
        <v>0.1</v>
      </c>
      <c r="J123" s="6">
        <v>4.5</v>
      </c>
      <c r="K123" s="5">
        <v>11</v>
      </c>
      <c r="L123" s="6">
        <v>0.6</v>
      </c>
      <c r="M123" s="6"/>
      <c r="N123" s="7"/>
      <c r="O123" s="23"/>
      <c r="P123" s="6"/>
      <c r="Q123" s="6"/>
      <c r="R123" s="31"/>
      <c r="S123" s="6"/>
      <c r="T123" s="31"/>
      <c r="U123" s="6"/>
      <c r="V123" s="23"/>
      <c r="W123" s="6"/>
      <c r="X123" s="6"/>
      <c r="Y123" s="5"/>
      <c r="Z123" s="3"/>
      <c r="AA123" s="6">
        <f>H123*I123/100</f>
      </c>
      <c r="AB123" s="6">
        <f>H123*J123/100</f>
      </c>
      <c r="AC123" s="7">
        <f>H123*K123</f>
      </c>
      <c r="AD123" s="7">
        <f>H123*M123</f>
      </c>
      <c r="AE123" s="6">
        <f>H123*L123/100</f>
      </c>
      <c r="AF123" s="6">
        <f>AA123+AB123+AE123</f>
      </c>
      <c r="AG123" s="6">
        <f>I123+J123+L123</f>
      </c>
      <c r="AH123" s="53">
        <f>$H123*I123</f>
      </c>
      <c r="AI123" s="53">
        <f>$H123*J123</f>
      </c>
      <c r="AJ123" s="53">
        <f>$H123*K123</f>
      </c>
      <c r="AK123" s="53">
        <f>$H123*L123</f>
      </c>
      <c r="AL123" s="53">
        <f>$H123*M123</f>
      </c>
      <c r="AM123" s="3"/>
      <c r="AN123" s="5"/>
      <c r="AO123" s="5"/>
      <c r="AP123" s="5"/>
      <c r="AQ123" s="3"/>
    </row>
    <row x14ac:dyDescent="0.25" r="124" customHeight="1" ht="12.75">
      <c r="A124" s="5" t="s">
        <v>825</v>
      </c>
      <c r="B124" s="3" t="s">
        <v>1094</v>
      </c>
      <c r="C124" s="3" t="s">
        <v>870</v>
      </c>
      <c r="D124" s="3"/>
      <c r="E124" s="3" t="s">
        <v>855</v>
      </c>
      <c r="F124" s="3" t="s">
        <v>1298</v>
      </c>
      <c r="G124" s="3" t="s">
        <v>1201</v>
      </c>
      <c r="H124" s="6">
        <v>1.48</v>
      </c>
      <c r="I124" s="6"/>
      <c r="J124" s="6">
        <v>1.39</v>
      </c>
      <c r="K124" s="6">
        <v>3.31</v>
      </c>
      <c r="L124" s="6">
        <v>1.02</v>
      </c>
      <c r="M124" s="6">
        <v>0.24</v>
      </c>
      <c r="N124" s="7"/>
      <c r="O124" s="23"/>
      <c r="P124" s="6"/>
      <c r="Q124" s="6"/>
      <c r="R124" s="31"/>
      <c r="S124" s="6"/>
      <c r="T124" s="31"/>
      <c r="U124" s="6"/>
      <c r="V124" s="23"/>
      <c r="W124" s="6"/>
      <c r="X124" s="6"/>
      <c r="Y124" s="5"/>
      <c r="Z124" s="3"/>
      <c r="AA124" s="6">
        <f>H124*I124/100</f>
      </c>
      <c r="AB124" s="6">
        <f>H124*J124/100</f>
      </c>
      <c r="AC124" s="7">
        <f>H124*K124</f>
      </c>
      <c r="AD124" s="7">
        <f>H124*M124</f>
      </c>
      <c r="AE124" s="6">
        <f>H124*L124/100</f>
      </c>
      <c r="AF124" s="6">
        <f>AA124+AB124+AE124</f>
      </c>
      <c r="AG124" s="6">
        <f>I124+J124+L124</f>
      </c>
      <c r="AH124" s="53">
        <f>$H124*I124</f>
      </c>
      <c r="AI124" s="53">
        <f>$H124*J124</f>
      </c>
      <c r="AJ124" s="53">
        <f>$H124*K124</f>
      </c>
      <c r="AK124" s="53">
        <f>$H124*L124</f>
      </c>
      <c r="AL124" s="53">
        <f>$H124*M124</f>
      </c>
      <c r="AM124" s="3"/>
      <c r="AN124" s="5"/>
      <c r="AO124" s="5"/>
      <c r="AP124" s="5"/>
      <c r="AQ124" s="3"/>
    </row>
    <row x14ac:dyDescent="0.25" r="125" customHeight="1" ht="12.75">
      <c r="A125" s="5" t="s">
        <v>753</v>
      </c>
      <c r="B125" s="3" t="s">
        <v>1094</v>
      </c>
      <c r="C125" s="3" t="s">
        <v>869</v>
      </c>
      <c r="D125" s="3"/>
      <c r="E125" s="3" t="s">
        <v>855</v>
      </c>
      <c r="F125" s="3" t="s">
        <v>1252</v>
      </c>
      <c r="G125" s="3" t="s">
        <v>1253</v>
      </c>
      <c r="H125" s="6">
        <v>0.9</v>
      </c>
      <c r="I125" s="6">
        <v>0.9</v>
      </c>
      <c r="J125" s="6">
        <v>3.4</v>
      </c>
      <c r="K125" s="7">
        <v>16</v>
      </c>
      <c r="L125" s="6">
        <v>0.2</v>
      </c>
      <c r="M125" s="6"/>
      <c r="N125" s="7"/>
      <c r="O125" s="23"/>
      <c r="P125" s="6"/>
      <c r="Q125" s="6"/>
      <c r="R125" s="31"/>
      <c r="S125" s="6"/>
      <c r="T125" s="31"/>
      <c r="U125" s="6"/>
      <c r="V125" s="23"/>
      <c r="W125" s="6"/>
      <c r="X125" s="6"/>
      <c r="Y125" s="5"/>
      <c r="Z125" s="3"/>
      <c r="AA125" s="6">
        <f>H125*I125/100</f>
      </c>
      <c r="AB125" s="6">
        <f>H125*J125/100</f>
      </c>
      <c r="AC125" s="7">
        <f>H125*K125</f>
      </c>
      <c r="AD125" s="7">
        <f>H125*M125</f>
      </c>
      <c r="AE125" s="6">
        <f>H125*L125/100</f>
      </c>
      <c r="AF125" s="6">
        <f>AA125+AB125+AE125</f>
      </c>
      <c r="AG125" s="6">
        <f>I125+J125+L125</f>
      </c>
      <c r="AH125" s="53">
        <f>$H125*I125</f>
      </c>
      <c r="AI125" s="53">
        <f>$H125*J125</f>
      </c>
      <c r="AJ125" s="53">
        <f>$H125*K125</f>
      </c>
      <c r="AK125" s="53">
        <f>$H125*L125</f>
      </c>
      <c r="AL125" s="53">
        <f>$H125*M125</f>
      </c>
      <c r="AM125" s="3"/>
      <c r="AN125" s="5"/>
      <c r="AO125" s="5"/>
      <c r="AP125" s="5"/>
      <c r="AQ125" s="3"/>
    </row>
    <row x14ac:dyDescent="0.25" r="126" customHeight="1" ht="12.75">
      <c r="A126" s="5" t="s">
        <v>808</v>
      </c>
      <c r="B126" s="3" t="s">
        <v>1094</v>
      </c>
      <c r="C126" s="3" t="s">
        <v>856</v>
      </c>
      <c r="D126" s="3" t="s">
        <v>929</v>
      </c>
      <c r="E126" s="3" t="s">
        <v>855</v>
      </c>
      <c r="F126" s="3" t="s">
        <v>1299</v>
      </c>
      <c r="G126" s="3" t="s">
        <v>1203</v>
      </c>
      <c r="H126" s="6">
        <v>0.131</v>
      </c>
      <c r="I126" s="7">
        <v>1.8854961832061068</v>
      </c>
      <c r="J126" s="6"/>
      <c r="K126" s="7">
        <v>4.580152671755725</v>
      </c>
      <c r="L126" s="7">
        <v>1.3893129770992365</v>
      </c>
      <c r="M126" s="6"/>
      <c r="N126" s="7"/>
      <c r="O126" s="23"/>
      <c r="P126" s="6"/>
      <c r="Q126" s="6"/>
      <c r="R126" s="31"/>
      <c r="S126" s="6"/>
      <c r="T126" s="31"/>
      <c r="U126" s="6"/>
      <c r="V126" s="23"/>
      <c r="W126" s="6"/>
      <c r="X126" s="6"/>
      <c r="Y126" s="5"/>
      <c r="Z126" s="3"/>
      <c r="AA126" s="6">
        <f>H126*I126/100</f>
      </c>
      <c r="AB126" s="6">
        <f>H126*J126/100</f>
      </c>
      <c r="AC126" s="7">
        <f>H126*K126</f>
      </c>
      <c r="AD126" s="7">
        <f>H126*M126</f>
      </c>
      <c r="AE126" s="6">
        <f>H126*L126/100</f>
      </c>
      <c r="AF126" s="6">
        <f>AA126+AB126+AE126</f>
      </c>
      <c r="AG126" s="6">
        <f>I126+J126+L126</f>
      </c>
      <c r="AH126" s="53">
        <f>$H126*I126</f>
      </c>
      <c r="AI126" s="53">
        <f>$H126*J126</f>
      </c>
      <c r="AJ126" s="53">
        <f>$H126*K126</f>
      </c>
      <c r="AK126" s="53">
        <f>$H126*L126</f>
      </c>
      <c r="AL126" s="53">
        <f>$H126*M126</f>
      </c>
      <c r="AM126" s="3"/>
      <c r="AN126" s="5"/>
      <c r="AO126" s="5"/>
      <c r="AP126" s="5"/>
      <c r="AQ126" s="3"/>
    </row>
    <row x14ac:dyDescent="0.25" r="127" customHeight="1" ht="12.75">
      <c r="A127" s="5" t="s">
        <v>669</v>
      </c>
      <c r="B127" s="3" t="s">
        <v>1094</v>
      </c>
      <c r="C127" s="3" t="s">
        <v>869</v>
      </c>
      <c r="D127" s="3"/>
      <c r="E127" s="3" t="s">
        <v>855</v>
      </c>
      <c r="F127" s="3" t="s">
        <v>1196</v>
      </c>
      <c r="G127" s="3" t="s">
        <v>1300</v>
      </c>
      <c r="H127" s="23">
        <v>3.832</v>
      </c>
      <c r="I127" s="6">
        <v>0.19697286012526097</v>
      </c>
      <c r="J127" s="6">
        <v>4.800156576200418</v>
      </c>
      <c r="K127" s="31">
        <v>19.008350730688935</v>
      </c>
      <c r="L127" s="6">
        <v>0.7568893528183716</v>
      </c>
      <c r="M127" s="6">
        <v>0.0644572025052192</v>
      </c>
      <c r="N127" s="7"/>
      <c r="O127" s="23"/>
      <c r="P127" s="6"/>
      <c r="Q127" s="6"/>
      <c r="R127" s="31"/>
      <c r="S127" s="6"/>
      <c r="T127" s="31"/>
      <c r="U127" s="6"/>
      <c r="V127" s="23"/>
      <c r="W127" s="6"/>
      <c r="X127" s="6"/>
      <c r="Y127" s="5"/>
      <c r="Z127" s="3"/>
      <c r="AA127" s="6">
        <f>H127*I127/100</f>
      </c>
      <c r="AB127" s="6">
        <f>H127*J127/100</f>
      </c>
      <c r="AC127" s="7">
        <f>H127*K127</f>
      </c>
      <c r="AD127" s="7">
        <f>H127*M127</f>
      </c>
      <c r="AE127" s="6">
        <f>H127*L127/100</f>
      </c>
      <c r="AF127" s="6">
        <f>AA127+AB127+AE127</f>
      </c>
      <c r="AG127" s="6">
        <f>I127+J127+L127</f>
      </c>
      <c r="AH127" s="53">
        <f>$H127*I127</f>
      </c>
      <c r="AI127" s="53">
        <f>$H127*J127</f>
      </c>
      <c r="AJ127" s="53">
        <f>$H127*K127</f>
      </c>
      <c r="AK127" s="53">
        <f>$H127*L127</f>
      </c>
      <c r="AL127" s="53">
        <f>$H127*M127</f>
      </c>
      <c r="AM127" s="3"/>
      <c r="AN127" s="5"/>
      <c r="AO127" s="5"/>
      <c r="AP127" s="5"/>
      <c r="AQ127" s="3"/>
    </row>
    <row x14ac:dyDescent="0.25" r="128" customHeight="1" ht="12.75">
      <c r="A128" s="5" t="s">
        <v>149</v>
      </c>
      <c r="B128" s="3" t="s">
        <v>1094</v>
      </c>
      <c r="C128" s="3" t="s">
        <v>870</v>
      </c>
      <c r="D128" s="3"/>
      <c r="E128" s="3" t="s">
        <v>855</v>
      </c>
      <c r="F128" s="3" t="s">
        <v>1230</v>
      </c>
      <c r="G128" s="3" t="s">
        <v>1204</v>
      </c>
      <c r="H128" s="6">
        <v>19.1</v>
      </c>
      <c r="I128" s="7">
        <v>3.493717277486912</v>
      </c>
      <c r="J128" s="7">
        <v>11.002094240837696</v>
      </c>
      <c r="K128" s="31">
        <v>121.46596858638742</v>
      </c>
      <c r="L128" s="7">
        <v>0.4172774869109947</v>
      </c>
      <c r="M128" s="7">
        <v>1.7418848167539267</v>
      </c>
      <c r="N128" s="7"/>
      <c r="O128" s="23"/>
      <c r="P128" s="6"/>
      <c r="Q128" s="6"/>
      <c r="R128" s="31"/>
      <c r="S128" s="6"/>
      <c r="T128" s="31"/>
      <c r="U128" s="6"/>
      <c r="V128" s="23"/>
      <c r="W128" s="6"/>
      <c r="X128" s="6"/>
      <c r="Y128" s="5"/>
      <c r="Z128" s="3"/>
      <c r="AA128" s="6">
        <f>H128*I128/100</f>
      </c>
      <c r="AB128" s="6">
        <f>H128*J128/100</f>
      </c>
      <c r="AC128" s="7">
        <f>H128*K128</f>
      </c>
      <c r="AD128" s="7">
        <f>H128*M128</f>
      </c>
      <c r="AE128" s="6">
        <f>H128*L128/100</f>
      </c>
      <c r="AF128" s="6">
        <f>AA128+AB128+AE128</f>
      </c>
      <c r="AG128" s="6">
        <f>I128+J128+L128</f>
      </c>
      <c r="AH128" s="53">
        <f>$H128*I128</f>
      </c>
      <c r="AI128" s="53">
        <f>$H128*J128</f>
      </c>
      <c r="AJ128" s="53">
        <f>$H128*K128</f>
      </c>
      <c r="AK128" s="53">
        <f>$H128*L128</f>
      </c>
      <c r="AL128" s="53">
        <f>$H128*M128</f>
      </c>
      <c r="AM128" s="3"/>
      <c r="AN128" s="5"/>
      <c r="AO128" s="5"/>
      <c r="AP128" s="5"/>
      <c r="AQ128" s="3"/>
    </row>
    <row x14ac:dyDescent="0.25" r="129" customHeight="1" ht="12.75">
      <c r="A129" s="5" t="s">
        <v>271</v>
      </c>
      <c r="B129" s="3" t="s">
        <v>1094</v>
      </c>
      <c r="C129" s="3" t="s">
        <v>870</v>
      </c>
      <c r="D129" s="3"/>
      <c r="E129" s="3" t="s">
        <v>855</v>
      </c>
      <c r="F129" s="3" t="s">
        <v>1256</v>
      </c>
      <c r="G129" s="3" t="s">
        <v>1204</v>
      </c>
      <c r="H129" s="6">
        <v>1.003</v>
      </c>
      <c r="I129" s="6">
        <v>2.1</v>
      </c>
      <c r="J129" s="7">
        <v>7</v>
      </c>
      <c r="K129" s="7">
        <v>52</v>
      </c>
      <c r="L129" s="7">
        <v>2</v>
      </c>
      <c r="M129" s="6">
        <v>0.3</v>
      </c>
      <c r="N129" s="7"/>
      <c r="O129" s="23"/>
      <c r="P129" s="6"/>
      <c r="Q129" s="6"/>
      <c r="R129" s="31"/>
      <c r="S129" s="6"/>
      <c r="T129" s="31"/>
      <c r="U129" s="6"/>
      <c r="V129" s="23"/>
      <c r="W129" s="6"/>
      <c r="X129" s="6"/>
      <c r="Y129" s="5"/>
      <c r="Z129" s="3"/>
      <c r="AA129" s="6">
        <f>H129*I129/100</f>
      </c>
      <c r="AB129" s="6">
        <f>H129*J129/100</f>
      </c>
      <c r="AC129" s="7">
        <f>H129*K129</f>
      </c>
      <c r="AD129" s="7">
        <f>H129*M129</f>
      </c>
      <c r="AE129" s="6">
        <f>H129*L129/100</f>
      </c>
      <c r="AF129" s="6">
        <f>AA129+AB129+AE129</f>
      </c>
      <c r="AG129" s="6">
        <f>I129+J129+L129</f>
      </c>
      <c r="AH129" s="53">
        <f>$H129*I129</f>
      </c>
      <c r="AI129" s="53">
        <f>$H129*J129</f>
      </c>
      <c r="AJ129" s="53">
        <f>$H129*K129</f>
      </c>
      <c r="AK129" s="53">
        <f>$H129*L129</f>
      </c>
      <c r="AL129" s="53">
        <f>$H129*M129</f>
      </c>
      <c r="AM129" s="3"/>
      <c r="AN129" s="5"/>
      <c r="AO129" s="5"/>
      <c r="AP129" s="5"/>
      <c r="AQ129" s="3"/>
    </row>
    <row x14ac:dyDescent="0.25" r="130" customHeight="1" ht="12.75">
      <c r="A130" s="5" t="s">
        <v>618</v>
      </c>
      <c r="B130" s="3" t="s">
        <v>1094</v>
      </c>
      <c r="C130" s="3" t="s">
        <v>870</v>
      </c>
      <c r="D130" s="3"/>
      <c r="E130" s="3" t="s">
        <v>855</v>
      </c>
      <c r="F130" s="3" t="s">
        <v>1291</v>
      </c>
      <c r="G130" s="3" t="s">
        <v>1197</v>
      </c>
      <c r="H130" s="6">
        <v>3.53</v>
      </c>
      <c r="I130" s="6"/>
      <c r="J130" s="6">
        <v>4.050991501416431</v>
      </c>
      <c r="K130" s="31">
        <v>19.416430594900852</v>
      </c>
      <c r="L130" s="6">
        <v>1.6297450424929176</v>
      </c>
      <c r="M130" s="6">
        <v>0.26974504249291786</v>
      </c>
      <c r="N130" s="7"/>
      <c r="O130" s="23"/>
      <c r="P130" s="6"/>
      <c r="Q130" s="6"/>
      <c r="R130" s="31"/>
      <c r="S130" s="6"/>
      <c r="T130" s="31"/>
      <c r="U130" s="6"/>
      <c r="V130" s="23"/>
      <c r="W130" s="6"/>
      <c r="X130" s="6"/>
      <c r="Y130" s="5"/>
      <c r="Z130" s="3"/>
      <c r="AA130" s="6">
        <f>H130*I130/100</f>
      </c>
      <c r="AB130" s="6">
        <f>H130*J130/100</f>
      </c>
      <c r="AC130" s="7">
        <f>H130*K130</f>
      </c>
      <c r="AD130" s="7">
        <f>H130*M130</f>
      </c>
      <c r="AE130" s="6">
        <f>H130*L130/100</f>
      </c>
      <c r="AF130" s="6">
        <f>AA130+AB130+AE130</f>
      </c>
      <c r="AG130" s="6">
        <f>I130+J130+L130</f>
      </c>
      <c r="AH130" s="53">
        <f>$H130*I130</f>
      </c>
      <c r="AI130" s="53">
        <f>$H130*J130</f>
      </c>
      <c r="AJ130" s="53">
        <f>$H130*K130</f>
      </c>
      <c r="AK130" s="53">
        <f>$H130*L130</f>
      </c>
      <c r="AL130" s="53">
        <f>$H130*M130</f>
      </c>
      <c r="AM130" s="3"/>
      <c r="AN130" s="5"/>
      <c r="AO130" s="5"/>
      <c r="AP130" s="5"/>
      <c r="AQ130" s="3"/>
    </row>
    <row x14ac:dyDescent="0.25" r="131" customHeight="1" ht="12.75">
      <c r="A131" s="5" t="s">
        <v>572</v>
      </c>
      <c r="B131" s="3" t="s">
        <v>1094</v>
      </c>
      <c r="C131" s="3" t="s">
        <v>866</v>
      </c>
      <c r="D131" s="3"/>
      <c r="E131" s="3" t="s">
        <v>855</v>
      </c>
      <c r="F131" s="3" t="s">
        <v>1301</v>
      </c>
      <c r="G131" s="3" t="s">
        <v>1201</v>
      </c>
      <c r="H131" s="6">
        <v>24.381</v>
      </c>
      <c r="I131" s="6">
        <v>0.45</v>
      </c>
      <c r="J131" s="6">
        <v>1.81</v>
      </c>
      <c r="K131" s="6">
        <v>4.57</v>
      </c>
      <c r="L131" s="6"/>
      <c r="M131" s="6"/>
      <c r="N131" s="7"/>
      <c r="O131" s="23"/>
      <c r="P131" s="6"/>
      <c r="Q131" s="6"/>
      <c r="R131" s="31"/>
      <c r="S131" s="6"/>
      <c r="T131" s="31"/>
      <c r="U131" s="6"/>
      <c r="V131" s="23"/>
      <c r="W131" s="6"/>
      <c r="X131" s="6"/>
      <c r="Y131" s="5"/>
      <c r="Z131" s="3"/>
      <c r="AA131" s="6">
        <f>H131*I131/100</f>
      </c>
      <c r="AB131" s="6">
        <f>H131*J131/100</f>
      </c>
      <c r="AC131" s="7">
        <f>H131*K131</f>
      </c>
      <c r="AD131" s="7">
        <f>H131*M131</f>
      </c>
      <c r="AE131" s="6">
        <f>H131*L131/100</f>
      </c>
      <c r="AF131" s="6">
        <f>AA131+AB131+AE131</f>
      </c>
      <c r="AG131" s="6">
        <f>I131+J131+L131</f>
      </c>
      <c r="AH131" s="53">
        <f>$H131*I131</f>
      </c>
      <c r="AI131" s="53">
        <f>$H131*J131</f>
      </c>
      <c r="AJ131" s="53">
        <f>$H131*K131</f>
      </c>
      <c r="AK131" s="53">
        <f>$H131*L131</f>
      </c>
      <c r="AL131" s="53">
        <f>$H131*M131</f>
      </c>
      <c r="AM131" s="3"/>
      <c r="AN131" s="5"/>
      <c r="AO131" s="5"/>
      <c r="AP131" s="5"/>
      <c r="AQ131" s="3"/>
    </row>
    <row x14ac:dyDescent="0.25" r="132" customHeight="1" ht="12.75">
      <c r="A132" s="5" t="s">
        <v>73</v>
      </c>
      <c r="B132" s="3" t="s">
        <v>1094</v>
      </c>
      <c r="C132" s="3" t="s">
        <v>866</v>
      </c>
      <c r="D132" s="3" t="s">
        <v>988</v>
      </c>
      <c r="E132" s="3" t="s">
        <v>855</v>
      </c>
      <c r="F132" s="3" t="s">
        <v>1230</v>
      </c>
      <c r="G132" s="3" t="s">
        <v>1201</v>
      </c>
      <c r="H132" s="6">
        <v>1.6</v>
      </c>
      <c r="I132" s="6">
        <v>13.9</v>
      </c>
      <c r="J132" s="6">
        <v>5.1</v>
      </c>
      <c r="K132" s="5">
        <v>157</v>
      </c>
      <c r="L132" s="6"/>
      <c r="M132" s="6"/>
      <c r="N132" s="7"/>
      <c r="O132" s="23"/>
      <c r="P132" s="6"/>
      <c r="Q132" s="6"/>
      <c r="R132" s="31"/>
      <c r="S132" s="6"/>
      <c r="T132" s="31"/>
      <c r="U132" s="6"/>
      <c r="V132" s="23"/>
      <c r="W132" s="6"/>
      <c r="X132" s="6"/>
      <c r="Y132" s="5"/>
      <c r="Z132" s="3"/>
      <c r="AA132" s="6">
        <f>H132*I132/100</f>
      </c>
      <c r="AB132" s="6">
        <f>H132*J132/100</f>
      </c>
      <c r="AC132" s="7">
        <f>H132*K132</f>
      </c>
      <c r="AD132" s="7">
        <f>H132*M132</f>
      </c>
      <c r="AE132" s="6">
        <f>H132*L132/100</f>
      </c>
      <c r="AF132" s="6">
        <f>AA132+AB132+AE132</f>
      </c>
      <c r="AG132" s="6">
        <f>I132+J132+L132</f>
      </c>
      <c r="AH132" s="53">
        <f>$H132*I132</f>
      </c>
      <c r="AI132" s="53">
        <f>$H132*J132</f>
      </c>
      <c r="AJ132" s="53">
        <f>$H132*K132</f>
      </c>
      <c r="AK132" s="53">
        <f>$H132*L132</f>
      </c>
      <c r="AL132" s="53">
        <f>$H132*M132</f>
      </c>
      <c r="AM132" s="3"/>
      <c r="AN132" s="5"/>
      <c r="AO132" s="5"/>
      <c r="AP132" s="5"/>
      <c r="AQ132" s="3"/>
    </row>
    <row x14ac:dyDescent="0.25" r="133" customHeight="1" ht="12.75">
      <c r="A133" s="5" t="s">
        <v>459</v>
      </c>
      <c r="B133" s="3" t="s">
        <v>1094</v>
      </c>
      <c r="C133" s="3" t="s">
        <v>866</v>
      </c>
      <c r="D133" s="3" t="s">
        <v>989</v>
      </c>
      <c r="E133" s="3" t="s">
        <v>855</v>
      </c>
      <c r="F133" s="3" t="s">
        <v>1292</v>
      </c>
      <c r="G133" s="3" t="s">
        <v>1204</v>
      </c>
      <c r="H133" s="6">
        <v>16.7</v>
      </c>
      <c r="I133" s="6">
        <v>4.5</v>
      </c>
      <c r="J133" s="6">
        <v>0.7</v>
      </c>
      <c r="K133" s="5">
        <v>52</v>
      </c>
      <c r="L133" s="6"/>
      <c r="M133" s="6"/>
      <c r="N133" s="7"/>
      <c r="O133" s="23"/>
      <c r="P133" s="6"/>
      <c r="Q133" s="6"/>
      <c r="R133" s="31"/>
      <c r="S133" s="6"/>
      <c r="T133" s="31"/>
      <c r="U133" s="6"/>
      <c r="V133" s="23"/>
      <c r="W133" s="6"/>
      <c r="X133" s="6"/>
      <c r="Y133" s="5"/>
      <c r="Z133" s="3"/>
      <c r="AA133" s="6">
        <f>H133*I133/100</f>
      </c>
      <c r="AB133" s="6">
        <f>H133*J133/100</f>
      </c>
      <c r="AC133" s="7">
        <f>H133*K133</f>
      </c>
      <c r="AD133" s="7">
        <f>H133*M133</f>
      </c>
      <c r="AE133" s="6">
        <f>H133*L133/100</f>
      </c>
      <c r="AF133" s="6">
        <f>AA133+AB133+AE133</f>
      </c>
      <c r="AG133" s="6">
        <f>I133+J133+L133</f>
      </c>
      <c r="AH133" s="53">
        <f>$H133*I133</f>
      </c>
      <c r="AI133" s="53">
        <f>$H133*J133</f>
      </c>
      <c r="AJ133" s="53">
        <f>$H133*K133</f>
      </c>
      <c r="AK133" s="53">
        <f>$H133*L133</f>
      </c>
      <c r="AL133" s="53">
        <f>$H133*M133</f>
      </c>
      <c r="AM133" s="3"/>
      <c r="AN133" s="5"/>
      <c r="AO133" s="5"/>
      <c r="AP133" s="5"/>
      <c r="AQ133" s="3"/>
    </row>
    <row x14ac:dyDescent="0.25" r="134" customHeight="1" ht="12.75">
      <c r="A134" s="5" t="s">
        <v>382</v>
      </c>
      <c r="B134" s="3" t="s">
        <v>1094</v>
      </c>
      <c r="C134" s="3" t="s">
        <v>870</v>
      </c>
      <c r="D134" s="3"/>
      <c r="E134" s="3" t="s">
        <v>855</v>
      </c>
      <c r="F134" s="3" t="s">
        <v>1213</v>
      </c>
      <c r="G134" s="3" t="s">
        <v>1204</v>
      </c>
      <c r="H134" s="6">
        <v>13.986</v>
      </c>
      <c r="I134" s="18">
        <v>0.6515151515151514</v>
      </c>
      <c r="J134" s="7">
        <v>4</v>
      </c>
      <c r="K134" s="5">
        <v>40</v>
      </c>
      <c r="L134" s="7">
        <v>2</v>
      </c>
      <c r="M134" s="6">
        <v>1.1</v>
      </c>
      <c r="N134" s="7"/>
      <c r="O134" s="23"/>
      <c r="P134" s="6"/>
      <c r="Q134" s="6"/>
      <c r="R134" s="31"/>
      <c r="S134" s="6"/>
      <c r="T134" s="31"/>
      <c r="U134" s="6"/>
      <c r="V134" s="23"/>
      <c r="W134" s="6"/>
      <c r="X134" s="6"/>
      <c r="Y134" s="5"/>
      <c r="Z134" s="3"/>
      <c r="AA134" s="6">
        <f>H134*I134/100</f>
      </c>
      <c r="AB134" s="6">
        <f>H134*J134/100</f>
      </c>
      <c r="AC134" s="7">
        <f>H134*K134</f>
      </c>
      <c r="AD134" s="7">
        <f>H134*M134</f>
      </c>
      <c r="AE134" s="6">
        <f>H134*L134/100</f>
      </c>
      <c r="AF134" s="6">
        <f>AA134+AB134+AE134</f>
      </c>
      <c r="AG134" s="6">
        <f>I134+J134+L134</f>
      </c>
      <c r="AH134" s="53">
        <f>$H134*I134</f>
      </c>
      <c r="AI134" s="53">
        <f>$H134*J134</f>
      </c>
      <c r="AJ134" s="53">
        <f>$H134*K134</f>
      </c>
      <c r="AK134" s="53">
        <f>$H134*L134</f>
      </c>
      <c r="AL134" s="53">
        <f>$H134*M134</f>
      </c>
      <c r="AM134" s="3"/>
      <c r="AN134" s="5"/>
      <c r="AO134" s="5"/>
      <c r="AP134" s="5"/>
      <c r="AQ134" s="3"/>
    </row>
    <row x14ac:dyDescent="0.25" r="135" customHeight="1" ht="12.75">
      <c r="A135" s="5" t="s">
        <v>490</v>
      </c>
      <c r="B135" s="3" t="s">
        <v>1094</v>
      </c>
      <c r="C135" s="3" t="s">
        <v>870</v>
      </c>
      <c r="D135" s="3"/>
      <c r="E135" s="3" t="s">
        <v>855</v>
      </c>
      <c r="F135" s="3" t="s">
        <v>1256</v>
      </c>
      <c r="G135" s="3" t="s">
        <v>1204</v>
      </c>
      <c r="H135" s="6">
        <v>12.831</v>
      </c>
      <c r="I135" s="6">
        <v>0.2</v>
      </c>
      <c r="J135" s="6">
        <v>4.1</v>
      </c>
      <c r="K135" s="6">
        <v>17.6</v>
      </c>
      <c r="L135" s="6">
        <v>1.5</v>
      </c>
      <c r="M135" s="6">
        <v>0.1</v>
      </c>
      <c r="N135" s="7"/>
      <c r="O135" s="23"/>
      <c r="P135" s="6"/>
      <c r="Q135" s="6"/>
      <c r="R135" s="31"/>
      <c r="S135" s="6"/>
      <c r="T135" s="31"/>
      <c r="U135" s="6"/>
      <c r="V135" s="23"/>
      <c r="W135" s="6"/>
      <c r="X135" s="6"/>
      <c r="Y135" s="5"/>
      <c r="Z135" s="3"/>
      <c r="AA135" s="6">
        <f>H135*I135/100</f>
      </c>
      <c r="AB135" s="6">
        <f>H135*J135/100</f>
      </c>
      <c r="AC135" s="7">
        <f>H135*K135</f>
      </c>
      <c r="AD135" s="7">
        <f>H135*M135</f>
      </c>
      <c r="AE135" s="6">
        <f>H135*L135/100</f>
      </c>
      <c r="AF135" s="6">
        <f>AA135+AB135+AE135</f>
      </c>
      <c r="AG135" s="6">
        <f>I135+J135+L135</f>
      </c>
      <c r="AH135" s="53">
        <f>$H135*I135</f>
      </c>
      <c r="AI135" s="53">
        <f>$H135*J135</f>
      </c>
      <c r="AJ135" s="53">
        <f>$H135*K135</f>
      </c>
      <c r="AK135" s="53">
        <f>$H135*L135</f>
      </c>
      <c r="AL135" s="53">
        <f>$H135*M135</f>
      </c>
      <c r="AM135" s="3"/>
      <c r="AN135" s="5"/>
      <c r="AO135" s="5"/>
      <c r="AP135" s="5"/>
      <c r="AQ135" s="3"/>
    </row>
    <row x14ac:dyDescent="0.25" r="136" customHeight="1" ht="12.75">
      <c r="A136" s="5" t="s">
        <v>621</v>
      </c>
      <c r="B136" s="3" t="s">
        <v>1094</v>
      </c>
      <c r="C136" s="3" t="s">
        <v>870</v>
      </c>
      <c r="D136" s="3"/>
      <c r="E136" s="3" t="s">
        <v>855</v>
      </c>
      <c r="F136" s="3" t="s">
        <v>1258</v>
      </c>
      <c r="G136" s="3" t="s">
        <v>1204</v>
      </c>
      <c r="H136" s="6">
        <v>1.5</v>
      </c>
      <c r="I136" s="6">
        <v>2.1</v>
      </c>
      <c r="J136" s="6">
        <v>3.7</v>
      </c>
      <c r="K136" s="5">
        <v>24</v>
      </c>
      <c r="L136" s="6">
        <v>0.4</v>
      </c>
      <c r="M136" s="6">
        <v>0.3</v>
      </c>
      <c r="N136" s="7"/>
      <c r="O136" s="23"/>
      <c r="P136" s="6"/>
      <c r="Q136" s="6"/>
      <c r="R136" s="31"/>
      <c r="S136" s="6"/>
      <c r="T136" s="31"/>
      <c r="U136" s="6"/>
      <c r="V136" s="23"/>
      <c r="W136" s="6"/>
      <c r="X136" s="6"/>
      <c r="Y136" s="5"/>
      <c r="Z136" s="3"/>
      <c r="AA136" s="6">
        <f>H136*I136/100</f>
      </c>
      <c r="AB136" s="6">
        <f>H136*J136/100</f>
      </c>
      <c r="AC136" s="7">
        <f>H136*K136</f>
      </c>
      <c r="AD136" s="7">
        <f>H136*M136</f>
      </c>
      <c r="AE136" s="6">
        <f>H136*L136/100</f>
      </c>
      <c r="AF136" s="6">
        <f>AA136+AB136+AE136</f>
      </c>
      <c r="AG136" s="6">
        <f>I136+J136+L136</f>
      </c>
      <c r="AH136" s="53">
        <f>$H136*I136</f>
      </c>
      <c r="AI136" s="53">
        <f>$H136*J136</f>
      </c>
      <c r="AJ136" s="53">
        <f>$H136*K136</f>
      </c>
      <c r="AK136" s="53">
        <f>$H136*L136</f>
      </c>
      <c r="AL136" s="53">
        <f>$H136*M136</f>
      </c>
      <c r="AM136" s="3"/>
      <c r="AN136" s="5"/>
      <c r="AO136" s="5"/>
      <c r="AP136" s="5"/>
      <c r="AQ136" s="3"/>
    </row>
    <row x14ac:dyDescent="0.25" r="137" customHeight="1" ht="12.75">
      <c r="A137" s="5" t="s">
        <v>766</v>
      </c>
      <c r="B137" s="3" t="s">
        <v>1094</v>
      </c>
      <c r="C137" s="3" t="s">
        <v>866</v>
      </c>
      <c r="D137" s="3" t="s">
        <v>989</v>
      </c>
      <c r="E137" s="3" t="s">
        <v>855</v>
      </c>
      <c r="F137" s="3" t="s">
        <v>1302</v>
      </c>
      <c r="G137" s="3" t="s">
        <v>1229</v>
      </c>
      <c r="H137" s="23">
        <v>0.2876</v>
      </c>
      <c r="I137" s="6">
        <v>1.5</v>
      </c>
      <c r="J137" s="6">
        <v>2.8</v>
      </c>
      <c r="K137" s="5">
        <v>31</v>
      </c>
      <c r="L137" s="6"/>
      <c r="M137" s="6"/>
      <c r="N137" s="7"/>
      <c r="O137" s="23"/>
      <c r="P137" s="6"/>
      <c r="Q137" s="6"/>
      <c r="R137" s="31"/>
      <c r="S137" s="6"/>
      <c r="T137" s="31"/>
      <c r="U137" s="6"/>
      <c r="V137" s="23"/>
      <c r="W137" s="6"/>
      <c r="X137" s="6"/>
      <c r="Y137" s="5"/>
      <c r="Z137" s="3"/>
      <c r="AA137" s="6">
        <f>H137*I137/100</f>
      </c>
      <c r="AB137" s="6">
        <f>H137*J137/100</f>
      </c>
      <c r="AC137" s="7">
        <f>H137*K137</f>
      </c>
      <c r="AD137" s="7">
        <f>H137*M137</f>
      </c>
      <c r="AE137" s="6">
        <f>H137*L137/100</f>
      </c>
      <c r="AF137" s="6">
        <f>AA137+AB137+AE137</f>
      </c>
      <c r="AG137" s="6">
        <f>I137+J137+L137</f>
      </c>
      <c r="AH137" s="53">
        <f>$H137*I137</f>
      </c>
      <c r="AI137" s="53">
        <f>$H137*J137</f>
      </c>
      <c r="AJ137" s="53">
        <f>$H137*K137</f>
      </c>
      <c r="AK137" s="53">
        <f>$H137*L137</f>
      </c>
      <c r="AL137" s="53">
        <f>$H137*M137</f>
      </c>
      <c r="AM137" s="3"/>
      <c r="AN137" s="5"/>
      <c r="AO137" s="5"/>
      <c r="AP137" s="5"/>
      <c r="AQ137" s="3"/>
    </row>
    <row x14ac:dyDescent="0.25" r="138" customHeight="1" ht="12.75">
      <c r="A138" s="5" t="s">
        <v>698</v>
      </c>
      <c r="B138" s="3" t="s">
        <v>1094</v>
      </c>
      <c r="C138" s="3" t="s">
        <v>866</v>
      </c>
      <c r="D138" s="3" t="s">
        <v>988</v>
      </c>
      <c r="E138" s="3" t="s">
        <v>855</v>
      </c>
      <c r="F138" s="3" t="s">
        <v>1176</v>
      </c>
      <c r="G138" s="3" t="s">
        <v>1204</v>
      </c>
      <c r="H138" s="6">
        <v>0.3756</v>
      </c>
      <c r="I138" s="6">
        <v>1.6</v>
      </c>
      <c r="J138" s="6">
        <v>3.8</v>
      </c>
      <c r="K138" s="5">
        <v>15</v>
      </c>
      <c r="L138" s="6"/>
      <c r="M138" s="6"/>
      <c r="N138" s="7"/>
      <c r="O138" s="23"/>
      <c r="P138" s="6"/>
      <c r="Q138" s="6"/>
      <c r="R138" s="31"/>
      <c r="S138" s="6"/>
      <c r="T138" s="31"/>
      <c r="U138" s="6"/>
      <c r="V138" s="23"/>
      <c r="W138" s="6"/>
      <c r="X138" s="6"/>
      <c r="Y138" s="5"/>
      <c r="Z138" s="3"/>
      <c r="AA138" s="6">
        <f>H138*I138/100</f>
      </c>
      <c r="AB138" s="6">
        <f>H138*J138/100</f>
      </c>
      <c r="AC138" s="7">
        <f>H138*K138</f>
      </c>
      <c r="AD138" s="7">
        <f>H138*M138</f>
      </c>
      <c r="AE138" s="6">
        <f>H138*L138/100</f>
      </c>
      <c r="AF138" s="6">
        <f>AA138+AB138+AE138</f>
      </c>
      <c r="AG138" s="6">
        <f>I138+J138+L138</f>
      </c>
      <c r="AH138" s="53">
        <f>$H138*I138</f>
      </c>
      <c r="AI138" s="53">
        <f>$H138*J138</f>
      </c>
      <c r="AJ138" s="53">
        <f>$H138*K138</f>
      </c>
      <c r="AK138" s="53">
        <f>$H138*L138</f>
      </c>
      <c r="AL138" s="53">
        <f>$H138*M138</f>
      </c>
      <c r="AM138" s="3"/>
      <c r="AN138" s="5"/>
      <c r="AO138" s="5"/>
      <c r="AP138" s="5"/>
      <c r="AQ138" s="3"/>
    </row>
    <row x14ac:dyDescent="0.25" r="139" customHeight="1" ht="12.75">
      <c r="A139" s="5" t="s">
        <v>849</v>
      </c>
      <c r="B139" s="3" t="s">
        <v>1094</v>
      </c>
      <c r="C139" s="3" t="s">
        <v>1076</v>
      </c>
      <c r="D139" s="3"/>
      <c r="E139" s="3" t="s">
        <v>855</v>
      </c>
      <c r="F139" s="3" t="s">
        <v>1303</v>
      </c>
      <c r="G139" s="3" t="s">
        <v>1304</v>
      </c>
      <c r="H139" s="6">
        <v>0.733</v>
      </c>
      <c r="I139" s="6">
        <v>0.9</v>
      </c>
      <c r="J139" s="6">
        <v>0.83</v>
      </c>
      <c r="K139" s="5">
        <v>49</v>
      </c>
      <c r="L139" s="6">
        <v>0.1</v>
      </c>
      <c r="M139" s="6">
        <v>0.06</v>
      </c>
      <c r="N139" s="7"/>
      <c r="O139" s="23"/>
      <c r="P139" s="6"/>
      <c r="Q139" s="6"/>
      <c r="R139" s="31"/>
      <c r="S139" s="6"/>
      <c r="T139" s="31"/>
      <c r="U139" s="6"/>
      <c r="V139" s="23"/>
      <c r="W139" s="6"/>
      <c r="X139" s="6"/>
      <c r="Y139" s="5"/>
      <c r="Z139" s="3"/>
      <c r="AA139" s="6">
        <f>H139*I139/100</f>
      </c>
      <c r="AB139" s="6">
        <f>H139*J139/100</f>
      </c>
      <c r="AC139" s="7">
        <f>H139*K139</f>
      </c>
      <c r="AD139" s="7">
        <f>H139*M139</f>
      </c>
      <c r="AE139" s="6">
        <f>H139*L139/100</f>
      </c>
      <c r="AF139" s="6">
        <f>AA139+AB139+AE139</f>
      </c>
      <c r="AG139" s="6">
        <f>I139+J139+L139</f>
      </c>
      <c r="AH139" s="53">
        <f>$H139*I139</f>
      </c>
      <c r="AI139" s="53">
        <f>$H139*J139</f>
      </c>
      <c r="AJ139" s="53">
        <f>$H139*K139</f>
      </c>
      <c r="AK139" s="53">
        <f>$H139*L139</f>
      </c>
      <c r="AL139" s="53">
        <f>$H139*M139</f>
      </c>
      <c r="AM139" s="3"/>
      <c r="AN139" s="5"/>
      <c r="AO139" s="5"/>
      <c r="AP139" s="5"/>
      <c r="AQ139" s="3"/>
    </row>
    <row x14ac:dyDescent="0.25" r="140" customHeight="1" ht="12.75">
      <c r="A140" s="5" t="s">
        <v>83</v>
      </c>
      <c r="B140" s="3" t="s">
        <v>1094</v>
      </c>
      <c r="C140" s="3" t="s">
        <v>866</v>
      </c>
      <c r="D140" s="3" t="s">
        <v>988</v>
      </c>
      <c r="E140" s="3" t="s">
        <v>855</v>
      </c>
      <c r="F140" s="3" t="s">
        <v>1283</v>
      </c>
      <c r="G140" s="3" t="s">
        <v>1305</v>
      </c>
      <c r="H140" s="5">
        <v>58</v>
      </c>
      <c r="I140" s="6">
        <v>1.6</v>
      </c>
      <c r="J140" s="6">
        <v>11.1</v>
      </c>
      <c r="K140" s="5"/>
      <c r="L140" s="6"/>
      <c r="M140" s="6"/>
      <c r="N140" s="7"/>
      <c r="O140" s="23"/>
      <c r="P140" s="6"/>
      <c r="Q140" s="6"/>
      <c r="R140" s="31"/>
      <c r="S140" s="6"/>
      <c r="T140" s="31"/>
      <c r="U140" s="6"/>
      <c r="V140" s="23"/>
      <c r="W140" s="6"/>
      <c r="X140" s="6"/>
      <c r="Y140" s="5"/>
      <c r="Z140" s="3"/>
      <c r="AA140" s="6">
        <f>H140*I140/100</f>
      </c>
      <c r="AB140" s="6">
        <f>H140*J140/100</f>
      </c>
      <c r="AC140" s="7">
        <f>H140*K140</f>
      </c>
      <c r="AD140" s="7">
        <f>H140*M140</f>
      </c>
      <c r="AE140" s="6">
        <f>H140*L140/100</f>
      </c>
      <c r="AF140" s="6">
        <f>AA140+AB140+AE140</f>
      </c>
      <c r="AG140" s="6">
        <f>I140+J140+L140</f>
      </c>
      <c r="AH140" s="53">
        <f>$H140*I140</f>
      </c>
      <c r="AI140" s="53">
        <f>$H140*J140</f>
      </c>
      <c r="AJ140" s="53">
        <f>$H140*K140</f>
      </c>
      <c r="AK140" s="53">
        <f>$H140*L140</f>
      </c>
      <c r="AL140" s="53">
        <f>$H140*M140</f>
      </c>
      <c r="AM140" s="3"/>
      <c r="AN140" s="5"/>
      <c r="AO140" s="5"/>
      <c r="AP140" s="5"/>
      <c r="AQ140" s="3"/>
    </row>
    <row x14ac:dyDescent="0.25" r="141" customHeight="1" ht="12.75">
      <c r="A141" s="5" t="s">
        <v>685</v>
      </c>
      <c r="B141" s="3" t="s">
        <v>1094</v>
      </c>
      <c r="C141" s="3" t="s">
        <v>870</v>
      </c>
      <c r="D141" s="3"/>
      <c r="E141" s="3" t="s">
        <v>855</v>
      </c>
      <c r="F141" s="3" t="s">
        <v>1213</v>
      </c>
      <c r="G141" s="3" t="s">
        <v>1204</v>
      </c>
      <c r="H141" s="6">
        <v>1.554</v>
      </c>
      <c r="I141" s="6"/>
      <c r="J141" s="6">
        <v>2.5</v>
      </c>
      <c r="K141" s="5">
        <v>49</v>
      </c>
      <c r="L141" s="6">
        <v>1.6</v>
      </c>
      <c r="M141" s="6"/>
      <c r="N141" s="7"/>
      <c r="O141" s="23"/>
      <c r="P141" s="6"/>
      <c r="Q141" s="6"/>
      <c r="R141" s="31"/>
      <c r="S141" s="6"/>
      <c r="T141" s="31"/>
      <c r="U141" s="6"/>
      <c r="V141" s="23"/>
      <c r="W141" s="6"/>
      <c r="X141" s="6"/>
      <c r="Y141" s="5"/>
      <c r="Z141" s="3"/>
      <c r="AA141" s="6">
        <f>H141*I141/100</f>
      </c>
      <c r="AB141" s="6">
        <f>H141*J141/100</f>
      </c>
      <c r="AC141" s="7">
        <f>H141*K141</f>
      </c>
      <c r="AD141" s="7">
        <f>H141*M141</f>
      </c>
      <c r="AE141" s="6">
        <f>H141*L141/100</f>
      </c>
      <c r="AF141" s="6">
        <f>AA141+AB141+AE141</f>
      </c>
      <c r="AG141" s="6">
        <f>I141+J141+L141</f>
      </c>
      <c r="AH141" s="53">
        <f>$H141*I141</f>
      </c>
      <c r="AI141" s="53">
        <f>$H141*J141</f>
      </c>
      <c r="AJ141" s="53">
        <f>$H141*K141</f>
      </c>
      <c r="AK141" s="53">
        <f>$H141*L141</f>
      </c>
      <c r="AL141" s="53">
        <f>$H141*M141</f>
      </c>
      <c r="AM141" s="3"/>
      <c r="AN141" s="5"/>
      <c r="AO141" s="5"/>
      <c r="AP141" s="5"/>
      <c r="AQ141" s="3"/>
    </row>
    <row x14ac:dyDescent="0.25" r="142" customHeight="1" ht="12.75">
      <c r="A142" s="5" t="s">
        <v>270</v>
      </c>
      <c r="B142" s="3" t="s">
        <v>1094</v>
      </c>
      <c r="C142" s="3" t="s">
        <v>870</v>
      </c>
      <c r="D142" s="3"/>
      <c r="E142" s="3" t="s">
        <v>855</v>
      </c>
      <c r="F142" s="3" t="s">
        <v>1196</v>
      </c>
      <c r="G142" s="3" t="s">
        <v>1197</v>
      </c>
      <c r="H142" s="23">
        <v>4.1713</v>
      </c>
      <c r="I142" s="6">
        <v>2.2525783328938225</v>
      </c>
      <c r="J142" s="6">
        <v>7.927348788147582</v>
      </c>
      <c r="K142" s="7">
        <v>41.364083139548825</v>
      </c>
      <c r="L142" s="6">
        <v>0.9349075827679622</v>
      </c>
      <c r="M142" s="6">
        <v>0.5655742813990843</v>
      </c>
      <c r="N142" s="7"/>
      <c r="O142" s="23"/>
      <c r="P142" s="6"/>
      <c r="Q142" s="6"/>
      <c r="R142" s="31"/>
      <c r="S142" s="6"/>
      <c r="T142" s="31"/>
      <c r="U142" s="6"/>
      <c r="V142" s="23"/>
      <c r="W142" s="6"/>
      <c r="X142" s="6"/>
      <c r="Y142" s="5"/>
      <c r="Z142" s="3"/>
      <c r="AA142" s="6">
        <f>H142*I142/100</f>
      </c>
      <c r="AB142" s="6">
        <f>H142*J142/100</f>
      </c>
      <c r="AC142" s="7">
        <f>H142*K142</f>
      </c>
      <c r="AD142" s="7">
        <f>H142*M142</f>
      </c>
      <c r="AE142" s="6">
        <f>H142*L142/100</f>
      </c>
      <c r="AF142" s="6">
        <f>AA142+AB142+AE142</f>
      </c>
      <c r="AG142" s="6">
        <f>I142+J142+L142</f>
      </c>
      <c r="AH142" s="53">
        <f>$H142*I142</f>
      </c>
      <c r="AI142" s="53">
        <f>$H142*J142</f>
      </c>
      <c r="AJ142" s="53">
        <f>$H142*K142</f>
      </c>
      <c r="AK142" s="53">
        <f>$H142*L142</f>
      </c>
      <c r="AL142" s="53">
        <f>$H142*M142</f>
      </c>
      <c r="AM142" s="3"/>
      <c r="AN142" s="5"/>
      <c r="AO142" s="5"/>
      <c r="AP142" s="5"/>
      <c r="AQ142" s="3"/>
    </row>
    <row x14ac:dyDescent="0.25" r="143" customHeight="1" ht="12.75">
      <c r="A143" s="5" t="s">
        <v>678</v>
      </c>
      <c r="B143" s="3" t="s">
        <v>1094</v>
      </c>
      <c r="C143" s="3" t="s">
        <v>864</v>
      </c>
      <c r="D143" s="3" t="s">
        <v>977</v>
      </c>
      <c r="E143" s="3" t="s">
        <v>855</v>
      </c>
      <c r="F143" s="3" t="s">
        <v>1306</v>
      </c>
      <c r="G143" s="3" t="s">
        <v>1307</v>
      </c>
      <c r="H143" s="6">
        <v>6.24</v>
      </c>
      <c r="I143" s="7">
        <v>2</v>
      </c>
      <c r="J143" s="6">
        <v>1.2</v>
      </c>
      <c r="K143" s="7">
        <v>47</v>
      </c>
      <c r="L143" s="7">
        <v>1</v>
      </c>
      <c r="M143" s="6">
        <v>0.8</v>
      </c>
      <c r="N143" s="7"/>
      <c r="O143" s="23"/>
      <c r="P143" s="6"/>
      <c r="Q143" s="6"/>
      <c r="R143" s="31"/>
      <c r="S143" s="6"/>
      <c r="T143" s="31"/>
      <c r="U143" s="6"/>
      <c r="V143" s="23"/>
      <c r="W143" s="6"/>
      <c r="X143" s="6"/>
      <c r="Y143" s="5"/>
      <c r="Z143" s="3"/>
      <c r="AA143" s="6">
        <f>H143*I143/100</f>
      </c>
      <c r="AB143" s="6">
        <f>H143*J143/100</f>
      </c>
      <c r="AC143" s="7">
        <f>H143*K143</f>
      </c>
      <c r="AD143" s="7">
        <f>H143*M143</f>
      </c>
      <c r="AE143" s="6">
        <f>H143*L143/100</f>
      </c>
      <c r="AF143" s="6">
        <f>AA143+AB143+AE143</f>
      </c>
      <c r="AG143" s="6">
        <f>I143+J143+L143</f>
      </c>
      <c r="AH143" s="53">
        <f>$H143*I143</f>
      </c>
      <c r="AI143" s="53">
        <f>$H143*J143</f>
      </c>
      <c r="AJ143" s="53">
        <f>$H143*K143</f>
      </c>
      <c r="AK143" s="53">
        <f>$H143*L143</f>
      </c>
      <c r="AL143" s="53">
        <f>$H143*M143</f>
      </c>
      <c r="AM143" s="3"/>
      <c r="AN143" s="5"/>
      <c r="AO143" s="5"/>
      <c r="AP143" s="5"/>
      <c r="AQ143" s="3"/>
    </row>
    <row x14ac:dyDescent="0.25" r="144" customHeight="1" ht="12.75">
      <c r="A144" s="5" t="s">
        <v>756</v>
      </c>
      <c r="B144" s="3" t="s">
        <v>1094</v>
      </c>
      <c r="C144" s="3" t="s">
        <v>870</v>
      </c>
      <c r="D144" s="3"/>
      <c r="E144" s="3" t="s">
        <v>855</v>
      </c>
      <c r="F144" s="3" t="s">
        <v>1308</v>
      </c>
      <c r="G144" s="3" t="s">
        <v>1203</v>
      </c>
      <c r="H144" s="6">
        <v>2.6100000000000003</v>
      </c>
      <c r="I144" s="6">
        <v>1.0699616858237548</v>
      </c>
      <c r="J144" s="6">
        <v>2.6713793103448276</v>
      </c>
      <c r="K144" s="31">
        <v>88.2911877394636</v>
      </c>
      <c r="L144" s="6">
        <v>0.09716475095785441</v>
      </c>
      <c r="M144" s="6">
        <v>0.698735632183908</v>
      </c>
      <c r="N144" s="7"/>
      <c r="O144" s="23"/>
      <c r="P144" s="6"/>
      <c r="Q144" s="6"/>
      <c r="R144" s="31"/>
      <c r="S144" s="6"/>
      <c r="T144" s="31"/>
      <c r="U144" s="6"/>
      <c r="V144" s="23"/>
      <c r="W144" s="6"/>
      <c r="X144" s="6"/>
      <c r="Y144" s="5"/>
      <c r="Z144" s="3"/>
      <c r="AA144" s="6">
        <f>H144*I144/100</f>
      </c>
      <c r="AB144" s="6">
        <f>H144*J144/100</f>
      </c>
      <c r="AC144" s="7">
        <f>H144*K144</f>
      </c>
      <c r="AD144" s="7">
        <f>H144*M144</f>
      </c>
      <c r="AE144" s="6">
        <f>H144*L144/100</f>
      </c>
      <c r="AF144" s="6">
        <f>AA144+AB144+AE144</f>
      </c>
      <c r="AG144" s="6">
        <f>I144+J144+L144</f>
      </c>
      <c r="AH144" s="53">
        <f>$H144*I144</f>
      </c>
      <c r="AI144" s="53">
        <f>$H144*J144</f>
      </c>
      <c r="AJ144" s="53">
        <f>$H144*K144</f>
      </c>
      <c r="AK144" s="53">
        <f>$H144*L144</f>
      </c>
      <c r="AL144" s="53">
        <f>$H144*M144</f>
      </c>
      <c r="AM144" s="3"/>
      <c r="AN144" s="5"/>
      <c r="AO144" s="5"/>
      <c r="AP144" s="5"/>
      <c r="AQ144" s="3"/>
    </row>
    <row x14ac:dyDescent="0.25" r="145" customHeight="1" ht="12.75">
      <c r="A145" s="5" t="s">
        <v>608</v>
      </c>
      <c r="B145" s="3" t="s">
        <v>1094</v>
      </c>
      <c r="C145" s="3" t="s">
        <v>864</v>
      </c>
      <c r="D145" s="3"/>
      <c r="E145" s="3" t="s">
        <v>855</v>
      </c>
      <c r="F145" s="3" t="s">
        <v>1309</v>
      </c>
      <c r="G145" s="3" t="s">
        <v>1310</v>
      </c>
      <c r="H145" s="6">
        <v>1.25</v>
      </c>
      <c r="I145" s="6">
        <v>1.76</v>
      </c>
      <c r="J145" s="6">
        <v>3.3</v>
      </c>
      <c r="K145" s="6">
        <v>68.8</v>
      </c>
      <c r="L145" s="6">
        <v>0.81</v>
      </c>
      <c r="M145" s="6">
        <v>0.66</v>
      </c>
      <c r="N145" s="7"/>
      <c r="O145" s="23"/>
      <c r="P145" s="6"/>
      <c r="Q145" s="6"/>
      <c r="R145" s="31"/>
      <c r="S145" s="6"/>
      <c r="T145" s="31"/>
      <c r="U145" s="6"/>
      <c r="V145" s="23"/>
      <c r="W145" s="6"/>
      <c r="X145" s="6"/>
      <c r="Y145" s="5"/>
      <c r="Z145" s="3"/>
      <c r="AA145" s="6">
        <f>H145*I145/100</f>
      </c>
      <c r="AB145" s="6">
        <f>H145*J145/100</f>
      </c>
      <c r="AC145" s="7">
        <f>H145*K145</f>
      </c>
      <c r="AD145" s="7">
        <f>H145*M145</f>
      </c>
      <c r="AE145" s="6">
        <f>H145*L145/100</f>
      </c>
      <c r="AF145" s="6">
        <f>AA145+AB145+AE145</f>
      </c>
      <c r="AG145" s="6">
        <f>I145+J145+L145</f>
      </c>
      <c r="AH145" s="53">
        <f>$H145*I145</f>
      </c>
      <c r="AI145" s="53">
        <f>$H145*J145</f>
      </c>
      <c r="AJ145" s="53">
        <f>$H145*K145</f>
      </c>
      <c r="AK145" s="53">
        <f>$H145*L145</f>
      </c>
      <c r="AL145" s="53">
        <f>$H145*M145</f>
      </c>
      <c r="AM145" s="3"/>
      <c r="AN145" s="5"/>
      <c r="AO145" s="5"/>
      <c r="AP145" s="5"/>
      <c r="AQ145" s="3"/>
    </row>
    <row x14ac:dyDescent="0.25" r="146" customHeight="1" ht="12.75">
      <c r="A146" s="5" t="s">
        <v>358</v>
      </c>
      <c r="B146" s="3" t="s">
        <v>1094</v>
      </c>
      <c r="C146" s="3" t="s">
        <v>866</v>
      </c>
      <c r="D146" s="3" t="s">
        <v>988</v>
      </c>
      <c r="E146" s="3" t="s">
        <v>855</v>
      </c>
      <c r="F146" s="3" t="s">
        <v>1311</v>
      </c>
      <c r="G146" s="3" t="s">
        <v>1312</v>
      </c>
      <c r="H146" s="6">
        <v>48.3</v>
      </c>
      <c r="I146" s="6">
        <v>0.8300000000000001</v>
      </c>
      <c r="J146" s="6">
        <v>0.8800000000000001</v>
      </c>
      <c r="K146" s="7">
        <v>20.37826086956522</v>
      </c>
      <c r="L146" s="6">
        <v>0.3904347826086957</v>
      </c>
      <c r="M146" s="6"/>
      <c r="N146" s="7"/>
      <c r="O146" s="23"/>
      <c r="P146" s="6">
        <v>0.0731</v>
      </c>
      <c r="Q146" s="6"/>
      <c r="R146" s="31"/>
      <c r="S146" s="6"/>
      <c r="T146" s="31"/>
      <c r="U146" s="6"/>
      <c r="V146" s="23"/>
      <c r="W146" s="6"/>
      <c r="X146" s="6"/>
      <c r="Y146" s="5"/>
      <c r="Z146" s="3"/>
      <c r="AA146" s="6">
        <f>H146*I146/100</f>
      </c>
      <c r="AB146" s="6">
        <f>H146*J146/100</f>
      </c>
      <c r="AC146" s="7">
        <f>H146*K146</f>
      </c>
      <c r="AD146" s="7">
        <f>H146*M146</f>
      </c>
      <c r="AE146" s="6">
        <f>H146*L146/100</f>
      </c>
      <c r="AF146" s="6">
        <f>AA146+AB146+AE146</f>
      </c>
      <c r="AG146" s="6">
        <f>I146+J146+L146</f>
      </c>
      <c r="AH146" s="53">
        <f>$H146*I146</f>
      </c>
      <c r="AI146" s="53">
        <f>$H146*J146</f>
      </c>
      <c r="AJ146" s="53">
        <f>$H146*K146</f>
      </c>
      <c r="AK146" s="53">
        <f>$H146*L146</f>
      </c>
      <c r="AL146" s="53">
        <f>$H146*M146</f>
      </c>
      <c r="AM146" s="3"/>
      <c r="AN146" s="5"/>
      <c r="AO146" s="5"/>
      <c r="AP146" s="5"/>
      <c r="AQ146" s="3"/>
    </row>
    <row x14ac:dyDescent="0.25" r="147" customHeight="1" ht="12.75">
      <c r="A147" s="5" t="s">
        <v>644</v>
      </c>
      <c r="B147" s="3" t="s">
        <v>1094</v>
      </c>
      <c r="C147" s="3" t="s">
        <v>856</v>
      </c>
      <c r="D147" s="3"/>
      <c r="E147" s="3" t="s">
        <v>855</v>
      </c>
      <c r="F147" s="3" t="s">
        <v>1313</v>
      </c>
      <c r="G147" s="3" t="s">
        <v>1204</v>
      </c>
      <c r="H147" s="23">
        <v>1.49</v>
      </c>
      <c r="I147" s="6">
        <v>0.71</v>
      </c>
      <c r="J147" s="6">
        <v>1.56</v>
      </c>
      <c r="K147" s="5">
        <v>245</v>
      </c>
      <c r="L147" s="6">
        <v>0.27</v>
      </c>
      <c r="M147" s="6"/>
      <c r="N147" s="7"/>
      <c r="O147" s="23"/>
      <c r="P147" s="6"/>
      <c r="Q147" s="6"/>
      <c r="R147" s="31"/>
      <c r="S147" s="6"/>
      <c r="T147" s="31"/>
      <c r="U147" s="6"/>
      <c r="V147" s="23"/>
      <c r="W147" s="6"/>
      <c r="X147" s="6"/>
      <c r="Y147" s="5"/>
      <c r="Z147" s="3"/>
      <c r="AA147" s="6">
        <f>H147*I147/100</f>
      </c>
      <c r="AB147" s="6">
        <f>H147*J147/100</f>
      </c>
      <c r="AC147" s="7">
        <f>H147*K147</f>
      </c>
      <c r="AD147" s="7">
        <f>H147*M147</f>
      </c>
      <c r="AE147" s="6">
        <f>H147*L147/100</f>
      </c>
      <c r="AF147" s="6">
        <f>AA147+AB147+AE147</f>
      </c>
      <c r="AG147" s="6">
        <f>I147+J147+L147</f>
      </c>
      <c r="AH147" s="53">
        <f>$H147*I147</f>
      </c>
      <c r="AI147" s="53">
        <f>$H147*J147</f>
      </c>
      <c r="AJ147" s="53">
        <f>$H147*K147</f>
      </c>
      <c r="AK147" s="53">
        <f>$H147*L147</f>
      </c>
      <c r="AL147" s="53">
        <f>$H147*M147</f>
      </c>
      <c r="AM147" s="3"/>
      <c r="AN147" s="5"/>
      <c r="AO147" s="5"/>
      <c r="AP147" s="5"/>
      <c r="AQ147" s="3"/>
    </row>
    <row x14ac:dyDescent="0.25" r="148" customHeight="1" ht="12.75">
      <c r="A148" s="5" t="s">
        <v>709</v>
      </c>
      <c r="B148" s="3" t="s">
        <v>1094</v>
      </c>
      <c r="C148" s="3" t="s">
        <v>870</v>
      </c>
      <c r="D148" s="3"/>
      <c r="E148" s="3" t="s">
        <v>855</v>
      </c>
      <c r="F148" s="3" t="s">
        <v>1256</v>
      </c>
      <c r="G148" s="3" t="s">
        <v>1204</v>
      </c>
      <c r="H148" s="6">
        <v>0.972</v>
      </c>
      <c r="I148" s="6">
        <v>0.2</v>
      </c>
      <c r="J148" s="6">
        <v>1.1</v>
      </c>
      <c r="K148" s="6">
        <v>10.3</v>
      </c>
      <c r="L148" s="6">
        <v>2.1</v>
      </c>
      <c r="M148" s="6">
        <v>0.1</v>
      </c>
      <c r="N148" s="7"/>
      <c r="O148" s="23"/>
      <c r="P148" s="6"/>
      <c r="Q148" s="6"/>
      <c r="R148" s="31"/>
      <c r="S148" s="6"/>
      <c r="T148" s="31"/>
      <c r="U148" s="6"/>
      <c r="V148" s="23"/>
      <c r="W148" s="6"/>
      <c r="X148" s="6"/>
      <c r="Y148" s="5"/>
      <c r="Z148" s="3"/>
      <c r="AA148" s="6">
        <f>H148*I148/100</f>
      </c>
      <c r="AB148" s="6">
        <f>H148*J148/100</f>
      </c>
      <c r="AC148" s="7">
        <f>H148*K148</f>
      </c>
      <c r="AD148" s="7">
        <f>H148*M148</f>
      </c>
      <c r="AE148" s="6">
        <f>H148*L148/100</f>
      </c>
      <c r="AF148" s="6">
        <f>AA148+AB148+AE148</f>
      </c>
      <c r="AG148" s="6">
        <f>I148+J148+L148</f>
      </c>
      <c r="AH148" s="53">
        <f>$H148*I148</f>
      </c>
      <c r="AI148" s="53">
        <f>$H148*J148</f>
      </c>
      <c r="AJ148" s="53">
        <f>$H148*K148</f>
      </c>
      <c r="AK148" s="53">
        <f>$H148*L148</f>
      </c>
      <c r="AL148" s="53">
        <f>$H148*M148</f>
      </c>
      <c r="AM148" s="3"/>
      <c r="AN148" s="5"/>
      <c r="AO148" s="5"/>
      <c r="AP148" s="5"/>
      <c r="AQ148" s="3"/>
    </row>
    <row x14ac:dyDescent="0.25" r="149" customHeight="1" ht="12.75">
      <c r="A149" s="5" t="s">
        <v>829</v>
      </c>
      <c r="B149" s="3" t="s">
        <v>1094</v>
      </c>
      <c r="C149" s="3" t="s">
        <v>870</v>
      </c>
      <c r="D149" s="3"/>
      <c r="E149" s="3" t="s">
        <v>855</v>
      </c>
      <c r="F149" s="3" t="s">
        <v>1314</v>
      </c>
      <c r="G149" s="3" t="s">
        <v>1204</v>
      </c>
      <c r="H149" s="6">
        <v>2.875</v>
      </c>
      <c r="I149" s="6"/>
      <c r="J149" s="6">
        <v>1.3490852173913042</v>
      </c>
      <c r="K149" s="5"/>
      <c r="L149" s="6">
        <v>0.7598608695652175</v>
      </c>
      <c r="M149" s="6"/>
      <c r="N149" s="7"/>
      <c r="O149" s="23"/>
      <c r="P149" s="6"/>
      <c r="Q149" s="6"/>
      <c r="R149" s="31"/>
      <c r="S149" s="6"/>
      <c r="T149" s="31"/>
      <c r="U149" s="6"/>
      <c r="V149" s="23"/>
      <c r="W149" s="6"/>
      <c r="X149" s="6"/>
      <c r="Y149" s="5"/>
      <c r="Z149" s="3"/>
      <c r="AA149" s="6">
        <f>H149*I149/100</f>
      </c>
      <c r="AB149" s="6">
        <f>H149*J149/100</f>
      </c>
      <c r="AC149" s="7">
        <f>H149*K149</f>
      </c>
      <c r="AD149" s="7">
        <f>H149*M149</f>
      </c>
      <c r="AE149" s="6">
        <f>H149*L149/100</f>
      </c>
      <c r="AF149" s="6">
        <f>AA149+AB149+AE149</f>
      </c>
      <c r="AG149" s="6">
        <f>I149+J149+L149</f>
      </c>
      <c r="AH149" s="53">
        <f>$H149*I149</f>
      </c>
      <c r="AI149" s="53">
        <f>$H149*J149</f>
      </c>
      <c r="AJ149" s="53">
        <f>$H149*K149</f>
      </c>
      <c r="AK149" s="53">
        <f>$H149*L149</f>
      </c>
      <c r="AL149" s="53">
        <f>$H149*M149</f>
      </c>
      <c r="AM149" s="3"/>
      <c r="AN149" s="5"/>
      <c r="AO149" s="5"/>
      <c r="AP149" s="5"/>
      <c r="AQ149" s="3"/>
    </row>
    <row x14ac:dyDescent="0.25" r="150" customHeight="1" ht="12.75">
      <c r="A150" s="5" t="s">
        <v>638</v>
      </c>
      <c r="B150" s="3" t="s">
        <v>1094</v>
      </c>
      <c r="C150" s="3" t="s">
        <v>866</v>
      </c>
      <c r="D150" s="3" t="s">
        <v>994</v>
      </c>
      <c r="E150" s="3" t="s">
        <v>855</v>
      </c>
      <c r="F150" s="3" t="s">
        <v>1315</v>
      </c>
      <c r="G150" s="3" t="s">
        <v>1316</v>
      </c>
      <c r="H150" s="7">
        <v>41.5</v>
      </c>
      <c r="I150" s="6">
        <v>0.5</v>
      </c>
      <c r="J150" s="6"/>
      <c r="K150" s="5">
        <v>45</v>
      </c>
      <c r="L150" s="6"/>
      <c r="M150" s="6"/>
      <c r="N150" s="7"/>
      <c r="O150" s="23"/>
      <c r="P150" s="6"/>
      <c r="Q150" s="6"/>
      <c r="R150" s="31"/>
      <c r="S150" s="6"/>
      <c r="T150" s="31"/>
      <c r="U150" s="6"/>
      <c r="V150" s="23"/>
      <c r="W150" s="6"/>
      <c r="X150" s="6"/>
      <c r="Y150" s="5"/>
      <c r="Z150" s="3"/>
      <c r="AA150" s="6">
        <f>H150*I150/100</f>
      </c>
      <c r="AB150" s="6">
        <f>H150*J150/100</f>
      </c>
      <c r="AC150" s="7">
        <f>H150*K150</f>
      </c>
      <c r="AD150" s="7">
        <f>H150*M150</f>
      </c>
      <c r="AE150" s="6">
        <f>H150*L150/100</f>
      </c>
      <c r="AF150" s="6">
        <f>AA150+AB150+AE150</f>
      </c>
      <c r="AG150" s="6">
        <f>I150+J150+L150</f>
      </c>
      <c r="AH150" s="53">
        <f>$H150*I150</f>
      </c>
      <c r="AI150" s="53">
        <f>$H150*J150</f>
      </c>
      <c r="AJ150" s="53">
        <f>$H150*K150</f>
      </c>
      <c r="AK150" s="53">
        <f>$H150*L150</f>
      </c>
      <c r="AL150" s="53">
        <f>$H150*M150</f>
      </c>
      <c r="AM150" s="3"/>
      <c r="AN150" s="5"/>
      <c r="AO150" s="5"/>
      <c r="AP150" s="5"/>
      <c r="AQ150" s="3"/>
    </row>
    <row x14ac:dyDescent="0.25" r="151" customHeight="1" ht="12.75">
      <c r="A151" s="5" t="s">
        <v>1052</v>
      </c>
      <c r="B151" s="3" t="s">
        <v>1094</v>
      </c>
      <c r="C151" s="3" t="s">
        <v>1053</v>
      </c>
      <c r="D151" s="3" t="s">
        <v>1004</v>
      </c>
      <c r="E151" s="16" t="s">
        <v>1247</v>
      </c>
      <c r="F151" s="3" t="s">
        <v>1265</v>
      </c>
      <c r="G151" s="3" t="s">
        <v>1204</v>
      </c>
      <c r="H151" s="6">
        <v>11.65</v>
      </c>
      <c r="I151" s="6">
        <v>1.3484120171673821</v>
      </c>
      <c r="J151" s="6">
        <v>2.285579399141631</v>
      </c>
      <c r="K151" s="31">
        <v>31.8068669527897</v>
      </c>
      <c r="L151" s="6">
        <v>0.504549356223176</v>
      </c>
      <c r="M151" s="6">
        <v>0.29420600858369095</v>
      </c>
      <c r="N151" s="7"/>
      <c r="O151" s="23"/>
      <c r="P151" s="6"/>
      <c r="Q151" s="6"/>
      <c r="R151" s="31"/>
      <c r="S151" s="6"/>
      <c r="T151" s="31"/>
      <c r="U151" s="6"/>
      <c r="V151" s="23"/>
      <c r="W151" s="6"/>
      <c r="X151" s="6"/>
      <c r="Y151" s="5"/>
      <c r="Z151" s="3"/>
      <c r="AA151" s="6">
        <f>H151*I151/100</f>
      </c>
      <c r="AB151" s="6">
        <f>H151*J151/100</f>
      </c>
      <c r="AC151" s="7">
        <f>H151*K151</f>
      </c>
      <c r="AD151" s="7">
        <f>H151*M151</f>
      </c>
      <c r="AE151" s="6">
        <f>H151*L151/100</f>
      </c>
      <c r="AF151" s="6">
        <f>AA151+AB151+AE151</f>
      </c>
      <c r="AG151" s="6">
        <f>I151+J151+L151</f>
      </c>
      <c r="AH151" s="53">
        <f>$H151*I151</f>
      </c>
      <c r="AI151" s="53">
        <f>$H151*J151</f>
      </c>
      <c r="AJ151" s="53">
        <f>$H151*K151</f>
      </c>
      <c r="AK151" s="53">
        <f>$H151*L151</f>
      </c>
      <c r="AL151" s="53">
        <f>$H151*M151</f>
      </c>
      <c r="AM151" s="3"/>
      <c r="AN151" s="5"/>
      <c r="AO151" s="5"/>
      <c r="AP151" s="5"/>
      <c r="AQ151" s="3"/>
    </row>
    <row x14ac:dyDescent="0.25" r="152" customHeight="1" ht="12.75">
      <c r="A152" s="5" t="s">
        <v>123</v>
      </c>
      <c r="B152" s="3" t="s">
        <v>1094</v>
      </c>
      <c r="C152" s="3" t="s">
        <v>1003</v>
      </c>
      <c r="D152" s="3" t="s">
        <v>1004</v>
      </c>
      <c r="E152" s="3" t="s">
        <v>855</v>
      </c>
      <c r="F152" s="3" t="s">
        <v>1265</v>
      </c>
      <c r="G152" s="3" t="s">
        <v>1204</v>
      </c>
      <c r="H152" s="6">
        <v>10.1</v>
      </c>
      <c r="I152" s="6">
        <v>4.029029702970297</v>
      </c>
      <c r="J152" s="6">
        <v>10.152178217821783</v>
      </c>
      <c r="K152" s="31">
        <v>84.45148514851486</v>
      </c>
      <c r="L152" s="6">
        <v>1.7774257425742577</v>
      </c>
      <c r="M152" s="6">
        <v>0.5505346534653466</v>
      </c>
      <c r="N152" s="7"/>
      <c r="O152" s="23"/>
      <c r="P152" s="6"/>
      <c r="Q152" s="6"/>
      <c r="R152" s="31"/>
      <c r="S152" s="6"/>
      <c r="T152" s="31"/>
      <c r="U152" s="6"/>
      <c r="V152" s="23"/>
      <c r="W152" s="6"/>
      <c r="X152" s="6"/>
      <c r="Y152" s="5"/>
      <c r="Z152" s="3"/>
      <c r="AA152" s="6">
        <f>H152*I152/100</f>
      </c>
      <c r="AB152" s="6">
        <f>H152*J152/100</f>
      </c>
      <c r="AC152" s="7">
        <f>H152*K152</f>
      </c>
      <c r="AD152" s="7">
        <f>H152*M152</f>
      </c>
      <c r="AE152" s="6">
        <f>H152*L152/100</f>
      </c>
      <c r="AF152" s="6">
        <f>AA152+AB152+AE152</f>
      </c>
      <c r="AG152" s="6">
        <f>I152+J152+L152</f>
      </c>
      <c r="AH152" s="53">
        <f>$H152*I152</f>
      </c>
      <c r="AI152" s="53">
        <f>$H152*J152</f>
      </c>
      <c r="AJ152" s="53">
        <f>$H152*K152</f>
      </c>
      <c r="AK152" s="53">
        <f>$H152*L152</f>
      </c>
      <c r="AL152" s="53">
        <f>$H152*M152</f>
      </c>
      <c r="AM152" s="3"/>
      <c r="AN152" s="5"/>
      <c r="AO152" s="5"/>
      <c r="AP152" s="5"/>
      <c r="AQ152" s="3"/>
    </row>
    <row x14ac:dyDescent="0.25" r="153" customHeight="1" ht="12.75">
      <c r="A153" s="5" t="s">
        <v>1083</v>
      </c>
      <c r="B153" s="3" t="s">
        <v>1094</v>
      </c>
      <c r="C153" s="3" t="s">
        <v>1317</v>
      </c>
      <c r="D153" s="3" t="s">
        <v>1046</v>
      </c>
      <c r="E153" s="16" t="s">
        <v>1247</v>
      </c>
      <c r="F153" s="3" t="s">
        <v>1318</v>
      </c>
      <c r="G153" s="3" t="s">
        <v>1319</v>
      </c>
      <c r="H153" s="6">
        <v>0.42</v>
      </c>
      <c r="I153" s="6">
        <v>1.5</v>
      </c>
      <c r="J153" s="6">
        <v>13.6</v>
      </c>
      <c r="K153" s="5">
        <v>55</v>
      </c>
      <c r="L153" s="6"/>
      <c r="M153" s="6"/>
      <c r="N153" s="7"/>
      <c r="O153" s="23"/>
      <c r="P153" s="6"/>
      <c r="Q153" s="6"/>
      <c r="R153" s="5">
        <v>48</v>
      </c>
      <c r="S153" s="6"/>
      <c r="T153" s="31"/>
      <c r="U153" s="6"/>
      <c r="V153" s="23"/>
      <c r="W153" s="6"/>
      <c r="X153" s="6"/>
      <c r="Y153" s="5"/>
      <c r="Z153" s="3"/>
      <c r="AA153" s="6">
        <f>H153*I153/100</f>
      </c>
      <c r="AB153" s="6">
        <f>H153*J153/100</f>
      </c>
      <c r="AC153" s="7">
        <f>H153*K153</f>
      </c>
      <c r="AD153" s="7">
        <f>H153*M153</f>
      </c>
      <c r="AE153" s="6">
        <f>H153*L153/100</f>
      </c>
      <c r="AF153" s="6">
        <f>AA153+AB153+AE153</f>
      </c>
      <c r="AG153" s="6">
        <f>I153+J153+L153</f>
      </c>
      <c r="AH153" s="53">
        <f>$H153*I153</f>
      </c>
      <c r="AI153" s="53">
        <f>$H153*J153</f>
      </c>
      <c r="AJ153" s="53">
        <f>$H153*K153</f>
      </c>
      <c r="AK153" s="53">
        <f>$H153*L153</f>
      </c>
      <c r="AL153" s="53">
        <f>$H153*M153</f>
      </c>
      <c r="AM153" s="3"/>
      <c r="AN153" s="5"/>
      <c r="AO153" s="5"/>
      <c r="AP153" s="5"/>
      <c r="AQ153" s="3"/>
    </row>
    <row x14ac:dyDescent="0.25" r="154" customHeight="1" ht="12.75">
      <c r="A154" s="5" t="s">
        <v>122</v>
      </c>
      <c r="B154" s="3" t="s">
        <v>1095</v>
      </c>
      <c r="C154" s="3" t="s">
        <v>866</v>
      </c>
      <c r="D154" s="3" t="s">
        <v>988</v>
      </c>
      <c r="E154" s="38" t="s">
        <v>859</v>
      </c>
      <c r="F154" s="3" t="s">
        <v>1171</v>
      </c>
      <c r="G154" s="3" t="s">
        <v>1320</v>
      </c>
      <c r="H154" s="5">
        <v>95</v>
      </c>
      <c r="I154" s="6">
        <v>1.43</v>
      </c>
      <c r="J154" s="6">
        <v>3.63</v>
      </c>
      <c r="K154" s="6">
        <v>44.2</v>
      </c>
      <c r="L154" s="6">
        <v>0.59</v>
      </c>
      <c r="M154" s="6"/>
      <c r="N154" s="7"/>
      <c r="O154" s="23"/>
      <c r="P154" s="6"/>
      <c r="Q154" s="6"/>
      <c r="R154" s="31"/>
      <c r="S154" s="6"/>
      <c r="T154" s="31"/>
      <c r="U154" s="6"/>
      <c r="V154" s="23"/>
      <c r="W154" s="6"/>
      <c r="X154" s="6"/>
      <c r="Y154" s="5"/>
      <c r="Z154" s="3"/>
      <c r="AA154" s="6">
        <f>H154*I154/100</f>
      </c>
      <c r="AB154" s="6">
        <f>H154*J154/100</f>
      </c>
      <c r="AC154" s="7">
        <f>H154*K154</f>
      </c>
      <c r="AD154" s="7">
        <f>H154*M154</f>
      </c>
      <c r="AE154" s="6">
        <f>H154*L154/100</f>
      </c>
      <c r="AF154" s="6">
        <f>AA154+AB154+AE154</f>
      </c>
      <c r="AG154" s="6">
        <f>I154+J154+L154</f>
      </c>
      <c r="AH154" s="53">
        <f>$H154*I154</f>
      </c>
      <c r="AI154" s="53">
        <f>$H154*J154</f>
      </c>
      <c r="AJ154" s="53">
        <f>$H154*K154</f>
      </c>
      <c r="AK154" s="53">
        <f>$H154*L154</f>
      </c>
      <c r="AL154" s="53">
        <f>$H154*M154</f>
      </c>
      <c r="AM154" s="3"/>
      <c r="AN154" s="5"/>
      <c r="AO154" s="5"/>
      <c r="AP154" s="5"/>
      <c r="AQ154" s="3"/>
    </row>
    <row x14ac:dyDescent="0.25" r="155" customHeight="1" ht="12.75">
      <c r="A155" s="5" t="s">
        <v>238</v>
      </c>
      <c r="B155" s="3" t="s">
        <v>1096</v>
      </c>
      <c r="C155" s="3" t="s">
        <v>856</v>
      </c>
      <c r="D155" s="3" t="s">
        <v>924</v>
      </c>
      <c r="E155" s="3" t="s">
        <v>855</v>
      </c>
      <c r="F155" s="3" t="s">
        <v>1180</v>
      </c>
      <c r="G155" s="3" t="s">
        <v>1181</v>
      </c>
      <c r="H155" s="6">
        <f>1+0.7+2.4</f>
      </c>
      <c r="I155" s="7">
        <f>(1.38*1+1*0.7+0.7*2.4)/$H155</f>
      </c>
      <c r="J155" s="7">
        <f>(10.9*1+11*0.7+9*2.4)/$H155</f>
      </c>
      <c r="K155" s="31">
        <f>(296*1+320*0.7+300*2.4)/$H155</f>
      </c>
      <c r="L155" s="6"/>
      <c r="M155" s="6"/>
      <c r="N155" s="7"/>
      <c r="O155" s="23"/>
      <c r="P155" s="6"/>
      <c r="Q155" s="6"/>
      <c r="R155" s="31"/>
      <c r="S155" s="6"/>
      <c r="T155" s="31"/>
      <c r="U155" s="6"/>
      <c r="V155" s="23"/>
      <c r="W155" s="6"/>
      <c r="X155" s="6"/>
      <c r="Y155" s="5"/>
      <c r="Z155" s="3"/>
      <c r="AA155" s="6">
        <f>H155*I155/100</f>
      </c>
      <c r="AB155" s="6">
        <f>H155*J155/100</f>
      </c>
      <c r="AC155" s="7">
        <f>H155*K155</f>
      </c>
      <c r="AD155" s="7">
        <f>H155*M155</f>
      </c>
      <c r="AE155" s="6">
        <f>H155*L155/100</f>
      </c>
      <c r="AF155" s="6">
        <f>AA155+AB155+AE155</f>
      </c>
      <c r="AG155" s="6">
        <f>I155+J155+L155</f>
      </c>
      <c r="AH155" s="53">
        <f>$H155*I155</f>
      </c>
      <c r="AI155" s="53">
        <f>$H155*J155</f>
      </c>
      <c r="AJ155" s="53">
        <f>$H155*K155</f>
      </c>
      <c r="AK155" s="53">
        <f>$H155*L155</f>
      </c>
      <c r="AL155" s="53">
        <f>$H155*M155</f>
      </c>
      <c r="AM155" s="3"/>
      <c r="AN155" s="5"/>
      <c r="AO155" s="5"/>
      <c r="AP155" s="5"/>
      <c r="AQ155" s="3"/>
    </row>
    <row x14ac:dyDescent="0.25" r="156" customHeight="1" ht="12.75">
      <c r="A156" s="5" t="s">
        <v>279</v>
      </c>
      <c r="B156" s="3" t="s">
        <v>1096</v>
      </c>
      <c r="C156" s="3" t="s">
        <v>1014</v>
      </c>
      <c r="D156" s="3" t="s">
        <v>924</v>
      </c>
      <c r="E156" s="3" t="s">
        <v>855</v>
      </c>
      <c r="F156" s="3" t="s">
        <v>1180</v>
      </c>
      <c r="G156" s="3" t="s">
        <v>1181</v>
      </c>
      <c r="H156" s="6">
        <f>0.53+0.5+1.3</f>
      </c>
      <c r="I156" s="7">
        <f>(2.65*0.53+2.4*0.5+2*1.3)/$H156</f>
      </c>
      <c r="J156" s="7">
        <f>(9.63*0.53+9.7*0.5+8*1.3)/$H156</f>
      </c>
      <c r="K156" s="31">
        <f>(207*0.53+200*0.5+200*1.3)/$H156</f>
      </c>
      <c r="L156" s="6"/>
      <c r="M156" s="6"/>
      <c r="N156" s="7"/>
      <c r="O156" s="23"/>
      <c r="P156" s="6"/>
      <c r="Q156" s="6"/>
      <c r="R156" s="31"/>
      <c r="S156" s="6"/>
      <c r="T156" s="31"/>
      <c r="U156" s="6"/>
      <c r="V156" s="23"/>
      <c r="W156" s="6"/>
      <c r="X156" s="6"/>
      <c r="Y156" s="5"/>
      <c r="Z156" s="3"/>
      <c r="AA156" s="6">
        <f>H156*I156/100</f>
      </c>
      <c r="AB156" s="6">
        <f>H156*J156/100</f>
      </c>
      <c r="AC156" s="7">
        <f>H156*K156</f>
      </c>
      <c r="AD156" s="7">
        <f>H156*M156</f>
      </c>
      <c r="AE156" s="6">
        <f>H156*L156/100</f>
      </c>
      <c r="AF156" s="6">
        <f>AA156+AB156+AE156</f>
      </c>
      <c r="AG156" s="6">
        <f>I156+J156+L156</f>
      </c>
      <c r="AH156" s="53">
        <f>$H156*I156</f>
      </c>
      <c r="AI156" s="53">
        <f>$H156*J156</f>
      </c>
      <c r="AJ156" s="53">
        <f>$H156*K156</f>
      </c>
      <c r="AK156" s="53">
        <f>$H156*L156</f>
      </c>
      <c r="AL156" s="53">
        <f>$H156*M156</f>
      </c>
      <c r="AM156" s="3"/>
      <c r="AN156" s="5"/>
      <c r="AO156" s="5"/>
      <c r="AP156" s="5"/>
      <c r="AQ156" s="3"/>
    </row>
    <row x14ac:dyDescent="0.25" r="157" customHeight="1" ht="12.75">
      <c r="A157" s="5" t="s">
        <v>1036</v>
      </c>
      <c r="B157" s="3" t="s">
        <v>1096</v>
      </c>
      <c r="C157" s="3" t="s">
        <v>1084</v>
      </c>
      <c r="D157" s="3" t="s">
        <v>924</v>
      </c>
      <c r="E157" s="16" t="s">
        <v>1247</v>
      </c>
      <c r="F157" s="3" t="s">
        <v>1321</v>
      </c>
      <c r="G157" s="3" t="s">
        <v>1322</v>
      </c>
      <c r="H157" s="23">
        <f>0.18378652+0.18151308</f>
      </c>
      <c r="I157" s="6">
        <f>(0.16*0.18378652+0.47*0.18151308)/$H157</f>
      </c>
      <c r="J157" s="6">
        <f>(1.47*0.18378652+3*0.18151308)/$H157</f>
      </c>
      <c r="K157" s="7">
        <f>(8.12*0.18378652+17.85*0.18151308)/$H157</f>
      </c>
      <c r="L157" s="6"/>
      <c r="M157" s="6"/>
      <c r="N157" s="7"/>
      <c r="O157" s="23"/>
      <c r="P157" s="6"/>
      <c r="Q157" s="6"/>
      <c r="R157" s="31"/>
      <c r="S157" s="6"/>
      <c r="T157" s="31"/>
      <c r="U157" s="6"/>
      <c r="V157" s="23"/>
      <c r="W157" s="6"/>
      <c r="X157" s="6"/>
      <c r="Y157" s="5"/>
      <c r="Z157" s="3"/>
      <c r="AA157" s="6">
        <f>H157*I157/100</f>
      </c>
      <c r="AB157" s="6">
        <f>H157*J157/100</f>
      </c>
      <c r="AC157" s="7">
        <f>H157*K157</f>
      </c>
      <c r="AD157" s="7">
        <f>H157*M157</f>
      </c>
      <c r="AE157" s="6">
        <f>H157*L157/100</f>
      </c>
      <c r="AF157" s="6">
        <f>AA157+AB157+AE157</f>
      </c>
      <c r="AG157" s="6">
        <f>I157+J157+L157</f>
      </c>
      <c r="AH157" s="53">
        <f>$H157*I157</f>
      </c>
      <c r="AI157" s="53">
        <f>$H157*J157</f>
      </c>
      <c r="AJ157" s="53">
        <f>$H157*K157</f>
      </c>
      <c r="AK157" s="53">
        <f>$H157*L157</f>
      </c>
      <c r="AL157" s="53">
        <f>$H157*M157</f>
      </c>
      <c r="AM157" s="3"/>
      <c r="AN157" s="5"/>
      <c r="AO157" s="5"/>
      <c r="AP157" s="5"/>
      <c r="AQ157" s="3"/>
    </row>
    <row x14ac:dyDescent="0.25" r="158" customHeight="1" ht="12.75">
      <c r="A158" s="5" t="s">
        <v>617</v>
      </c>
      <c r="B158" s="3" t="s">
        <v>1096</v>
      </c>
      <c r="C158" s="3" t="s">
        <v>856</v>
      </c>
      <c r="D158" s="3" t="s">
        <v>924</v>
      </c>
      <c r="E158" s="3" t="s">
        <v>855</v>
      </c>
      <c r="F158" s="3" t="s">
        <v>1321</v>
      </c>
      <c r="G158" s="3" t="s">
        <v>1323</v>
      </c>
      <c r="H158" s="6">
        <v>0.1163</v>
      </c>
      <c r="I158" s="6">
        <v>1.2</v>
      </c>
      <c r="J158" s="6">
        <v>5.1</v>
      </c>
      <c r="K158" s="5">
        <v>54</v>
      </c>
      <c r="L158" s="6"/>
      <c r="M158" s="6"/>
      <c r="N158" s="7"/>
      <c r="O158" s="23"/>
      <c r="P158" s="6"/>
      <c r="Q158" s="6"/>
      <c r="R158" s="31"/>
      <c r="S158" s="6"/>
      <c r="T158" s="31"/>
      <c r="U158" s="6"/>
      <c r="V158" s="23"/>
      <c r="W158" s="6"/>
      <c r="X158" s="6"/>
      <c r="Y158" s="5"/>
      <c r="Z158" s="3"/>
      <c r="AA158" s="6">
        <f>H158*I158/100</f>
      </c>
      <c r="AB158" s="6">
        <f>H158*J158/100</f>
      </c>
      <c r="AC158" s="7">
        <f>H158*K158</f>
      </c>
      <c r="AD158" s="7">
        <f>H158*M158</f>
      </c>
      <c r="AE158" s="6">
        <f>H158*L158/100</f>
      </c>
      <c r="AF158" s="6">
        <f>AA158+AB158+AE158</f>
      </c>
      <c r="AG158" s="6">
        <f>I158+J158+L158</f>
      </c>
      <c r="AH158" s="53">
        <f>$H158*I158</f>
      </c>
      <c r="AI158" s="53">
        <f>$H158*J158</f>
      </c>
      <c r="AJ158" s="53">
        <f>$H158*K158</f>
      </c>
      <c r="AK158" s="53">
        <f>$H158*L158</f>
      </c>
      <c r="AL158" s="53">
        <f>$H158*M158</f>
      </c>
      <c r="AM158" s="3"/>
      <c r="AN158" s="5"/>
      <c r="AO158" s="5"/>
      <c r="AP158" s="5"/>
      <c r="AQ158" s="3"/>
    </row>
    <row x14ac:dyDescent="0.25" r="159" customHeight="1" ht="12.75">
      <c r="A159" s="5" t="s">
        <v>187</v>
      </c>
      <c r="B159" s="3" t="s">
        <v>1096</v>
      </c>
      <c r="C159" s="3" t="s">
        <v>866</v>
      </c>
      <c r="D159" s="3" t="s">
        <v>988</v>
      </c>
      <c r="E159" s="3" t="s">
        <v>855</v>
      </c>
      <c r="F159" s="3" t="s">
        <v>1324</v>
      </c>
      <c r="G159" s="3" t="s">
        <v>1325</v>
      </c>
      <c r="H159" s="6">
        <f>10.781799+110.769594+75.728745+10.551449+46.177497+69.705696+9.656149+67.054896+34.429848+50.149506</f>
      </c>
      <c r="I159" s="6">
        <f>(0.13*10.781799+0.13*110.769594+0.13*75.728745+0.03*10.551449+0.03*46.177497+0.02*69.705696+0.05*9.656149+0.04*67.054896+0.03*34.429848+0.09*50.149506)/$H159</f>
      </c>
      <c r="J159" s="6">
        <f>(0.04*10.781799+0.08*110.769594+0.1*75.728745+0.004*10.551449+0.004*46.177497+0*69.705696+0.03*9.656149+0.02*67.054896+0.01*34.429848+0.05*50.149506)/$H159</f>
      </c>
      <c r="K159" s="7">
        <f>(40*10.781799+29.3*110.769594+23*75.728745+26.1*10.551449+21.7*46.177497+17.6*69.705696+34.2*9.656149+28*67.054896+22.9*34.429848+12*50.149506)/$H159</f>
      </c>
      <c r="L159" s="6">
        <f>(0.01*10.781799+0.01*110.769594+0.01*75.728745+0.02*10.551449+0.02*46.177497+0.02*69.705696+0.04*9.656149+0.05*67.054896+0.05*34.429848+0.02*50.149506)/$H159</f>
      </c>
      <c r="M159" s="6"/>
      <c r="N159" s="7"/>
      <c r="O159" s="23"/>
      <c r="P159" s="6"/>
      <c r="Q159" s="6"/>
      <c r="R159" s="7">
        <f>(6.3*10.781799+6.9*110.769594+6.6*75.728745+2.7*10.551449+2.8*46.177497+2.6*69.705696+9.5*9.656149+6*67.054896+3.2*34.429848+2.9*50.149506)/$H159</f>
      </c>
      <c r="S159" s="6"/>
      <c r="T159" s="31"/>
      <c r="U159" s="6"/>
      <c r="V159" s="7"/>
      <c r="W159" s="7"/>
      <c r="X159" s="7"/>
      <c r="Y159" s="7">
        <f>(2.8*10.781799+3.1*110.769594+3.1*75.728745+5.7*10.551449+5.5*46.177497+4.8*69.705696+5*9.656149+5.2*67.054896+5.2*34.429848+5*50.149506)/$H159</f>
      </c>
      <c r="Z159" s="3" t="s">
        <v>995</v>
      </c>
      <c r="AA159" s="6">
        <f>H159*I159/100</f>
      </c>
      <c r="AB159" s="6">
        <f>H159*J159/100</f>
      </c>
      <c r="AC159" s="7">
        <f>H159*K159</f>
      </c>
      <c r="AD159" s="7">
        <f>H159*M159</f>
      </c>
      <c r="AE159" s="6">
        <f>H159*L159/100</f>
      </c>
      <c r="AF159" s="6">
        <f>AA159+AB159+AE159</f>
      </c>
      <c r="AG159" s="6">
        <f>I159+J159+L159</f>
      </c>
      <c r="AH159" s="53">
        <f>$H159*I159</f>
      </c>
      <c r="AI159" s="53">
        <f>$H159*J159</f>
      </c>
      <c r="AJ159" s="53">
        <f>$H159*K159</f>
      </c>
      <c r="AK159" s="53">
        <f>$H159*L159</f>
      </c>
      <c r="AL159" s="53">
        <f>$H159*M159</f>
      </c>
      <c r="AM159" s="3"/>
      <c r="AN159" s="5"/>
      <c r="AO159" s="5"/>
      <c r="AP159" s="5"/>
      <c r="AQ159" s="3"/>
    </row>
    <row x14ac:dyDescent="0.25" r="160" customHeight="1" ht="12.75">
      <c r="A160" s="5" t="s">
        <v>667</v>
      </c>
      <c r="B160" s="3" t="s">
        <v>1096</v>
      </c>
      <c r="C160" s="3" t="s">
        <v>856</v>
      </c>
      <c r="D160" s="3"/>
      <c r="E160" s="3" t="s">
        <v>855</v>
      </c>
      <c r="F160" s="3" t="s">
        <v>1321</v>
      </c>
      <c r="G160" s="3" t="s">
        <v>1323</v>
      </c>
      <c r="H160" s="23">
        <v>18.4161</v>
      </c>
      <c r="I160" s="6">
        <v>0.68</v>
      </c>
      <c r="J160" s="6">
        <v>1.16</v>
      </c>
      <c r="K160" s="6">
        <v>43.04</v>
      </c>
      <c r="L160" s="6"/>
      <c r="M160" s="6"/>
      <c r="N160" s="7"/>
      <c r="O160" s="23"/>
      <c r="P160" s="6"/>
      <c r="Q160" s="6"/>
      <c r="R160" s="31"/>
      <c r="S160" s="6"/>
      <c r="T160" s="31"/>
      <c r="U160" s="6"/>
      <c r="V160" s="23"/>
      <c r="W160" s="6"/>
      <c r="X160" s="6"/>
      <c r="Y160" s="5"/>
      <c r="Z160" s="3"/>
      <c r="AA160" s="6">
        <f>H160*I160/100</f>
      </c>
      <c r="AB160" s="6">
        <f>H160*J160/100</f>
      </c>
      <c r="AC160" s="7">
        <f>H160*K160</f>
      </c>
      <c r="AD160" s="7">
        <f>H160*M160</f>
      </c>
      <c r="AE160" s="6">
        <f>H160*L160/100</f>
      </c>
      <c r="AF160" s="6">
        <f>AA160+AB160+AE160</f>
      </c>
      <c r="AG160" s="6">
        <f>I160+J160+L160</f>
      </c>
      <c r="AH160" s="53">
        <f>$H160*I160</f>
      </c>
      <c r="AI160" s="53">
        <f>$H160*J160</f>
      </c>
      <c r="AJ160" s="53">
        <f>$H160*K160</f>
      </c>
      <c r="AK160" s="53">
        <f>$H160*L160</f>
      </c>
      <c r="AL160" s="53">
        <f>$H160*M160</f>
      </c>
      <c r="AM160" s="3"/>
      <c r="AN160" s="5"/>
      <c r="AO160" s="5"/>
      <c r="AP160" s="5"/>
      <c r="AQ160" s="3"/>
    </row>
    <row x14ac:dyDescent="0.25" r="161" customHeight="1" ht="12.75">
      <c r="A161" s="5" t="s">
        <v>502</v>
      </c>
      <c r="B161" s="3" t="s">
        <v>1096</v>
      </c>
      <c r="C161" s="3" t="s">
        <v>1014</v>
      </c>
      <c r="D161" s="3"/>
      <c r="E161" s="3" t="s">
        <v>855</v>
      </c>
      <c r="F161" s="3" t="s">
        <v>1180</v>
      </c>
      <c r="G161" s="3" t="s">
        <v>1181</v>
      </c>
      <c r="H161" s="6">
        <f>0.23+0.4+1.6</f>
      </c>
      <c r="I161" s="7">
        <f>(0.35*0.23+0.5*0.4+0.5*1.6)/$H161</f>
      </c>
      <c r="J161" s="7">
        <f>(7.23*0.23+6.4*0.4+6*1.6)/$H161</f>
      </c>
      <c r="K161" s="31">
        <f>(160*0.23+240*0.4+200*1.6)/$H161</f>
      </c>
      <c r="L161" s="6"/>
      <c r="M161" s="6"/>
      <c r="N161" s="7"/>
      <c r="O161" s="23"/>
      <c r="P161" s="6"/>
      <c r="Q161" s="6"/>
      <c r="R161" s="31"/>
      <c r="S161" s="6"/>
      <c r="T161" s="31"/>
      <c r="U161" s="6"/>
      <c r="V161" s="23"/>
      <c r="W161" s="6"/>
      <c r="X161" s="6"/>
      <c r="Y161" s="5"/>
      <c r="Z161" s="3"/>
      <c r="AA161" s="6">
        <f>H161*I161/100</f>
      </c>
      <c r="AB161" s="6">
        <f>H161*J161/100</f>
      </c>
      <c r="AC161" s="7">
        <f>H161*K161</f>
      </c>
      <c r="AD161" s="7">
        <f>H161*M161</f>
      </c>
      <c r="AE161" s="6">
        <f>H161*L161/100</f>
      </c>
      <c r="AF161" s="6">
        <f>AA161+AB161+AE161</f>
      </c>
      <c r="AG161" s="6">
        <f>I161+J161+L161</f>
      </c>
      <c r="AH161" s="53">
        <f>$H161*I161</f>
      </c>
      <c r="AI161" s="53">
        <f>$H161*J161</f>
      </c>
      <c r="AJ161" s="53">
        <f>$H161*K161</f>
      </c>
      <c r="AK161" s="53">
        <f>$H161*L161</f>
      </c>
      <c r="AL161" s="53">
        <f>$H161*M161</f>
      </c>
      <c r="AM161" s="3"/>
      <c r="AN161" s="5"/>
      <c r="AO161" s="5"/>
      <c r="AP161" s="5"/>
      <c r="AQ161" s="3"/>
    </row>
    <row x14ac:dyDescent="0.25" r="162" customHeight="1" ht="12.75">
      <c r="A162" s="5" t="s">
        <v>334</v>
      </c>
      <c r="B162" s="3" t="s">
        <v>1096</v>
      </c>
      <c r="C162" s="3" t="s">
        <v>1014</v>
      </c>
      <c r="D162" s="3"/>
      <c r="E162" s="3" t="s">
        <v>855</v>
      </c>
      <c r="F162" s="3" t="s">
        <v>1180</v>
      </c>
      <c r="G162" s="3" t="s">
        <v>1181</v>
      </c>
      <c r="H162" s="6">
        <f>0.75+0.4+1.2</f>
      </c>
      <c r="I162" s="7">
        <f>(0.65*0.75+1*0.4+0.9*1.2)/$H162</f>
      </c>
      <c r="J162" s="7">
        <f>(9.18*0.75+9.7*0.4+9*1.2)/$H162</f>
      </c>
      <c r="K162" s="31">
        <f>(105*0.75+100*0.4+80*1.2)/$H162</f>
      </c>
      <c r="L162" s="6"/>
      <c r="M162" s="6"/>
      <c r="N162" s="7"/>
      <c r="O162" s="23"/>
      <c r="P162" s="6"/>
      <c r="Q162" s="6"/>
      <c r="R162" s="31"/>
      <c r="S162" s="6"/>
      <c r="T162" s="31"/>
      <c r="U162" s="6"/>
      <c r="V162" s="23"/>
      <c r="W162" s="6"/>
      <c r="X162" s="6"/>
      <c r="Y162" s="5"/>
      <c r="Z162" s="3"/>
      <c r="AA162" s="6">
        <f>H162*I162/100</f>
      </c>
      <c r="AB162" s="6">
        <f>H162*J162/100</f>
      </c>
      <c r="AC162" s="7">
        <f>H162*K162</f>
      </c>
      <c r="AD162" s="7">
        <f>H162*M162</f>
      </c>
      <c r="AE162" s="6">
        <f>H162*L162/100</f>
      </c>
      <c r="AF162" s="6">
        <f>AA162+AB162+AE162</f>
      </c>
      <c r="AG162" s="6">
        <f>I162+J162+L162</f>
      </c>
      <c r="AH162" s="53">
        <f>$H162*I162</f>
      </c>
      <c r="AI162" s="53">
        <f>$H162*J162</f>
      </c>
      <c r="AJ162" s="53">
        <f>$H162*K162</f>
      </c>
      <c r="AK162" s="53">
        <f>$H162*L162</f>
      </c>
      <c r="AL162" s="53">
        <f>$H162*M162</f>
      </c>
      <c r="AM162" s="3"/>
      <c r="AN162" s="5"/>
      <c r="AO162" s="5"/>
      <c r="AP162" s="5"/>
      <c r="AQ162" s="3"/>
    </row>
    <row x14ac:dyDescent="0.25" r="163" customHeight="1" ht="12.75">
      <c r="A163" s="5" t="s">
        <v>562</v>
      </c>
      <c r="B163" s="3" t="s">
        <v>1096</v>
      </c>
      <c r="C163" s="3" t="s">
        <v>856</v>
      </c>
      <c r="D163" s="3"/>
      <c r="E163" s="3" t="s">
        <v>855</v>
      </c>
      <c r="F163" s="3" t="s">
        <v>1326</v>
      </c>
      <c r="G163" s="3" t="s">
        <v>1327</v>
      </c>
      <c r="H163" s="6">
        <f>1.5+0.248+9.283+2.572+6.197+0.943</f>
      </c>
      <c r="I163" s="6">
        <f>(0.96*1.5+0.55*0.248+0.66*9.283+0.92*2.572+0.86*6.197+0.43*0.943)/$H163</f>
      </c>
      <c r="J163" s="6">
        <f>(0.13*1.5+0.31*0.248+1.32*9.283+1.36*2.572+1.74*6.197+1.61*0.943)/$H163</f>
      </c>
      <c r="K163" s="7">
        <f>(95.9*1.5+71.2*0.248+44.1*9.283+33.4*2.572+213.6*6.197+193.1*0.943)/$H163</f>
      </c>
      <c r="L163" s="6"/>
      <c r="M163" s="6"/>
      <c r="N163" s="7"/>
      <c r="O163" s="23"/>
      <c r="P163" s="6"/>
      <c r="Q163" s="6"/>
      <c r="R163" s="31"/>
      <c r="S163" s="6"/>
      <c r="T163" s="31"/>
      <c r="U163" s="6"/>
      <c r="V163" s="23"/>
      <c r="W163" s="6"/>
      <c r="X163" s="6"/>
      <c r="Y163" s="5"/>
      <c r="Z163" s="3"/>
      <c r="AA163" s="6">
        <f>H163*I163/100</f>
      </c>
      <c r="AB163" s="6">
        <f>H163*J163/100</f>
      </c>
      <c r="AC163" s="7">
        <f>H163*K163</f>
      </c>
      <c r="AD163" s="7">
        <f>H163*M163</f>
      </c>
      <c r="AE163" s="6">
        <f>H163*L163/100</f>
      </c>
      <c r="AF163" s="6">
        <f>AA163+AB163+AE163</f>
      </c>
      <c r="AG163" s="6">
        <f>I163+J163+L163</f>
      </c>
      <c r="AH163" s="53">
        <f>$H163*I163</f>
      </c>
      <c r="AI163" s="53">
        <f>$H163*J163</f>
      </c>
      <c r="AJ163" s="53">
        <f>$H163*K163</f>
      </c>
      <c r="AK163" s="53">
        <f>$H163*L163</f>
      </c>
      <c r="AL163" s="53">
        <f>$H163*M163</f>
      </c>
      <c r="AM163" s="3"/>
      <c r="AN163" s="5"/>
      <c r="AO163" s="5"/>
      <c r="AP163" s="5"/>
      <c r="AQ163" s="3"/>
    </row>
    <row x14ac:dyDescent="0.25" r="164" customHeight="1" ht="12.75">
      <c r="A164" s="5" t="s">
        <v>493</v>
      </c>
      <c r="B164" s="3" t="s">
        <v>1096</v>
      </c>
      <c r="C164" s="3" t="s">
        <v>856</v>
      </c>
      <c r="D164" s="3"/>
      <c r="E164" s="3" t="s">
        <v>855</v>
      </c>
      <c r="F164" s="3" t="s">
        <v>1184</v>
      </c>
      <c r="G164" s="3" t="s">
        <v>1185</v>
      </c>
      <c r="H164" s="6">
        <f>2.1+0.7+0.5+0.2+3.1</f>
      </c>
      <c r="I164" s="6">
        <f>(0.35*2.1+0.34*0.7+0.19*0.5+0.12*0.2+0.28*3.1)/$H164</f>
      </c>
      <c r="J164" s="6">
        <f>(2.85*2.1+2.55*0.7+2.16*0.5+1.47*0.2+2.53*3.1)/$H164</f>
      </c>
      <c r="K164" s="31">
        <f>(413*2.1+406*0.7+117*0.5+129*0.2+330*3.1)/$H164</f>
      </c>
      <c r="L164" s="6"/>
      <c r="M164" s="6"/>
      <c r="N164" s="7"/>
      <c r="O164" s="23"/>
      <c r="P164" s="6"/>
      <c r="Q164" s="6"/>
      <c r="R164" s="31"/>
      <c r="S164" s="6"/>
      <c r="T164" s="31"/>
      <c r="U164" s="6"/>
      <c r="V164" s="23"/>
      <c r="W164" s="6"/>
      <c r="X164" s="6"/>
      <c r="Y164" s="5"/>
      <c r="Z164" s="3"/>
      <c r="AA164" s="6">
        <f>H164*I164/100</f>
      </c>
      <c r="AB164" s="6">
        <f>H164*J164/100</f>
      </c>
      <c r="AC164" s="7">
        <f>H164*K164</f>
      </c>
      <c r="AD164" s="7">
        <f>H164*M164</f>
      </c>
      <c r="AE164" s="6">
        <f>H164*L164/100</f>
      </c>
      <c r="AF164" s="6">
        <f>AA164+AB164+AE164</f>
      </c>
      <c r="AG164" s="6">
        <f>I164+J164+L164</f>
      </c>
      <c r="AH164" s="53">
        <f>$H164*I164</f>
      </c>
      <c r="AI164" s="53">
        <f>$H164*J164</f>
      </c>
      <c r="AJ164" s="53">
        <f>$H164*K164</f>
      </c>
      <c r="AK164" s="53">
        <f>$H164*L164</f>
      </c>
      <c r="AL164" s="53">
        <f>$H164*M164</f>
      </c>
      <c r="AM164" s="3"/>
      <c r="AN164" s="5"/>
      <c r="AO164" s="5"/>
      <c r="AP164" s="5"/>
      <c r="AQ164" s="3"/>
    </row>
    <row x14ac:dyDescent="0.25" r="165" customHeight="1" ht="12.75">
      <c r="A165" s="5" t="s">
        <v>658</v>
      </c>
      <c r="B165" s="3" t="s">
        <v>1097</v>
      </c>
      <c r="C165" s="3" t="s">
        <v>866</v>
      </c>
      <c r="D165" s="3" t="s">
        <v>988</v>
      </c>
      <c r="E165" s="3" t="s">
        <v>855</v>
      </c>
      <c r="F165" s="3" t="s">
        <v>1328</v>
      </c>
      <c r="G165" s="3" t="s">
        <v>1201</v>
      </c>
      <c r="H165" s="6">
        <v>14.4</v>
      </c>
      <c r="I165" s="6">
        <v>0.76</v>
      </c>
      <c r="J165" s="6">
        <v>1.75</v>
      </c>
      <c r="K165" s="6">
        <v>6.93</v>
      </c>
      <c r="L165" s="6"/>
      <c r="M165" s="6"/>
      <c r="N165" s="7"/>
      <c r="O165" s="23"/>
      <c r="P165" s="6"/>
      <c r="Q165" s="6"/>
      <c r="R165" s="31"/>
      <c r="S165" s="6"/>
      <c r="T165" s="31"/>
      <c r="U165" s="6"/>
      <c r="V165" s="23"/>
      <c r="W165" s="6"/>
      <c r="X165" s="6"/>
      <c r="Y165" s="5"/>
      <c r="Z165" s="3"/>
      <c r="AA165" s="6">
        <f>H165*I165/100</f>
      </c>
      <c r="AB165" s="6">
        <f>H165*J165/100</f>
      </c>
      <c r="AC165" s="7">
        <f>H165*K165</f>
      </c>
      <c r="AD165" s="7">
        <f>H165*M165</f>
      </c>
      <c r="AE165" s="6">
        <f>H165*L165/100</f>
      </c>
      <c r="AF165" s="6">
        <f>AA165+AB165+AE165</f>
      </c>
      <c r="AG165" s="6">
        <f>I165+J165+L165</f>
      </c>
      <c r="AH165" s="53">
        <f>$H165*I165</f>
      </c>
      <c r="AI165" s="53">
        <f>$H165*J165</f>
      </c>
      <c r="AJ165" s="53">
        <f>$H165*K165</f>
      </c>
      <c r="AK165" s="53">
        <f>$H165*L165</f>
      </c>
      <c r="AL165" s="53">
        <f>$H165*M165</f>
      </c>
      <c r="AM165" s="3"/>
      <c r="AN165" s="5"/>
      <c r="AO165" s="5"/>
      <c r="AP165" s="5"/>
      <c r="AQ165" s="3"/>
    </row>
    <row x14ac:dyDescent="0.25" r="166" customHeight="1" ht="12.75">
      <c r="A166" s="5" t="s">
        <v>663</v>
      </c>
      <c r="B166" s="3" t="s">
        <v>1097</v>
      </c>
      <c r="C166" s="3" t="s">
        <v>866</v>
      </c>
      <c r="D166" s="3"/>
      <c r="E166" s="3" t="s">
        <v>855</v>
      </c>
      <c r="F166" s="3" t="s">
        <v>1328</v>
      </c>
      <c r="G166" s="3" t="s">
        <v>1201</v>
      </c>
      <c r="H166" s="6">
        <v>10.9</v>
      </c>
      <c r="I166" s="6">
        <v>1.4</v>
      </c>
      <c r="J166" s="6">
        <v>1.8</v>
      </c>
      <c r="K166" s="5"/>
      <c r="L166" s="6"/>
      <c r="M166" s="6"/>
      <c r="N166" s="7"/>
      <c r="O166" s="23"/>
      <c r="P166" s="6"/>
      <c r="Q166" s="6"/>
      <c r="R166" s="31"/>
      <c r="S166" s="6"/>
      <c r="T166" s="31"/>
      <c r="U166" s="6"/>
      <c r="V166" s="23"/>
      <c r="W166" s="6"/>
      <c r="X166" s="6"/>
      <c r="Y166" s="5"/>
      <c r="Z166" s="3"/>
      <c r="AA166" s="6">
        <f>H166*I166/100</f>
      </c>
      <c r="AB166" s="6">
        <f>H166*J166/100</f>
      </c>
      <c r="AC166" s="7">
        <f>H166*K166</f>
      </c>
      <c r="AD166" s="7">
        <f>H166*M166</f>
      </c>
      <c r="AE166" s="6">
        <f>H166*L166/100</f>
      </c>
      <c r="AF166" s="6">
        <f>AA166+AB166+AE166</f>
      </c>
      <c r="AG166" s="6">
        <f>I166+J166+L166</f>
      </c>
      <c r="AH166" s="53">
        <f>$H166*I166</f>
      </c>
      <c r="AI166" s="53">
        <f>$H166*J166</f>
      </c>
      <c r="AJ166" s="53">
        <f>$H166*K166</f>
      </c>
      <c r="AK166" s="53">
        <f>$H166*L166</f>
      </c>
      <c r="AL166" s="53">
        <f>$H166*M166</f>
      </c>
      <c r="AM166" s="3"/>
      <c r="AN166" s="5"/>
      <c r="AO166" s="5"/>
      <c r="AP166" s="5"/>
      <c r="AQ166" s="3"/>
    </row>
    <row x14ac:dyDescent="0.25" r="167" customHeight="1" ht="12.75">
      <c r="A167" s="5" t="s">
        <v>265</v>
      </c>
      <c r="B167" s="3" t="s">
        <v>1098</v>
      </c>
      <c r="C167" s="3" t="s">
        <v>870</v>
      </c>
      <c r="D167" s="3"/>
      <c r="E167" s="3" t="s">
        <v>855</v>
      </c>
      <c r="F167" s="3" t="s">
        <v>1329</v>
      </c>
      <c r="G167" s="3" t="s">
        <v>1330</v>
      </c>
      <c r="H167" s="6">
        <f>2.4+2.5+3.2+14.2+11.5</f>
      </c>
      <c r="I167" s="6">
        <f>(2.5*2.4+1.18*2.5+1.4*3.2+1.23*14.2+1.7*11.5)/$H167</f>
      </c>
      <c r="J167" s="6">
        <f>(7.15*2.4+3.5*2.5+3.9*3.2+3.39*14.2+5*11.5)/$H167</f>
      </c>
      <c r="K167" s="31">
        <f>(73*2.4+37*2.5+39*3.2+29*14.2+40*11.5)/$H167</f>
      </c>
      <c r="L167" s="6">
        <f>(0.51*2.4+1.36*2.5+0.8*3.2+0.07*14.2+0.1*11.5)/$H167</f>
      </c>
      <c r="M167" s="6">
        <f>(0.24*2.4+0.64*2.5+0.7*3.2+0.18*14.2+0.3*11.5)/$H167</f>
      </c>
      <c r="N167" s="7"/>
      <c r="O167" s="23"/>
      <c r="P167" s="6"/>
      <c r="Q167" s="6"/>
      <c r="R167" s="31"/>
      <c r="S167" s="6"/>
      <c r="T167" s="31"/>
      <c r="U167" s="6"/>
      <c r="V167" s="23"/>
      <c r="W167" s="6"/>
      <c r="X167" s="6"/>
      <c r="Y167" s="5"/>
      <c r="Z167" s="3"/>
      <c r="AA167" s="6">
        <f>H167*I167/100</f>
      </c>
      <c r="AB167" s="6">
        <f>H167*J167/100</f>
      </c>
      <c r="AC167" s="7">
        <f>H167*K167</f>
      </c>
      <c r="AD167" s="7">
        <f>H167*M167</f>
      </c>
      <c r="AE167" s="6">
        <f>H167*L167/100</f>
      </c>
      <c r="AF167" s="6">
        <f>AA167+AB167+AE167</f>
      </c>
      <c r="AG167" s="6">
        <f>I167+J167+L167</f>
      </c>
      <c r="AH167" s="53">
        <f>$H167*I167</f>
      </c>
      <c r="AI167" s="53">
        <f>$H167*J167</f>
      </c>
      <c r="AJ167" s="53">
        <f>$H167*K167</f>
      </c>
      <c r="AK167" s="53">
        <f>$H167*L167</f>
      </c>
      <c r="AL167" s="53">
        <f>$H167*M167</f>
      </c>
      <c r="AM167" s="3"/>
      <c r="AN167" s="5"/>
      <c r="AO167" s="5"/>
      <c r="AP167" s="5"/>
      <c r="AQ167" s="3"/>
    </row>
    <row x14ac:dyDescent="0.25" r="168" customHeight="1" ht="12.75">
      <c r="A168" s="5" t="s">
        <v>651</v>
      </c>
      <c r="B168" s="3" t="s">
        <v>1098</v>
      </c>
      <c r="C168" s="3" t="s">
        <v>866</v>
      </c>
      <c r="D168" s="3"/>
      <c r="E168" s="38" t="s">
        <v>859</v>
      </c>
      <c r="F168" s="3" t="s">
        <v>1171</v>
      </c>
      <c r="G168" s="3" t="s">
        <v>1331</v>
      </c>
      <c r="H168" s="5">
        <v>7</v>
      </c>
      <c r="I168" s="6">
        <v>4.7</v>
      </c>
      <c r="J168" s="6">
        <v>0.6</v>
      </c>
      <c r="K168" s="5">
        <v>30</v>
      </c>
      <c r="L168" s="6"/>
      <c r="M168" s="6"/>
      <c r="N168" s="7"/>
      <c r="O168" s="23"/>
      <c r="P168" s="6"/>
      <c r="Q168" s="6"/>
      <c r="R168" s="31"/>
      <c r="S168" s="6"/>
      <c r="T168" s="31"/>
      <c r="U168" s="6"/>
      <c r="V168" s="23"/>
      <c r="W168" s="6"/>
      <c r="X168" s="6"/>
      <c r="Y168" s="5"/>
      <c r="Z168" s="3"/>
      <c r="AA168" s="6">
        <f>H168*I168/100</f>
      </c>
      <c r="AB168" s="6">
        <f>H168*J168/100</f>
      </c>
      <c r="AC168" s="7">
        <f>H168*K168</f>
      </c>
      <c r="AD168" s="7">
        <f>H168*M168</f>
      </c>
      <c r="AE168" s="6">
        <f>H168*L168/100</f>
      </c>
      <c r="AF168" s="6">
        <f>AA168+AB168+AE168</f>
      </c>
      <c r="AG168" s="6">
        <f>I168+J168+L168</f>
      </c>
      <c r="AH168" s="53">
        <f>$H168*I168</f>
      </c>
      <c r="AI168" s="53">
        <f>$H168*J168</f>
      </c>
      <c r="AJ168" s="53">
        <f>$H168*K168</f>
      </c>
      <c r="AK168" s="53">
        <f>$H168*L168</f>
      </c>
      <c r="AL168" s="53">
        <f>$H168*M168</f>
      </c>
      <c r="AM168" s="3"/>
      <c r="AN168" s="5"/>
      <c r="AO168" s="5"/>
      <c r="AP168" s="5"/>
      <c r="AQ168" s="3"/>
    </row>
    <row x14ac:dyDescent="0.25" r="169" customHeight="1" ht="12.75">
      <c r="A169" s="5" t="s">
        <v>552</v>
      </c>
      <c r="B169" s="3" t="s">
        <v>1098</v>
      </c>
      <c r="C169" s="3" t="s">
        <v>866</v>
      </c>
      <c r="D169" s="3" t="s">
        <v>988</v>
      </c>
      <c r="E169" s="38" t="s">
        <v>859</v>
      </c>
      <c r="F169" s="3" t="s">
        <v>1171</v>
      </c>
      <c r="G169" s="3" t="s">
        <v>1331</v>
      </c>
      <c r="H169" s="6">
        <v>1.5</v>
      </c>
      <c r="I169" s="6">
        <v>3.5</v>
      </c>
      <c r="J169" s="6">
        <v>3.5</v>
      </c>
      <c r="K169" s="5">
        <v>60</v>
      </c>
      <c r="L169" s="6"/>
      <c r="M169" s="6"/>
      <c r="N169" s="7"/>
      <c r="O169" s="23"/>
      <c r="P169" s="6"/>
      <c r="Q169" s="6"/>
      <c r="R169" s="31"/>
      <c r="S169" s="6"/>
      <c r="T169" s="31"/>
      <c r="U169" s="6"/>
      <c r="V169" s="23"/>
      <c r="W169" s="6"/>
      <c r="X169" s="6"/>
      <c r="Y169" s="5"/>
      <c r="Z169" s="3"/>
      <c r="AA169" s="6">
        <f>H169*I169/100</f>
      </c>
      <c r="AB169" s="6">
        <f>H169*J169/100</f>
      </c>
      <c r="AC169" s="7">
        <f>H169*K169</f>
      </c>
      <c r="AD169" s="7">
        <f>H169*M169</f>
      </c>
      <c r="AE169" s="6">
        <f>H169*L169/100</f>
      </c>
      <c r="AF169" s="6">
        <f>AA169+AB169+AE169</f>
      </c>
      <c r="AG169" s="6">
        <f>I169+J169+L169</f>
      </c>
      <c r="AH169" s="53">
        <f>$H169*I169</f>
      </c>
      <c r="AI169" s="53">
        <f>$H169*J169</f>
      </c>
      <c r="AJ169" s="53">
        <f>$H169*K169</f>
      </c>
      <c r="AK169" s="53">
        <f>$H169*L169</f>
      </c>
      <c r="AL169" s="53">
        <f>$H169*M169</f>
      </c>
      <c r="AM169" s="3"/>
      <c r="AN169" s="5"/>
      <c r="AO169" s="5"/>
      <c r="AP169" s="5"/>
      <c r="AQ169" s="3"/>
    </row>
    <row x14ac:dyDescent="0.25" r="170" customHeight="1" ht="12.75">
      <c r="A170" s="5" t="s">
        <v>752</v>
      </c>
      <c r="B170" s="3" t="s">
        <v>1098</v>
      </c>
      <c r="C170" s="3" t="s">
        <v>866</v>
      </c>
      <c r="D170" s="3" t="s">
        <v>989</v>
      </c>
      <c r="E170" s="38" t="s">
        <v>859</v>
      </c>
      <c r="F170" s="3" t="s">
        <v>1171</v>
      </c>
      <c r="G170" s="3" t="s">
        <v>1173</v>
      </c>
      <c r="H170" s="5">
        <v>3</v>
      </c>
      <c r="I170" s="6"/>
      <c r="J170" s="6">
        <v>4.5</v>
      </c>
      <c r="K170" s="5"/>
      <c r="L170" s="6"/>
      <c r="M170" s="6"/>
      <c r="N170" s="7"/>
      <c r="O170" s="23"/>
      <c r="P170" s="6"/>
      <c r="Q170" s="6"/>
      <c r="R170" s="31"/>
      <c r="S170" s="6"/>
      <c r="T170" s="31"/>
      <c r="U170" s="6"/>
      <c r="V170" s="23"/>
      <c r="W170" s="6"/>
      <c r="X170" s="6"/>
      <c r="Y170" s="5"/>
      <c r="Z170" s="3"/>
      <c r="AA170" s="6">
        <f>H170*I170/100</f>
      </c>
      <c r="AB170" s="6">
        <f>H170*J170/100</f>
      </c>
      <c r="AC170" s="7">
        <f>H170*K170</f>
      </c>
      <c r="AD170" s="7">
        <f>H170*M170</f>
      </c>
      <c r="AE170" s="6">
        <f>H170*L170/100</f>
      </c>
      <c r="AF170" s="6">
        <f>AA170+AB170+AE170</f>
      </c>
      <c r="AG170" s="6">
        <f>I170+J170+L170</f>
      </c>
      <c r="AH170" s="53">
        <f>$H170*I170</f>
      </c>
      <c r="AI170" s="53">
        <f>$H170*J170</f>
      </c>
      <c r="AJ170" s="53">
        <f>$H170*K170</f>
      </c>
      <c r="AK170" s="53">
        <f>$H170*L170</f>
      </c>
      <c r="AL170" s="53">
        <f>$H170*M170</f>
      </c>
      <c r="AM170" s="3"/>
      <c r="AN170" s="5"/>
      <c r="AO170" s="5"/>
      <c r="AP170" s="5"/>
      <c r="AQ170" s="3"/>
    </row>
    <row x14ac:dyDescent="0.25" r="171" customHeight="1" ht="12.75">
      <c r="A171" s="5" t="s">
        <v>485</v>
      </c>
      <c r="B171" s="3" t="s">
        <v>1098</v>
      </c>
      <c r="C171" s="3" t="s">
        <v>866</v>
      </c>
      <c r="D171" s="3"/>
      <c r="E171" s="38" t="s">
        <v>859</v>
      </c>
      <c r="F171" s="3" t="s">
        <v>1171</v>
      </c>
      <c r="G171" s="3" t="s">
        <v>1331</v>
      </c>
      <c r="H171" s="6">
        <v>1.5</v>
      </c>
      <c r="I171" s="6"/>
      <c r="J171" s="6">
        <v>7.9</v>
      </c>
      <c r="K171" s="5">
        <v>120</v>
      </c>
      <c r="L171" s="6"/>
      <c r="M171" s="6"/>
      <c r="N171" s="7"/>
      <c r="O171" s="23"/>
      <c r="P171" s="6"/>
      <c r="Q171" s="6"/>
      <c r="R171" s="31"/>
      <c r="S171" s="6"/>
      <c r="T171" s="31"/>
      <c r="U171" s="6"/>
      <c r="V171" s="23"/>
      <c r="W171" s="6"/>
      <c r="X171" s="6"/>
      <c r="Y171" s="5"/>
      <c r="Z171" s="3"/>
      <c r="AA171" s="6">
        <f>H171*I171/100</f>
      </c>
      <c r="AB171" s="6">
        <f>H171*J171/100</f>
      </c>
      <c r="AC171" s="7">
        <f>H171*K171</f>
      </c>
      <c r="AD171" s="7">
        <f>H171*M171</f>
      </c>
      <c r="AE171" s="6">
        <f>H171*L171/100</f>
      </c>
      <c r="AF171" s="6">
        <f>AA171+AB171+AE171</f>
      </c>
      <c r="AG171" s="6">
        <f>I171+J171+L171</f>
      </c>
      <c r="AH171" s="53">
        <f>$H171*I171</f>
      </c>
      <c r="AI171" s="53">
        <f>$H171*J171</f>
      </c>
      <c r="AJ171" s="53">
        <f>$H171*K171</f>
      </c>
      <c r="AK171" s="53">
        <f>$H171*L171</f>
      </c>
      <c r="AL171" s="53">
        <f>$H171*M171</f>
      </c>
      <c r="AM171" s="3"/>
      <c r="AN171" s="5"/>
      <c r="AO171" s="5"/>
      <c r="AP171" s="5"/>
      <c r="AQ171" s="3"/>
    </row>
    <row x14ac:dyDescent="0.25" r="172" customHeight="1" ht="12.75">
      <c r="A172" s="5" t="s">
        <v>255</v>
      </c>
      <c r="B172" s="3" t="s">
        <v>1098</v>
      </c>
      <c r="C172" s="3" t="s">
        <v>866</v>
      </c>
      <c r="D172" s="3" t="s">
        <v>989</v>
      </c>
      <c r="E172" s="38" t="s">
        <v>859</v>
      </c>
      <c r="F172" s="3" t="s">
        <v>1171</v>
      </c>
      <c r="G172" s="3" t="s">
        <v>1173</v>
      </c>
      <c r="H172" s="6">
        <v>0.1</v>
      </c>
      <c r="I172" s="6">
        <v>7.5</v>
      </c>
      <c r="J172" s="7">
        <v>4</v>
      </c>
      <c r="K172" s="5"/>
      <c r="L172" s="6"/>
      <c r="M172" s="6"/>
      <c r="N172" s="7"/>
      <c r="O172" s="23"/>
      <c r="P172" s="6"/>
      <c r="Q172" s="6"/>
      <c r="R172" s="31"/>
      <c r="S172" s="6"/>
      <c r="T172" s="31"/>
      <c r="U172" s="6"/>
      <c r="V172" s="23"/>
      <c r="W172" s="6"/>
      <c r="X172" s="6"/>
      <c r="Y172" s="5"/>
      <c r="Z172" s="3"/>
      <c r="AA172" s="6">
        <f>H172*I172/100</f>
      </c>
      <c r="AB172" s="6">
        <f>H172*J172/100</f>
      </c>
      <c r="AC172" s="7">
        <f>H172*K172</f>
      </c>
      <c r="AD172" s="7">
        <f>H172*M172</f>
      </c>
      <c r="AE172" s="6">
        <f>H172*L172/100</f>
      </c>
      <c r="AF172" s="6">
        <f>AA172+AB172+AE172</f>
      </c>
      <c r="AG172" s="6">
        <f>I172+J172+L172</f>
      </c>
      <c r="AH172" s="53">
        <f>$H172*I172</f>
      </c>
      <c r="AI172" s="53">
        <f>$H172*J172</f>
      </c>
      <c r="AJ172" s="53">
        <f>$H172*K172</f>
      </c>
      <c r="AK172" s="53">
        <f>$H172*L172</f>
      </c>
      <c r="AL172" s="53">
        <f>$H172*M172</f>
      </c>
      <c r="AM172" s="3"/>
      <c r="AN172" s="5"/>
      <c r="AO172" s="5"/>
      <c r="AP172" s="5"/>
      <c r="AQ172" s="3"/>
    </row>
    <row x14ac:dyDescent="0.25" r="173" customHeight="1" ht="12.75">
      <c r="A173" s="5" t="s">
        <v>455</v>
      </c>
      <c r="B173" s="3" t="s">
        <v>1098</v>
      </c>
      <c r="C173" s="3" t="s">
        <v>866</v>
      </c>
      <c r="D173" s="3" t="s">
        <v>988</v>
      </c>
      <c r="E173" s="38" t="s">
        <v>859</v>
      </c>
      <c r="F173" s="3" t="s">
        <v>1171</v>
      </c>
      <c r="G173" s="3" t="s">
        <v>1332</v>
      </c>
      <c r="H173" s="6">
        <v>9.47</v>
      </c>
      <c r="I173" s="5">
        <v>2</v>
      </c>
      <c r="J173" s="6">
        <v>6.13</v>
      </c>
      <c r="K173" s="5"/>
      <c r="L173" s="6"/>
      <c r="M173" s="6"/>
      <c r="N173" s="7"/>
      <c r="O173" s="23"/>
      <c r="P173" s="6"/>
      <c r="Q173" s="6"/>
      <c r="R173" s="31"/>
      <c r="S173" s="6"/>
      <c r="T173" s="31"/>
      <c r="U173" s="6"/>
      <c r="V173" s="23"/>
      <c r="W173" s="6"/>
      <c r="X173" s="6"/>
      <c r="Y173" s="5"/>
      <c r="Z173" s="3"/>
      <c r="AA173" s="6">
        <f>H173*I173/100</f>
      </c>
      <c r="AB173" s="6">
        <f>H173*J173/100</f>
      </c>
      <c r="AC173" s="7">
        <f>H173*K173</f>
      </c>
      <c r="AD173" s="7">
        <f>H173*M173</f>
      </c>
      <c r="AE173" s="6">
        <f>H173*L173/100</f>
      </c>
      <c r="AF173" s="6">
        <f>AA173+AB173+AE173</f>
      </c>
      <c r="AG173" s="6">
        <f>I173+J173+L173</f>
      </c>
      <c r="AH173" s="53">
        <f>$H173*I173</f>
      </c>
      <c r="AI173" s="53">
        <f>$H173*J173</f>
      </c>
      <c r="AJ173" s="53">
        <f>$H173*K173</f>
      </c>
      <c r="AK173" s="53">
        <f>$H173*L173</f>
      </c>
      <c r="AL173" s="53">
        <f>$H173*M173</f>
      </c>
      <c r="AM173" s="3"/>
      <c r="AN173" s="5"/>
      <c r="AO173" s="5"/>
      <c r="AP173" s="5"/>
      <c r="AQ173" s="3"/>
    </row>
    <row x14ac:dyDescent="0.25" r="174" customHeight="1" ht="12.75">
      <c r="A174" s="5" t="s">
        <v>577</v>
      </c>
      <c r="B174" s="3" t="s">
        <v>1098</v>
      </c>
      <c r="C174" s="3" t="s">
        <v>866</v>
      </c>
      <c r="D174" s="3"/>
      <c r="E174" s="38" t="s">
        <v>859</v>
      </c>
      <c r="F174" s="3" t="s">
        <v>1171</v>
      </c>
      <c r="G174" s="3" t="s">
        <v>1333</v>
      </c>
      <c r="H174" s="6">
        <v>5.2</v>
      </c>
      <c r="I174" s="6">
        <v>6.3</v>
      </c>
      <c r="J174" s="6">
        <v>0.5</v>
      </c>
      <c r="K174" s="5">
        <v>33</v>
      </c>
      <c r="L174" s="6"/>
      <c r="M174" s="6"/>
      <c r="N174" s="7"/>
      <c r="O174" s="23"/>
      <c r="P174" s="6"/>
      <c r="Q174" s="6"/>
      <c r="R174" s="31"/>
      <c r="S174" s="6"/>
      <c r="T174" s="31"/>
      <c r="U174" s="6"/>
      <c r="V174" s="23"/>
      <c r="W174" s="6"/>
      <c r="X174" s="6"/>
      <c r="Y174" s="6">
        <v>0.001</v>
      </c>
      <c r="Z174" s="3" t="s">
        <v>932</v>
      </c>
      <c r="AA174" s="6">
        <f>H174*I174/100</f>
      </c>
      <c r="AB174" s="6">
        <f>H174*J174/100</f>
      </c>
      <c r="AC174" s="7">
        <f>H174*K174</f>
      </c>
      <c r="AD174" s="7">
        <f>H174*M174</f>
      </c>
      <c r="AE174" s="6">
        <f>H174*L174/100</f>
      </c>
      <c r="AF174" s="6">
        <f>AA174+AB174+AE174</f>
      </c>
      <c r="AG174" s="6">
        <f>I174+J174+L174</f>
      </c>
      <c r="AH174" s="53">
        <f>$H174*I174</f>
      </c>
      <c r="AI174" s="53">
        <f>$H174*J174</f>
      </c>
      <c r="AJ174" s="53">
        <f>$H174*K174</f>
      </c>
      <c r="AK174" s="53">
        <f>$H174*L174</f>
      </c>
      <c r="AL174" s="53">
        <f>$H174*M174</f>
      </c>
      <c r="AM174" s="3"/>
      <c r="AN174" s="5"/>
      <c r="AO174" s="5"/>
      <c r="AP174" s="5"/>
      <c r="AQ174" s="3"/>
    </row>
    <row x14ac:dyDescent="0.25" r="175" customHeight="1" ht="12.75">
      <c r="A175" s="5" t="s">
        <v>601</v>
      </c>
      <c r="B175" s="3" t="s">
        <v>1098</v>
      </c>
      <c r="C175" s="3" t="s">
        <v>870</v>
      </c>
      <c r="D175" s="3"/>
      <c r="E175" s="3" t="s">
        <v>855</v>
      </c>
      <c r="F175" s="3" t="s">
        <v>1171</v>
      </c>
      <c r="G175" s="3" t="s">
        <v>1334</v>
      </c>
      <c r="H175" s="23">
        <f>1.381+1.747+0.329+1.471+1.65+0.31232</f>
      </c>
      <c r="I175" s="6">
        <f>(1.41*1.381+1.38*1.747+1.17*0.329+0.32*1.471+0.2*4.46*1.65+0.2*3*0.31232)/H175</f>
      </c>
      <c r="J175" s="6">
        <f>(5.11*1.381+5.18*1.747+5.86*0.329+4.48*1.471+0.8*4.46*1.65+0.8*3*0.31232)/H175</f>
      </c>
      <c r="K175" s="7">
        <f>(33.4*1.381+31.88*1.747+22.57*0.329+28.19*1.471+16.6*1.65+0*0.31232)/H175</f>
      </c>
      <c r="L175" s="6">
        <f>(1.32*1.381+1.25*1.747+0.46*0.329+1.11*1.471+0.32*1.65+0.3*0.31232)/H175</f>
      </c>
      <c r="M175" s="6">
        <f>(0*1.381+0*1.747+0*0.329+0.12*1.471+0.04*1.65+0*0.31232)/H175</f>
      </c>
      <c r="N175" s="7"/>
      <c r="O175" s="23"/>
      <c r="P175" s="6"/>
      <c r="Q175" s="6"/>
      <c r="R175" s="31"/>
      <c r="S175" s="6"/>
      <c r="T175" s="31"/>
      <c r="U175" s="6"/>
      <c r="V175" s="23"/>
      <c r="W175" s="6"/>
      <c r="X175" s="6"/>
      <c r="Y175" s="23">
        <f>(0.012323*1.381+0.012371*1.747+0.01277*0.329+0.012433*1.471+0.00578*1.65+0*0.31232)/H175</f>
      </c>
      <c r="Z175" s="3" t="s">
        <v>932</v>
      </c>
      <c r="AA175" s="6">
        <f>H175*I175/100</f>
      </c>
      <c r="AB175" s="6">
        <f>H175*J175/100</f>
      </c>
      <c r="AC175" s="7">
        <f>H175*K175</f>
      </c>
      <c r="AD175" s="7">
        <f>H175*M175</f>
      </c>
      <c r="AE175" s="6">
        <f>H175*L175/100</f>
      </c>
      <c r="AF175" s="6">
        <f>AA175+AB175+AE175</f>
      </c>
      <c r="AG175" s="6">
        <f>I175+J175+L175</f>
      </c>
      <c r="AH175" s="53">
        <f>$H175*I175</f>
      </c>
      <c r="AI175" s="53">
        <f>$H175*J175</f>
      </c>
      <c r="AJ175" s="53">
        <f>$H175*K175</f>
      </c>
      <c r="AK175" s="53">
        <f>$H175*L175</f>
      </c>
      <c r="AL175" s="53">
        <f>$H175*M175</f>
      </c>
      <c r="AM175" s="3"/>
      <c r="AN175" s="5"/>
      <c r="AO175" s="5"/>
      <c r="AP175" s="5"/>
      <c r="AQ175" s="3"/>
    </row>
    <row x14ac:dyDescent="0.25" r="176" customHeight="1" ht="12.75">
      <c r="A176" s="5" t="s">
        <v>637</v>
      </c>
      <c r="B176" s="3" t="s">
        <v>1098</v>
      </c>
      <c r="C176" s="3" t="s">
        <v>866</v>
      </c>
      <c r="D176" s="3" t="s">
        <v>989</v>
      </c>
      <c r="E176" s="38" t="s">
        <v>859</v>
      </c>
      <c r="F176" s="3" t="s">
        <v>1171</v>
      </c>
      <c r="G176" s="3" t="s">
        <v>1173</v>
      </c>
      <c r="H176" s="6">
        <v>3.3</v>
      </c>
      <c r="I176" s="6">
        <v>4.13</v>
      </c>
      <c r="J176" s="6">
        <v>1.88</v>
      </c>
      <c r="K176" s="5"/>
      <c r="L176" s="6"/>
      <c r="M176" s="6"/>
      <c r="N176" s="7"/>
      <c r="O176" s="23"/>
      <c r="P176" s="6"/>
      <c r="Q176" s="6"/>
      <c r="R176" s="31"/>
      <c r="S176" s="6"/>
      <c r="T176" s="31"/>
      <c r="U176" s="6"/>
      <c r="V176" s="23"/>
      <c r="W176" s="6"/>
      <c r="X176" s="6"/>
      <c r="Y176" s="5"/>
      <c r="Z176" s="3"/>
      <c r="AA176" s="6">
        <f>H176*I176/100</f>
      </c>
      <c r="AB176" s="6">
        <f>H176*J176/100</f>
      </c>
      <c r="AC176" s="7">
        <f>H176*K176</f>
      </c>
      <c r="AD176" s="7">
        <f>H176*M176</f>
      </c>
      <c r="AE176" s="6">
        <f>H176*L176/100</f>
      </c>
      <c r="AF176" s="6">
        <f>AA176+AB176+AE176</f>
      </c>
      <c r="AG176" s="6">
        <f>I176+J176+L176</f>
      </c>
      <c r="AH176" s="53">
        <f>$H176*I176</f>
      </c>
      <c r="AI176" s="53">
        <f>$H176*J176</f>
      </c>
      <c r="AJ176" s="53">
        <f>$H176*K176</f>
      </c>
      <c r="AK176" s="53">
        <f>$H176*L176</f>
      </c>
      <c r="AL176" s="53">
        <f>$H176*M176</f>
      </c>
      <c r="AM176" s="3"/>
      <c r="AN176" s="5"/>
      <c r="AO176" s="5"/>
      <c r="AP176" s="5"/>
      <c r="AQ176" s="3"/>
    </row>
    <row x14ac:dyDescent="0.25" r="177" customHeight="1" ht="12.75">
      <c r="A177" s="5" t="s">
        <v>426</v>
      </c>
      <c r="B177" s="3" t="s">
        <v>1098</v>
      </c>
      <c r="C177" s="3" t="s">
        <v>866</v>
      </c>
      <c r="D177" s="3"/>
      <c r="E177" s="38" t="s">
        <v>859</v>
      </c>
      <c r="F177" s="3" t="s">
        <v>1171</v>
      </c>
      <c r="G177" s="3" t="s">
        <v>1331</v>
      </c>
      <c r="H177" s="5">
        <v>46</v>
      </c>
      <c r="I177" s="6">
        <v>1.3</v>
      </c>
      <c r="J177" s="6">
        <v>0.9</v>
      </c>
      <c r="K177" s="5">
        <v>12</v>
      </c>
      <c r="L177" s="6"/>
      <c r="M177" s="6"/>
      <c r="N177" s="7"/>
      <c r="O177" s="23"/>
      <c r="P177" s="6"/>
      <c r="Q177" s="6"/>
      <c r="R177" s="31"/>
      <c r="S177" s="6"/>
      <c r="T177" s="31"/>
      <c r="U177" s="6"/>
      <c r="V177" s="23"/>
      <c r="W177" s="6"/>
      <c r="X177" s="6"/>
      <c r="Y177" s="5"/>
      <c r="Z177" s="3"/>
      <c r="AA177" s="6">
        <f>H177*I177/100</f>
      </c>
      <c r="AB177" s="6">
        <f>H177*J177/100</f>
      </c>
      <c r="AC177" s="7">
        <f>H177*K177</f>
      </c>
      <c r="AD177" s="7">
        <f>H177*M177</f>
      </c>
      <c r="AE177" s="6">
        <f>H177*L177/100</f>
      </c>
      <c r="AF177" s="6">
        <f>AA177+AB177+AE177</f>
      </c>
      <c r="AG177" s="6">
        <f>I177+J177+L177</f>
      </c>
      <c r="AH177" s="53">
        <f>$H177*I177</f>
      </c>
      <c r="AI177" s="53">
        <f>$H177*J177</f>
      </c>
      <c r="AJ177" s="53">
        <f>$H177*K177</f>
      </c>
      <c r="AK177" s="53">
        <f>$H177*L177</f>
      </c>
      <c r="AL177" s="53">
        <f>$H177*M177</f>
      </c>
      <c r="AM177" s="3"/>
      <c r="AN177" s="5"/>
      <c r="AO177" s="5"/>
      <c r="AP177" s="5"/>
      <c r="AQ177" s="3"/>
    </row>
    <row x14ac:dyDescent="0.25" r="178" customHeight="1" ht="12.75">
      <c r="A178" s="5" t="s">
        <v>391</v>
      </c>
      <c r="B178" s="3" t="s">
        <v>1098</v>
      </c>
      <c r="C178" s="3" t="s">
        <v>866</v>
      </c>
      <c r="D178" s="3" t="s">
        <v>989</v>
      </c>
      <c r="E178" s="38" t="s">
        <v>859</v>
      </c>
      <c r="F178" s="3" t="s">
        <v>1171</v>
      </c>
      <c r="G178" s="3" t="s">
        <v>1173</v>
      </c>
      <c r="H178" s="7">
        <v>7</v>
      </c>
      <c r="I178" s="6">
        <v>1.4</v>
      </c>
      <c r="J178" s="6">
        <v>7.6</v>
      </c>
      <c r="K178" s="5"/>
      <c r="L178" s="6"/>
      <c r="M178" s="6"/>
      <c r="N178" s="7"/>
      <c r="O178" s="23"/>
      <c r="P178" s="6"/>
      <c r="Q178" s="6"/>
      <c r="R178" s="31"/>
      <c r="S178" s="6"/>
      <c r="T178" s="31"/>
      <c r="U178" s="6"/>
      <c r="V178" s="23"/>
      <c r="W178" s="6"/>
      <c r="X178" s="6"/>
      <c r="Y178" s="5"/>
      <c r="Z178" s="3"/>
      <c r="AA178" s="6">
        <f>H178*I178/100</f>
      </c>
      <c r="AB178" s="6">
        <f>H178*J178/100</f>
      </c>
      <c r="AC178" s="7">
        <f>H178*K178</f>
      </c>
      <c r="AD178" s="7">
        <f>H178*M178</f>
      </c>
      <c r="AE178" s="6">
        <f>H178*L178/100</f>
      </c>
      <c r="AF178" s="6">
        <f>AA178+AB178+AE178</f>
      </c>
      <c r="AG178" s="6">
        <f>I178+J178+L178</f>
      </c>
      <c r="AH178" s="53">
        <f>$H178*I178</f>
      </c>
      <c r="AI178" s="53">
        <f>$H178*J178</f>
      </c>
      <c r="AJ178" s="53">
        <f>$H178*K178</f>
      </c>
      <c r="AK178" s="53">
        <f>$H178*L178</f>
      </c>
      <c r="AL178" s="53">
        <f>$H178*M178</f>
      </c>
      <c r="AM178" s="3"/>
      <c r="AN178" s="5"/>
      <c r="AO178" s="5"/>
      <c r="AP178" s="5"/>
      <c r="AQ178" s="3"/>
    </row>
    <row x14ac:dyDescent="0.25" r="179" customHeight="1" ht="12.75">
      <c r="A179" s="5" t="s">
        <v>30</v>
      </c>
      <c r="B179" s="3" t="s">
        <v>1098</v>
      </c>
      <c r="C179" s="3" t="s">
        <v>866</v>
      </c>
      <c r="D179" s="3"/>
      <c r="E179" s="38" t="s">
        <v>859</v>
      </c>
      <c r="F179" s="3" t="s">
        <v>1171</v>
      </c>
      <c r="G179" s="3" t="s">
        <v>1335</v>
      </c>
      <c r="H179" s="6">
        <v>18.8</v>
      </c>
      <c r="I179" s="6"/>
      <c r="J179" s="6">
        <v>23.7</v>
      </c>
      <c r="K179" s="5"/>
      <c r="L179" s="6"/>
      <c r="M179" s="6"/>
      <c r="N179" s="7"/>
      <c r="O179" s="23"/>
      <c r="P179" s="6"/>
      <c r="Q179" s="6"/>
      <c r="R179" s="31"/>
      <c r="S179" s="6"/>
      <c r="T179" s="31"/>
      <c r="U179" s="6"/>
      <c r="V179" s="23"/>
      <c r="W179" s="6"/>
      <c r="X179" s="6"/>
      <c r="Y179" s="5"/>
      <c r="Z179" s="3"/>
      <c r="AA179" s="6">
        <f>H179*I179/100</f>
      </c>
      <c r="AB179" s="6">
        <f>H179*J179/100</f>
      </c>
      <c r="AC179" s="7">
        <f>H179*K179</f>
      </c>
      <c r="AD179" s="7">
        <f>H179*M179</f>
      </c>
      <c r="AE179" s="6">
        <f>H179*L179/100</f>
      </c>
      <c r="AF179" s="6">
        <f>AA179+AB179+AE179</f>
      </c>
      <c r="AG179" s="6">
        <f>I179+J179+L179</f>
      </c>
      <c r="AH179" s="53">
        <f>$H179*I179</f>
      </c>
      <c r="AI179" s="53">
        <f>$H179*J179</f>
      </c>
      <c r="AJ179" s="53">
        <f>$H179*K179</f>
      </c>
      <c r="AK179" s="53">
        <f>$H179*L179</f>
      </c>
      <c r="AL179" s="53">
        <f>$H179*M179</f>
      </c>
      <c r="AM179" s="3"/>
      <c r="AN179" s="5"/>
      <c r="AO179" s="5"/>
      <c r="AP179" s="5"/>
      <c r="AQ179" s="3"/>
    </row>
    <row x14ac:dyDescent="0.25" r="180" customHeight="1" ht="12.75">
      <c r="A180" s="5" t="s">
        <v>344</v>
      </c>
      <c r="B180" s="3" t="s">
        <v>1099</v>
      </c>
      <c r="C180" s="3" t="s">
        <v>870</v>
      </c>
      <c r="D180" s="3"/>
      <c r="E180" s="3" t="s">
        <v>855</v>
      </c>
      <c r="F180" s="3" t="s">
        <v>1180</v>
      </c>
      <c r="G180" s="3" t="s">
        <v>1181</v>
      </c>
      <c r="H180" s="6">
        <f>0.96+4.8+7.2</f>
      </c>
      <c r="I180" s="7">
        <f>(0*0.96+0.09*4.8+0.2*7.2)/$H180</f>
      </c>
      <c r="J180" s="7">
        <f>(15.1*0.96+10*4.8+9*7.2)/$H180</f>
      </c>
      <c r="K180" s="31">
        <f>(0*0.96+77*4.8+50*7.2)/$H180</f>
      </c>
      <c r="L180" s="6"/>
      <c r="M180" s="6"/>
      <c r="N180" s="7"/>
      <c r="O180" s="23"/>
      <c r="P180" s="6"/>
      <c r="Q180" s="6"/>
      <c r="R180" s="31"/>
      <c r="S180" s="6"/>
      <c r="T180" s="31"/>
      <c r="U180" s="6"/>
      <c r="V180" s="23"/>
      <c r="W180" s="6"/>
      <c r="X180" s="6"/>
      <c r="Y180" s="5"/>
      <c r="Z180" s="3"/>
      <c r="AA180" s="6">
        <f>H180*I180/100</f>
      </c>
      <c r="AB180" s="6">
        <f>H180*J180/100</f>
      </c>
      <c r="AC180" s="7">
        <f>H180*K180</f>
      </c>
      <c r="AD180" s="7">
        <f>H180*M180</f>
      </c>
      <c r="AE180" s="6">
        <f>H180*L180/100</f>
      </c>
      <c r="AF180" s="6">
        <f>AA180+AB180+AE180</f>
      </c>
      <c r="AG180" s="6">
        <f>I180+J180+L180</f>
      </c>
      <c r="AH180" s="53">
        <f>$H180*I180</f>
      </c>
      <c r="AI180" s="53">
        <f>$H180*J180</f>
      </c>
      <c r="AJ180" s="53">
        <f>$H180*K180</f>
      </c>
      <c r="AK180" s="53">
        <f>$H180*L180</f>
      </c>
      <c r="AL180" s="53">
        <f>$H180*M180</f>
      </c>
      <c r="AM180" s="3"/>
      <c r="AN180" s="5"/>
      <c r="AO180" s="5"/>
      <c r="AP180" s="5"/>
      <c r="AQ180" s="3"/>
    </row>
    <row x14ac:dyDescent="0.25" r="181" customHeight="1" ht="12.75">
      <c r="A181" s="5" t="s">
        <v>677</v>
      </c>
      <c r="B181" s="3" t="s">
        <v>1100</v>
      </c>
      <c r="C181" s="3" t="s">
        <v>870</v>
      </c>
      <c r="D181" s="3"/>
      <c r="E181" s="3" t="s">
        <v>855</v>
      </c>
      <c r="F181" s="3" t="s">
        <v>1336</v>
      </c>
      <c r="G181" s="3" t="s">
        <v>1337</v>
      </c>
      <c r="H181" s="23">
        <f>6.264198+1.821799+2.041146</f>
      </c>
      <c r="I181" s="6"/>
      <c r="J181" s="6">
        <f>(3.09*6.264198+2.98*1.821799+2.89*2.041146)/$H181</f>
      </c>
      <c r="K181" s="7">
        <f>(43.93*6.264198+94.75*1.821799+114.32*2.041146)/$H181</f>
      </c>
      <c r="L181" s="6"/>
      <c r="M181" s="6">
        <v>0.138</v>
      </c>
      <c r="N181" s="7"/>
      <c r="O181" s="23"/>
      <c r="P181" s="6"/>
      <c r="Q181" s="6"/>
      <c r="R181" s="31"/>
      <c r="S181" s="6"/>
      <c r="T181" s="31"/>
      <c r="U181" s="6"/>
      <c r="V181" s="23"/>
      <c r="W181" s="6"/>
      <c r="X181" s="6"/>
      <c r="Y181" s="5"/>
      <c r="Z181" s="3"/>
      <c r="AA181" s="6">
        <f>H181*I181/100</f>
      </c>
      <c r="AB181" s="6">
        <f>H181*J181/100</f>
      </c>
      <c r="AC181" s="7">
        <f>H181*K181</f>
      </c>
      <c r="AD181" s="7">
        <f>H181*M181</f>
      </c>
      <c r="AE181" s="6">
        <f>H181*L181/100</f>
      </c>
      <c r="AF181" s="6">
        <f>AA181+AB181+AE181</f>
      </c>
      <c r="AG181" s="6">
        <f>I181+J181+L181</f>
      </c>
      <c r="AH181" s="53">
        <f>$H181*I181</f>
      </c>
      <c r="AI181" s="53">
        <f>$H181*J181</f>
      </c>
      <c r="AJ181" s="53">
        <f>$H181*K181</f>
      </c>
      <c r="AK181" s="53">
        <f>$H181*L181</f>
      </c>
      <c r="AL181" s="53">
        <f>$H181*M181</f>
      </c>
      <c r="AM181" s="3"/>
      <c r="AN181" s="5"/>
      <c r="AO181" s="5"/>
      <c r="AP181" s="5"/>
      <c r="AQ181" s="3"/>
    </row>
    <row x14ac:dyDescent="0.25" r="182" customHeight="1" ht="12.75">
      <c r="A182" s="5" t="s">
        <v>137</v>
      </c>
      <c r="B182" s="3" t="s">
        <v>1100</v>
      </c>
      <c r="C182" s="3" t="s">
        <v>866</v>
      </c>
      <c r="D182" s="3" t="s">
        <v>988</v>
      </c>
      <c r="E182" s="3" t="s">
        <v>855</v>
      </c>
      <c r="F182" s="3" t="s">
        <v>1338</v>
      </c>
      <c r="G182" s="3" t="s">
        <v>1339</v>
      </c>
      <c r="H182" s="6">
        <f>20.088+48.102</f>
      </c>
      <c r="I182" s="6">
        <f>(1.31*20.088+0.83*48.102)/$H182</f>
      </c>
      <c r="J182" s="6">
        <f>(6.59*20.088+4.62*48.102)/$H182</f>
      </c>
      <c r="K182" s="7">
        <f>(11.2*20.088+8.1*48.102)/$H182</f>
      </c>
      <c r="L182" s="6"/>
      <c r="M182" s="6"/>
      <c r="N182" s="7"/>
      <c r="O182" s="23"/>
      <c r="P182" s="6"/>
      <c r="Q182" s="6"/>
      <c r="R182" s="31"/>
      <c r="S182" s="6"/>
      <c r="T182" s="31"/>
      <c r="U182" s="6"/>
      <c r="V182" s="23"/>
      <c r="W182" s="6"/>
      <c r="X182" s="6"/>
      <c r="Y182" s="5"/>
      <c r="Z182" s="3"/>
      <c r="AA182" s="6">
        <f>H182*I182/100</f>
      </c>
      <c r="AB182" s="6">
        <f>H182*J182/100</f>
      </c>
      <c r="AC182" s="7">
        <f>H182*K182</f>
      </c>
      <c r="AD182" s="7">
        <f>H182*M182</f>
      </c>
      <c r="AE182" s="6">
        <f>H182*L182/100</f>
      </c>
      <c r="AF182" s="6">
        <f>AA182+AB182+AE182</f>
      </c>
      <c r="AG182" s="6">
        <f>I182+J182+L182</f>
      </c>
      <c r="AH182" s="53">
        <f>$H182*I182</f>
      </c>
      <c r="AI182" s="53">
        <f>$H182*J182</f>
      </c>
      <c r="AJ182" s="53">
        <f>$H182*K182</f>
      </c>
      <c r="AK182" s="53">
        <f>$H182*L182</f>
      </c>
      <c r="AL182" s="53">
        <f>$H182*M182</f>
      </c>
      <c r="AM182" s="3"/>
      <c r="AN182" s="5"/>
      <c r="AO182" s="5"/>
      <c r="AP182" s="5"/>
      <c r="AQ182" s="3"/>
    </row>
    <row x14ac:dyDescent="0.25" r="183" customHeight="1" ht="12.75">
      <c r="A183" s="5" t="s">
        <v>745</v>
      </c>
      <c r="B183" s="3" t="s">
        <v>1100</v>
      </c>
      <c r="C183" s="3" t="s">
        <v>870</v>
      </c>
      <c r="D183" s="3"/>
      <c r="E183" s="38" t="s">
        <v>859</v>
      </c>
      <c r="F183" s="3" t="s">
        <v>1340</v>
      </c>
      <c r="G183" s="3" t="s">
        <v>1341</v>
      </c>
      <c r="H183" s="6">
        <f>1.7*0.9072</f>
      </c>
      <c r="I183" s="6"/>
      <c r="J183" s="7">
        <v>3</v>
      </c>
      <c r="K183" s="5"/>
      <c r="L183" s="6">
        <v>1.55</v>
      </c>
      <c r="M183" s="6"/>
      <c r="N183" s="7"/>
      <c r="O183" s="23"/>
      <c r="P183" s="6"/>
      <c r="Q183" s="6"/>
      <c r="R183" s="31"/>
      <c r="S183" s="6"/>
      <c r="T183" s="31"/>
      <c r="U183" s="6"/>
      <c r="V183" s="23"/>
      <c r="W183" s="6"/>
      <c r="X183" s="6"/>
      <c r="Y183" s="5"/>
      <c r="Z183" s="3"/>
      <c r="AA183" s="6">
        <f>H183*I183/100</f>
      </c>
      <c r="AB183" s="6">
        <f>H183*J183/100</f>
      </c>
      <c r="AC183" s="7">
        <f>H183*K183</f>
      </c>
      <c r="AD183" s="7">
        <f>H183*M183</f>
      </c>
      <c r="AE183" s="6">
        <f>H183*L183/100</f>
      </c>
      <c r="AF183" s="6">
        <f>AA183+AB183+AE183</f>
      </c>
      <c r="AG183" s="6">
        <f>I183+J183+L183</f>
      </c>
      <c r="AH183" s="53">
        <f>$H183*I183</f>
      </c>
      <c r="AI183" s="53">
        <f>$H183*J183</f>
      </c>
      <c r="AJ183" s="53">
        <f>$H183*K183</f>
      </c>
      <c r="AK183" s="53">
        <f>$H183*L183</f>
      </c>
      <c r="AL183" s="53">
        <f>$H183*M183</f>
      </c>
      <c r="AM183" s="3"/>
      <c r="AN183" s="5"/>
      <c r="AO183" s="5"/>
      <c r="AP183" s="5"/>
      <c r="AQ183" s="3"/>
    </row>
    <row x14ac:dyDescent="0.25" r="184" customHeight="1" ht="12.75">
      <c r="A184" s="5" t="s">
        <v>246</v>
      </c>
      <c r="B184" s="3" t="s">
        <v>1100</v>
      </c>
      <c r="C184" s="3" t="s">
        <v>866</v>
      </c>
      <c r="D184" s="3" t="s">
        <v>1002</v>
      </c>
      <c r="E184" s="38" t="s">
        <v>859</v>
      </c>
      <c r="F184" s="3" t="s">
        <v>1171</v>
      </c>
      <c r="G184" s="3" t="s">
        <v>1342</v>
      </c>
      <c r="H184" s="23">
        <v>0.072431</v>
      </c>
      <c r="I184" s="6">
        <v>2.84</v>
      </c>
      <c r="J184" s="6">
        <v>6.03</v>
      </c>
      <c r="K184" s="6">
        <v>366.7</v>
      </c>
      <c r="L184" s="6"/>
      <c r="M184" s="6"/>
      <c r="N184" s="7"/>
      <c r="O184" s="23"/>
      <c r="P184" s="6"/>
      <c r="Q184" s="6"/>
      <c r="R184" s="31"/>
      <c r="S184" s="6"/>
      <c r="T184" s="31"/>
      <c r="U184" s="6"/>
      <c r="V184" s="23"/>
      <c r="W184" s="6"/>
      <c r="X184" s="6"/>
      <c r="Y184" s="5"/>
      <c r="Z184" s="3"/>
      <c r="AA184" s="6">
        <f>H184*I184/100</f>
      </c>
      <c r="AB184" s="6">
        <f>H184*J184/100</f>
      </c>
      <c r="AC184" s="7">
        <f>H184*K184</f>
      </c>
      <c r="AD184" s="7">
        <f>H184*M184</f>
      </c>
      <c r="AE184" s="6">
        <f>H184*L184/100</f>
      </c>
      <c r="AF184" s="6">
        <f>AA184+AB184+AE184</f>
      </c>
      <c r="AG184" s="6">
        <f>I184+J184+L184</f>
      </c>
      <c r="AH184" s="53">
        <f>$H184*I184</f>
      </c>
      <c r="AI184" s="53">
        <f>$H184*J184</f>
      </c>
      <c r="AJ184" s="53">
        <f>$H184*K184</f>
      </c>
      <c r="AK184" s="53">
        <f>$H184*L184</f>
      </c>
      <c r="AL184" s="53">
        <f>$H184*M184</f>
      </c>
      <c r="AM184" s="3"/>
      <c r="AN184" s="5"/>
      <c r="AO184" s="5"/>
      <c r="AP184" s="5"/>
      <c r="AQ184" s="3"/>
    </row>
    <row x14ac:dyDescent="0.25" r="185" customHeight="1" ht="12.75">
      <c r="A185" s="5" t="s">
        <v>537</v>
      </c>
      <c r="B185" s="3" t="s">
        <v>1100</v>
      </c>
      <c r="C185" s="3" t="s">
        <v>863</v>
      </c>
      <c r="D185" s="3"/>
      <c r="E185" s="3" t="s">
        <v>855</v>
      </c>
      <c r="F185" s="3" t="s">
        <v>1343</v>
      </c>
      <c r="G185" s="3" t="s">
        <v>1204</v>
      </c>
      <c r="H185" s="6">
        <v>7.762</v>
      </c>
      <c r="I185" s="6">
        <v>1.4</v>
      </c>
      <c r="J185" s="6">
        <v>5.8</v>
      </c>
      <c r="K185" s="6">
        <v>9.49</v>
      </c>
      <c r="L185" s="6"/>
      <c r="M185" s="6"/>
      <c r="N185" s="7"/>
      <c r="O185" s="23"/>
      <c r="P185" s="6"/>
      <c r="Q185" s="6"/>
      <c r="R185" s="31"/>
      <c r="S185" s="6"/>
      <c r="T185" s="31"/>
      <c r="U185" s="6"/>
      <c r="V185" s="23"/>
      <c r="W185" s="6"/>
      <c r="X185" s="6"/>
      <c r="Y185" s="6">
        <v>14.86</v>
      </c>
      <c r="Z185" s="3" t="s">
        <v>975</v>
      </c>
      <c r="AA185" s="6">
        <f>H185*I185/100</f>
      </c>
      <c r="AB185" s="6">
        <f>H185*J185/100</f>
      </c>
      <c r="AC185" s="7">
        <f>H185*K185</f>
      </c>
      <c r="AD185" s="7">
        <f>H185*M185</f>
      </c>
      <c r="AE185" s="6">
        <f>H185*L185/100</f>
      </c>
      <c r="AF185" s="6">
        <f>AA185+AB185+AE185</f>
      </c>
      <c r="AG185" s="6">
        <f>I185+J185+L185</f>
      </c>
      <c r="AH185" s="53">
        <f>$H185*I185</f>
      </c>
      <c r="AI185" s="53">
        <f>$H185*J185</f>
      </c>
      <c r="AJ185" s="53">
        <f>$H185*K185</f>
      </c>
      <c r="AK185" s="53">
        <f>$H185*L185</f>
      </c>
      <c r="AL185" s="53">
        <f>$H185*M185</f>
      </c>
      <c r="AM185" s="3"/>
      <c r="AN185" s="5"/>
      <c r="AO185" s="5"/>
      <c r="AP185" s="5"/>
      <c r="AQ185" s="3"/>
    </row>
    <row x14ac:dyDescent="0.25" r="186" customHeight="1" ht="12.75">
      <c r="A186" s="5" t="s">
        <v>180</v>
      </c>
      <c r="B186" s="3" t="s">
        <v>1100</v>
      </c>
      <c r="C186" s="3" t="s">
        <v>1014</v>
      </c>
      <c r="D186" s="3"/>
      <c r="E186" s="38" t="s">
        <v>859</v>
      </c>
      <c r="F186" s="3" t="s">
        <v>1171</v>
      </c>
      <c r="G186" s="3" t="s">
        <v>1342</v>
      </c>
      <c r="H186" s="23">
        <v>0.113638</v>
      </c>
      <c r="I186" s="5">
        <v>5</v>
      </c>
      <c r="J186" s="7"/>
      <c r="K186" s="5">
        <v>600</v>
      </c>
      <c r="L186" s="6"/>
      <c r="M186" s="6"/>
      <c r="N186" s="7"/>
      <c r="O186" s="23"/>
      <c r="P186" s="6"/>
      <c r="Q186" s="6"/>
      <c r="R186" s="31"/>
      <c r="S186" s="6"/>
      <c r="T186" s="31"/>
      <c r="U186" s="6"/>
      <c r="V186" s="23"/>
      <c r="W186" s="6"/>
      <c r="X186" s="6"/>
      <c r="Y186" s="5"/>
      <c r="Z186" s="3"/>
      <c r="AA186" s="6">
        <f>H186*I186/100</f>
      </c>
      <c r="AB186" s="6">
        <f>H186*J186/100</f>
      </c>
      <c r="AC186" s="7">
        <f>H186*K186</f>
      </c>
      <c r="AD186" s="7">
        <f>H186*M186</f>
      </c>
      <c r="AE186" s="6">
        <f>H186*L186/100</f>
      </c>
      <c r="AF186" s="6">
        <f>AA186+AB186+AE186</f>
      </c>
      <c r="AG186" s="6">
        <f>I186+J186+L186</f>
      </c>
      <c r="AH186" s="53">
        <f>$H186*I186</f>
      </c>
      <c r="AI186" s="53">
        <f>$H186*J186</f>
      </c>
      <c r="AJ186" s="53">
        <f>$H186*K186</f>
      </c>
      <c r="AK186" s="53">
        <f>$H186*L186</f>
      </c>
      <c r="AL186" s="53">
        <f>$H186*M186</f>
      </c>
      <c r="AM186" s="3"/>
      <c r="AN186" s="5"/>
      <c r="AO186" s="5"/>
      <c r="AP186" s="5"/>
      <c r="AQ186" s="3"/>
    </row>
    <row x14ac:dyDescent="0.25" r="187" customHeight="1" ht="12.75">
      <c r="A187" s="5" t="s">
        <v>580</v>
      </c>
      <c r="B187" s="3" t="s">
        <v>1100</v>
      </c>
      <c r="C187" s="3" t="s">
        <v>870</v>
      </c>
      <c r="D187" s="3"/>
      <c r="E187" s="3" t="s">
        <v>855</v>
      </c>
      <c r="F187" s="3" t="s">
        <v>1340</v>
      </c>
      <c r="G187" s="3" t="s">
        <v>1330</v>
      </c>
      <c r="H187" s="23">
        <f>0.152826+0.123096</f>
      </c>
      <c r="I187" s="6"/>
      <c r="J187" s="6">
        <f>(5.26*0.152826+3.3*0.123096)/$H187</f>
      </c>
      <c r="K187" s="7">
        <f>(52.54*0.152826+42.5*0.123096)/$H187</f>
      </c>
      <c r="L187" s="6">
        <f>(1.05*0.152826+0.65*0.123096)/$H187</f>
      </c>
      <c r="M187" s="6">
        <f>(1.39*0.152826+1.2*0.123096)/$H187</f>
      </c>
      <c r="N187" s="7"/>
      <c r="O187" s="23"/>
      <c r="P187" s="6"/>
      <c r="Q187" s="6"/>
      <c r="R187" s="31"/>
      <c r="S187" s="6"/>
      <c r="T187" s="31"/>
      <c r="U187" s="6"/>
      <c r="V187" s="23"/>
      <c r="W187" s="6"/>
      <c r="X187" s="6"/>
      <c r="Y187" s="5"/>
      <c r="Z187" s="3"/>
      <c r="AA187" s="6">
        <f>H187*I187/100</f>
      </c>
      <c r="AB187" s="6">
        <f>H187*J187/100</f>
      </c>
      <c r="AC187" s="7">
        <f>H187*K187</f>
      </c>
      <c r="AD187" s="7">
        <f>H187*M187</f>
      </c>
      <c r="AE187" s="6">
        <f>H187*L187/100</f>
      </c>
      <c r="AF187" s="6">
        <f>AA187+AB187+AE187</f>
      </c>
      <c r="AG187" s="6">
        <f>I187+J187+L187</f>
      </c>
      <c r="AH187" s="53">
        <f>$H187*I187</f>
      </c>
      <c r="AI187" s="53">
        <f>$H187*J187</f>
      </c>
      <c r="AJ187" s="53">
        <f>$H187*K187</f>
      </c>
      <c r="AK187" s="53">
        <f>$H187*L187</f>
      </c>
      <c r="AL187" s="53">
        <f>$H187*M187</f>
      </c>
      <c r="AM187" s="3"/>
      <c r="AN187" s="5"/>
      <c r="AO187" s="5"/>
      <c r="AP187" s="5"/>
      <c r="AQ187" s="3"/>
    </row>
    <row x14ac:dyDescent="0.25" r="188" customHeight="1" ht="12.75">
      <c r="A188" s="5" t="s">
        <v>266</v>
      </c>
      <c r="B188" s="3" t="s">
        <v>1100</v>
      </c>
      <c r="C188" s="3" t="s">
        <v>870</v>
      </c>
      <c r="D188" s="3"/>
      <c r="E188" s="38" t="s">
        <v>859</v>
      </c>
      <c r="F188" s="3" t="s">
        <v>1344</v>
      </c>
      <c r="G188" s="3" t="s">
        <v>1345</v>
      </c>
      <c r="H188" s="23">
        <v>1.13625</v>
      </c>
      <c r="I188" s="6">
        <v>2.2</v>
      </c>
      <c r="J188" s="6">
        <v>5.1</v>
      </c>
      <c r="K188" s="5">
        <v>336</v>
      </c>
      <c r="L188" s="6"/>
      <c r="M188" s="6">
        <v>0.6</v>
      </c>
      <c r="N188" s="7"/>
      <c r="O188" s="23"/>
      <c r="P188" s="6"/>
      <c r="Q188" s="6"/>
      <c r="R188" s="31"/>
      <c r="S188" s="6"/>
      <c r="T188" s="31"/>
      <c r="U188" s="6"/>
      <c r="V188" s="23"/>
      <c r="W188" s="6"/>
      <c r="X188" s="6"/>
      <c r="Y188" s="5"/>
      <c r="Z188" s="3"/>
      <c r="AA188" s="6">
        <f>H188*I188/100</f>
      </c>
      <c r="AB188" s="6">
        <f>H188*J188/100</f>
      </c>
      <c r="AC188" s="7">
        <f>H188*K188</f>
      </c>
      <c r="AD188" s="7">
        <f>H188*M188</f>
      </c>
      <c r="AE188" s="6">
        <f>H188*L188/100</f>
      </c>
      <c r="AF188" s="6">
        <f>AA188+AB188+AE188</f>
      </c>
      <c r="AG188" s="6">
        <f>I188+J188+L188</f>
      </c>
      <c r="AH188" s="53">
        <f>$H188*I188</f>
      </c>
      <c r="AI188" s="53">
        <f>$H188*J188</f>
      </c>
      <c r="AJ188" s="53">
        <f>$H188*K188</f>
      </c>
      <c r="AK188" s="53">
        <f>$H188*L188</f>
      </c>
      <c r="AL188" s="53">
        <f>$H188*M188</f>
      </c>
      <c r="AM188" s="3"/>
      <c r="AN188" s="5"/>
      <c r="AO188" s="5"/>
      <c r="AP188" s="5"/>
      <c r="AQ188" s="3"/>
    </row>
    <row x14ac:dyDescent="0.25" r="189" customHeight="1" ht="12.75">
      <c r="A189" s="5" t="s">
        <v>465</v>
      </c>
      <c r="B189" s="3" t="s">
        <v>1100</v>
      </c>
      <c r="C189" s="3" t="s">
        <v>866</v>
      </c>
      <c r="D189" s="3" t="s">
        <v>989</v>
      </c>
      <c r="E189" s="38" t="s">
        <v>859</v>
      </c>
      <c r="F189" s="3" t="s">
        <v>1171</v>
      </c>
      <c r="G189" s="3" t="s">
        <v>1345</v>
      </c>
      <c r="H189" s="6">
        <v>9.07</v>
      </c>
      <c r="I189" s="6">
        <v>2.6</v>
      </c>
      <c r="J189" s="6">
        <v>5.4</v>
      </c>
      <c r="K189" s="6">
        <v>17.1</v>
      </c>
      <c r="L189" s="6"/>
      <c r="M189" s="6"/>
      <c r="N189" s="7"/>
      <c r="O189" s="23"/>
      <c r="P189" s="6"/>
      <c r="Q189" s="6"/>
      <c r="R189" s="31"/>
      <c r="S189" s="6"/>
      <c r="T189" s="31"/>
      <c r="U189" s="6"/>
      <c r="V189" s="23"/>
      <c r="W189" s="6"/>
      <c r="X189" s="6"/>
      <c r="Y189" s="5"/>
      <c r="Z189" s="3"/>
      <c r="AA189" s="6">
        <f>H189*I189/100</f>
      </c>
      <c r="AB189" s="6">
        <f>H189*J189/100</f>
      </c>
      <c r="AC189" s="7">
        <f>H189*K189</f>
      </c>
      <c r="AD189" s="7">
        <f>H189*M189</f>
      </c>
      <c r="AE189" s="6">
        <f>H189*L189/100</f>
      </c>
      <c r="AF189" s="6">
        <f>AA189+AB189+AE189</f>
      </c>
      <c r="AG189" s="6">
        <f>I189+J189+L189</f>
      </c>
      <c r="AH189" s="53">
        <f>$H189*I189</f>
      </c>
      <c r="AI189" s="53">
        <f>$H189*J189</f>
      </c>
      <c r="AJ189" s="53">
        <f>$H189*K189</f>
      </c>
      <c r="AK189" s="53">
        <f>$H189*L189</f>
      </c>
      <c r="AL189" s="53">
        <f>$H189*M189</f>
      </c>
      <c r="AM189" s="3"/>
      <c r="AN189" s="5"/>
      <c r="AO189" s="5"/>
      <c r="AP189" s="5"/>
      <c r="AQ189" s="3"/>
    </row>
    <row x14ac:dyDescent="0.25" r="190" customHeight="1" ht="12.75">
      <c r="A190" s="5" t="s">
        <v>650</v>
      </c>
      <c r="B190" s="3" t="s">
        <v>1100</v>
      </c>
      <c r="C190" s="3" t="s">
        <v>870</v>
      </c>
      <c r="D190" s="3"/>
      <c r="E190" s="3" t="s">
        <v>855</v>
      </c>
      <c r="F190" s="3" t="s">
        <v>1340</v>
      </c>
      <c r="G190" s="3" t="s">
        <v>1330</v>
      </c>
      <c r="H190" s="23">
        <v>0.066625</v>
      </c>
      <c r="I190" s="6"/>
      <c r="J190" s="6">
        <v>5.71</v>
      </c>
      <c r="K190" s="6">
        <v>19.22</v>
      </c>
      <c r="L190" s="6">
        <v>0.18</v>
      </c>
      <c r="M190" s="6">
        <v>1.05</v>
      </c>
      <c r="N190" s="7"/>
      <c r="O190" s="23"/>
      <c r="P190" s="6"/>
      <c r="Q190" s="6"/>
      <c r="R190" s="31"/>
      <c r="S190" s="6"/>
      <c r="T190" s="31"/>
      <c r="U190" s="6"/>
      <c r="V190" s="23"/>
      <c r="W190" s="6"/>
      <c r="X190" s="6"/>
      <c r="Y190" s="5"/>
      <c r="Z190" s="3"/>
      <c r="AA190" s="6">
        <f>H190*I190/100</f>
      </c>
      <c r="AB190" s="6">
        <f>H190*J190/100</f>
      </c>
      <c r="AC190" s="7">
        <f>H190*K190</f>
      </c>
      <c r="AD190" s="7">
        <f>H190*M190</f>
      </c>
      <c r="AE190" s="6">
        <f>H190*L190/100</f>
      </c>
      <c r="AF190" s="6">
        <f>AA190+AB190+AE190</f>
      </c>
      <c r="AG190" s="6">
        <f>I190+J190+L190</f>
      </c>
      <c r="AH190" s="53">
        <f>$H190*I190</f>
      </c>
      <c r="AI190" s="53">
        <f>$H190*J190</f>
      </c>
      <c r="AJ190" s="53">
        <f>$H190*K190</f>
      </c>
      <c r="AK190" s="53">
        <f>$H190*L190</f>
      </c>
      <c r="AL190" s="53">
        <f>$H190*M190</f>
      </c>
      <c r="AM190" s="3"/>
      <c r="AN190" s="5"/>
      <c r="AO190" s="5"/>
      <c r="AP190" s="5"/>
      <c r="AQ190" s="3"/>
    </row>
    <row x14ac:dyDescent="0.25" r="191" customHeight="1" ht="12.75">
      <c r="A191" s="5" t="s">
        <v>768</v>
      </c>
      <c r="B191" s="3" t="s">
        <v>1100</v>
      </c>
      <c r="C191" s="3" t="s">
        <v>866</v>
      </c>
      <c r="D191" s="3" t="s">
        <v>1001</v>
      </c>
      <c r="E191" s="38" t="s">
        <v>859</v>
      </c>
      <c r="F191" s="3" t="s">
        <v>1171</v>
      </c>
      <c r="G191" s="3" t="s">
        <v>1342</v>
      </c>
      <c r="H191" s="5">
        <v>5</v>
      </c>
      <c r="I191" s="6">
        <v>2.3</v>
      </c>
      <c r="J191" s="6">
        <v>0.6</v>
      </c>
      <c r="K191" s="5">
        <v>7</v>
      </c>
      <c r="L191" s="6"/>
      <c r="M191" s="6"/>
      <c r="N191" s="7"/>
      <c r="O191" s="23"/>
      <c r="P191" s="6"/>
      <c r="Q191" s="6"/>
      <c r="R191" s="31"/>
      <c r="S191" s="6"/>
      <c r="T191" s="31"/>
      <c r="U191" s="6"/>
      <c r="V191" s="23"/>
      <c r="W191" s="6"/>
      <c r="X191" s="6"/>
      <c r="Y191" s="5"/>
      <c r="Z191" s="3"/>
      <c r="AA191" s="6">
        <f>H191*I191/100</f>
      </c>
      <c r="AB191" s="6">
        <f>H191*J191/100</f>
      </c>
      <c r="AC191" s="7">
        <f>H191*K191</f>
      </c>
      <c r="AD191" s="7">
        <f>H191*M191</f>
      </c>
      <c r="AE191" s="6">
        <f>H191*L191/100</f>
      </c>
      <c r="AF191" s="6">
        <f>AA191+AB191+AE191</f>
      </c>
      <c r="AG191" s="6">
        <f>I191+J191+L191</f>
      </c>
      <c r="AH191" s="53">
        <f>$H191*I191</f>
      </c>
      <c r="AI191" s="53">
        <f>$H191*J191</f>
      </c>
      <c r="AJ191" s="53">
        <f>$H191*K191</f>
      </c>
      <c r="AK191" s="53">
        <f>$H191*L191</f>
      </c>
      <c r="AL191" s="53">
        <f>$H191*M191</f>
      </c>
      <c r="AM191" s="3"/>
      <c r="AN191" s="5"/>
      <c r="AO191" s="5"/>
      <c r="AP191" s="5"/>
      <c r="AQ191" s="3"/>
    </row>
    <row x14ac:dyDescent="0.25" r="192" customHeight="1" ht="12.75">
      <c r="A192" s="5" t="s">
        <v>800</v>
      </c>
      <c r="B192" s="3" t="s">
        <v>1100</v>
      </c>
      <c r="C192" s="3" t="s">
        <v>870</v>
      </c>
      <c r="D192" s="3"/>
      <c r="E192" s="38" t="s">
        <v>859</v>
      </c>
      <c r="F192" s="3" t="s">
        <v>1346</v>
      </c>
      <c r="G192" s="3" t="s">
        <v>1347</v>
      </c>
      <c r="H192" s="23">
        <v>1.388915</v>
      </c>
      <c r="I192" s="6"/>
      <c r="J192" s="6">
        <v>3.17</v>
      </c>
      <c r="K192" s="5"/>
      <c r="L192" s="6"/>
      <c r="M192" s="6">
        <v>1.77</v>
      </c>
      <c r="N192" s="7"/>
      <c r="O192" s="23"/>
      <c r="P192" s="6"/>
      <c r="Q192" s="6"/>
      <c r="R192" s="31"/>
      <c r="S192" s="6"/>
      <c r="T192" s="31"/>
      <c r="U192" s="6"/>
      <c r="V192" s="23"/>
      <c r="W192" s="6"/>
      <c r="X192" s="6"/>
      <c r="Y192" s="5"/>
      <c r="Z192" s="3"/>
      <c r="AA192" s="6">
        <f>H192*I192/100</f>
      </c>
      <c r="AB192" s="6">
        <f>H192*J192/100</f>
      </c>
      <c r="AC192" s="7">
        <f>H192*K192</f>
      </c>
      <c r="AD192" s="7">
        <f>H192*M192</f>
      </c>
      <c r="AE192" s="6">
        <f>H192*L192/100</f>
      </c>
      <c r="AF192" s="6">
        <f>AA192+AB192+AE192</f>
      </c>
      <c r="AG192" s="6">
        <f>I192+J192+L192</f>
      </c>
      <c r="AH192" s="53">
        <f>$H192*I192</f>
      </c>
      <c r="AI192" s="53">
        <f>$H192*J192</f>
      </c>
      <c r="AJ192" s="53">
        <f>$H192*K192</f>
      </c>
      <c r="AK192" s="53">
        <f>$H192*L192</f>
      </c>
      <c r="AL192" s="53">
        <f>$H192*M192</f>
      </c>
      <c r="AM192" s="3"/>
      <c r="AN192" s="5"/>
      <c r="AO192" s="5"/>
      <c r="AP192" s="5"/>
      <c r="AQ192" s="3"/>
    </row>
    <row x14ac:dyDescent="0.25" r="193" customHeight="1" ht="12.75">
      <c r="A193" s="5" t="s">
        <v>819</v>
      </c>
      <c r="B193" s="3" t="s">
        <v>1100</v>
      </c>
      <c r="C193" s="3" t="s">
        <v>870</v>
      </c>
      <c r="D193" s="3"/>
      <c r="E193" s="38" t="s">
        <v>859</v>
      </c>
      <c r="F193" s="3" t="s">
        <v>1346</v>
      </c>
      <c r="G193" s="3" t="s">
        <v>1347</v>
      </c>
      <c r="H193" s="23">
        <v>0.259637</v>
      </c>
      <c r="I193" s="6"/>
      <c r="J193" s="6">
        <v>3.05</v>
      </c>
      <c r="K193" s="5"/>
      <c r="L193" s="6"/>
      <c r="M193" s="6">
        <v>0.58</v>
      </c>
      <c r="N193" s="7"/>
      <c r="O193" s="23"/>
      <c r="P193" s="6"/>
      <c r="Q193" s="6"/>
      <c r="R193" s="31"/>
      <c r="S193" s="6"/>
      <c r="T193" s="31"/>
      <c r="U193" s="6"/>
      <c r="V193" s="23"/>
      <c r="W193" s="6"/>
      <c r="X193" s="6"/>
      <c r="Y193" s="5"/>
      <c r="Z193" s="3"/>
      <c r="AA193" s="6">
        <f>H193*I193/100</f>
      </c>
      <c r="AB193" s="6">
        <f>H193*J193/100</f>
      </c>
      <c r="AC193" s="7">
        <f>H193*K193</f>
      </c>
      <c r="AD193" s="7">
        <f>H193*M193</f>
      </c>
      <c r="AE193" s="6">
        <f>H193*L193/100</f>
      </c>
      <c r="AF193" s="6">
        <f>AA193+AB193+AE193</f>
      </c>
      <c r="AG193" s="6">
        <f>I193+J193+L193</f>
      </c>
      <c r="AH193" s="53">
        <f>$H193*I193</f>
      </c>
      <c r="AI193" s="53">
        <f>$H193*J193</f>
      </c>
      <c r="AJ193" s="53">
        <f>$H193*K193</f>
      </c>
      <c r="AK193" s="53">
        <f>$H193*L193</f>
      </c>
      <c r="AL193" s="53">
        <f>$H193*M193</f>
      </c>
      <c r="AM193" s="3"/>
      <c r="AN193" s="5"/>
      <c r="AO193" s="5"/>
      <c r="AP193" s="5"/>
      <c r="AQ193" s="3"/>
    </row>
    <row x14ac:dyDescent="0.25" r="194" customHeight="1" ht="12.75">
      <c r="A194" s="5" t="s">
        <v>804</v>
      </c>
      <c r="B194" s="3" t="s">
        <v>1100</v>
      </c>
      <c r="C194" s="3" t="s">
        <v>866</v>
      </c>
      <c r="D194" s="3" t="s">
        <v>994</v>
      </c>
      <c r="E194" s="38" t="s">
        <v>859</v>
      </c>
      <c r="F194" s="3" t="s">
        <v>1171</v>
      </c>
      <c r="G194" s="3" t="s">
        <v>1342</v>
      </c>
      <c r="H194" s="23">
        <v>2.7213</v>
      </c>
      <c r="I194" s="6">
        <v>3.66</v>
      </c>
      <c r="J194" s="6"/>
      <c r="K194" s="6">
        <v>36.3</v>
      </c>
      <c r="L194" s="6"/>
      <c r="M194" s="6"/>
      <c r="N194" s="7"/>
      <c r="O194" s="23"/>
      <c r="P194" s="6"/>
      <c r="Q194" s="6"/>
      <c r="R194" s="31"/>
      <c r="S194" s="6"/>
      <c r="T194" s="31"/>
      <c r="U194" s="6"/>
      <c r="V194" s="23"/>
      <c r="W194" s="6"/>
      <c r="X194" s="6"/>
      <c r="Y194" s="5"/>
      <c r="Z194" s="3"/>
      <c r="AA194" s="6">
        <f>H194*I194/100</f>
      </c>
      <c r="AB194" s="6">
        <f>H194*J194/100</f>
      </c>
      <c r="AC194" s="7">
        <f>H194*K194</f>
      </c>
      <c r="AD194" s="7">
        <f>H194*M194</f>
      </c>
      <c r="AE194" s="6">
        <f>H194*L194/100</f>
      </c>
      <c r="AF194" s="6">
        <f>AA194+AB194+AE194</f>
      </c>
      <c r="AG194" s="6">
        <f>I194+J194+L194</f>
      </c>
      <c r="AH194" s="53">
        <f>$H194*I194</f>
      </c>
      <c r="AI194" s="53">
        <f>$H194*J194</f>
      </c>
      <c r="AJ194" s="53">
        <f>$H194*K194</f>
      </c>
      <c r="AK194" s="53">
        <f>$H194*L194</f>
      </c>
      <c r="AL194" s="53">
        <f>$H194*M194</f>
      </c>
      <c r="AM194" s="3"/>
      <c r="AN194" s="5"/>
      <c r="AO194" s="5"/>
      <c r="AP194" s="5"/>
      <c r="AQ194" s="3"/>
    </row>
    <row x14ac:dyDescent="0.25" r="195" customHeight="1" ht="12.75">
      <c r="A195" s="5" t="s">
        <v>211</v>
      </c>
      <c r="B195" s="3" t="s">
        <v>1100</v>
      </c>
      <c r="C195" s="3" t="s">
        <v>870</v>
      </c>
      <c r="D195" s="3"/>
      <c r="E195" s="3" t="s">
        <v>855</v>
      </c>
      <c r="F195" s="3" t="s">
        <v>1348</v>
      </c>
      <c r="G195" s="3" t="s">
        <v>1349</v>
      </c>
      <c r="H195" s="6">
        <f>0.231+0.728</f>
      </c>
      <c r="I195" s="6">
        <f>(1.2*0.231+2.42*0.728)/$H195</f>
      </c>
      <c r="J195" s="6">
        <f>(3.22*0.231+5.61*0.728)/$H195</f>
      </c>
      <c r="K195" s="31">
        <f>(152*0.231+185*0.728)/$H195</f>
      </c>
      <c r="L195" s="6">
        <f>(0.38*0.231+0.34*0.728)/$H195</f>
      </c>
      <c r="M195" s="7">
        <f>(2.9*0.231+3.9*0.728)/$H195</f>
      </c>
      <c r="N195" s="7"/>
      <c r="O195" s="23"/>
      <c r="P195" s="6"/>
      <c r="Q195" s="6"/>
      <c r="R195" s="31"/>
      <c r="S195" s="6"/>
      <c r="T195" s="31"/>
      <c r="U195" s="6"/>
      <c r="V195" s="23"/>
      <c r="W195" s="6"/>
      <c r="X195" s="6"/>
      <c r="Y195" s="5"/>
      <c r="Z195" s="3"/>
      <c r="AA195" s="6">
        <f>H195*I195/100</f>
      </c>
      <c r="AB195" s="6">
        <f>H195*J195/100</f>
      </c>
      <c r="AC195" s="7">
        <f>H195*K195</f>
      </c>
      <c r="AD195" s="7">
        <f>H195*M195</f>
      </c>
      <c r="AE195" s="6">
        <f>H195*L195/100</f>
      </c>
      <c r="AF195" s="6">
        <f>AA195+AB195+AE195</f>
      </c>
      <c r="AG195" s="6">
        <f>I195+J195+L195</f>
      </c>
      <c r="AH195" s="53">
        <f>$H195*I195</f>
      </c>
      <c r="AI195" s="53">
        <f>$H195*J195</f>
      </c>
      <c r="AJ195" s="53">
        <f>$H195*K195</f>
      </c>
      <c r="AK195" s="53">
        <f>$H195*L195</f>
      </c>
      <c r="AL195" s="53">
        <f>$H195*M195</f>
      </c>
      <c r="AM195" s="3"/>
      <c r="AN195" s="5"/>
      <c r="AO195" s="5"/>
      <c r="AP195" s="5"/>
      <c r="AQ195" s="3"/>
    </row>
    <row x14ac:dyDescent="0.25" r="196" customHeight="1" ht="12.75">
      <c r="A196" s="5" t="s">
        <v>702</v>
      </c>
      <c r="B196" s="3" t="s">
        <v>1100</v>
      </c>
      <c r="C196" s="3" t="s">
        <v>866</v>
      </c>
      <c r="D196" s="3" t="s">
        <v>988</v>
      </c>
      <c r="E196" s="38" t="s">
        <v>859</v>
      </c>
      <c r="F196" s="3" t="s">
        <v>1171</v>
      </c>
      <c r="G196" s="3" t="s">
        <v>1350</v>
      </c>
      <c r="H196" s="6">
        <v>6.5</v>
      </c>
      <c r="I196" s="6"/>
      <c r="J196" s="5">
        <v>4</v>
      </c>
      <c r="K196" s="5"/>
      <c r="L196" s="6"/>
      <c r="M196" s="6"/>
      <c r="N196" s="7"/>
      <c r="O196" s="23"/>
      <c r="P196" s="6"/>
      <c r="Q196" s="6"/>
      <c r="R196" s="31"/>
      <c r="S196" s="6"/>
      <c r="T196" s="31"/>
      <c r="U196" s="6"/>
      <c r="V196" s="23"/>
      <c r="W196" s="6"/>
      <c r="X196" s="6"/>
      <c r="Y196" s="5"/>
      <c r="Z196" s="3"/>
      <c r="AA196" s="6">
        <f>H196*I196/100</f>
      </c>
      <c r="AB196" s="6">
        <f>H196*J196/100</f>
      </c>
      <c r="AC196" s="7">
        <f>H196*K196</f>
      </c>
      <c r="AD196" s="7">
        <f>H196*M196</f>
      </c>
      <c r="AE196" s="6">
        <f>H196*L196/100</f>
      </c>
      <c r="AF196" s="6">
        <f>AA196+AB196+AE196</f>
      </c>
      <c r="AG196" s="6">
        <f>I196+J196+L196</f>
      </c>
      <c r="AH196" s="53">
        <f>$H196*I196</f>
      </c>
      <c r="AI196" s="53">
        <f>$H196*J196</f>
      </c>
      <c r="AJ196" s="53">
        <f>$H196*K196</f>
      </c>
      <c r="AK196" s="53">
        <f>$H196*L196</f>
      </c>
      <c r="AL196" s="53">
        <f>$H196*M196</f>
      </c>
      <c r="AM196" s="3"/>
      <c r="AN196" s="5"/>
      <c r="AO196" s="5"/>
      <c r="AP196" s="5"/>
      <c r="AQ196" s="3"/>
    </row>
    <row x14ac:dyDescent="0.25" r="197" customHeight="1" ht="12.75">
      <c r="A197" s="5" t="s">
        <v>89</v>
      </c>
      <c r="B197" s="3" t="s">
        <v>1100</v>
      </c>
      <c r="C197" s="3" t="s">
        <v>866</v>
      </c>
      <c r="D197" s="3" t="s">
        <v>989</v>
      </c>
      <c r="E197" s="38" t="s">
        <v>859</v>
      </c>
      <c r="F197" s="3" t="s">
        <v>1351</v>
      </c>
      <c r="G197" s="3" t="s">
        <v>1322</v>
      </c>
      <c r="H197" s="23">
        <f>0.04874*0.9072</f>
      </c>
      <c r="I197" s="6">
        <v>7.94</v>
      </c>
      <c r="J197" s="6">
        <v>6.74</v>
      </c>
      <c r="K197" s="6">
        <v>161.1</v>
      </c>
      <c r="L197" s="6"/>
      <c r="M197" s="7">
        <f>0.13*31.1/0.9072</f>
      </c>
      <c r="N197" s="7"/>
      <c r="O197" s="23"/>
      <c r="P197" s="6"/>
      <c r="Q197" s="6"/>
      <c r="R197" s="31"/>
      <c r="S197" s="6"/>
      <c r="T197" s="31"/>
      <c r="U197" s="6"/>
      <c r="V197" s="23"/>
      <c r="W197" s="6"/>
      <c r="X197" s="6"/>
      <c r="Y197" s="5"/>
      <c r="Z197" s="3"/>
      <c r="AA197" s="6">
        <f>H197*I197/100</f>
      </c>
      <c r="AB197" s="6">
        <f>H197*J197/100</f>
      </c>
      <c r="AC197" s="7">
        <f>H197*K197</f>
      </c>
      <c r="AD197" s="7">
        <f>H197*M197</f>
      </c>
      <c r="AE197" s="6">
        <f>H197*L197/100</f>
      </c>
      <c r="AF197" s="6">
        <f>AA197+AB197+AE197</f>
      </c>
      <c r="AG197" s="6">
        <f>I197+J197+L197</f>
      </c>
      <c r="AH197" s="53">
        <f>$H197*I197</f>
      </c>
      <c r="AI197" s="53">
        <f>$H197*J197</f>
      </c>
      <c r="AJ197" s="53">
        <f>$H197*K197</f>
      </c>
      <c r="AK197" s="53">
        <f>$H197*L197</f>
      </c>
      <c r="AL197" s="53">
        <f>$H197*M197</f>
      </c>
      <c r="AM197" s="3"/>
      <c r="AN197" s="5"/>
      <c r="AO197" s="5"/>
      <c r="AP197" s="5"/>
      <c r="AQ197" s="3"/>
    </row>
    <row x14ac:dyDescent="0.25" r="198" customHeight="1" ht="12.75">
      <c r="A198" s="5" t="s">
        <v>386</v>
      </c>
      <c r="B198" s="3" t="s">
        <v>1100</v>
      </c>
      <c r="C198" s="3" t="s">
        <v>866</v>
      </c>
      <c r="D198" s="3" t="s">
        <v>989</v>
      </c>
      <c r="E198" s="3" t="s">
        <v>855</v>
      </c>
      <c r="F198" s="3" t="s">
        <v>1352</v>
      </c>
      <c r="G198" s="3" t="s">
        <v>1353</v>
      </c>
      <c r="H198" s="6">
        <v>19.6</v>
      </c>
      <c r="I198" s="6">
        <v>2.8</v>
      </c>
      <c r="J198" s="6">
        <v>3.04</v>
      </c>
      <c r="K198" s="7">
        <v>56</v>
      </c>
      <c r="L198" s="6"/>
      <c r="M198" s="6"/>
      <c r="N198" s="7"/>
      <c r="O198" s="23"/>
      <c r="P198" s="6"/>
      <c r="Q198" s="6"/>
      <c r="R198" s="31"/>
      <c r="S198" s="6"/>
      <c r="T198" s="31"/>
      <c r="U198" s="6"/>
      <c r="V198" s="23"/>
      <c r="W198" s="6"/>
      <c r="X198" s="6"/>
      <c r="Y198" s="5"/>
      <c r="Z198" s="3"/>
      <c r="AA198" s="6">
        <f>H198*I198/100</f>
      </c>
      <c r="AB198" s="6">
        <f>H198*J198/100</f>
      </c>
      <c r="AC198" s="7">
        <f>H198*K198</f>
      </c>
      <c r="AD198" s="7">
        <f>H198*M198</f>
      </c>
      <c r="AE198" s="6">
        <f>H198*L198/100</f>
      </c>
      <c r="AF198" s="6">
        <f>AA198+AB198+AE198</f>
      </c>
      <c r="AG198" s="6">
        <f>I198+J198+L198</f>
      </c>
      <c r="AH198" s="53">
        <f>$H198*I198</f>
      </c>
      <c r="AI198" s="53">
        <f>$H198*J198</f>
      </c>
      <c r="AJ198" s="53">
        <f>$H198*K198</f>
      </c>
      <c r="AK198" s="53">
        <f>$H198*L198</f>
      </c>
      <c r="AL198" s="53">
        <f>$H198*M198</f>
      </c>
      <c r="AM198" s="3"/>
      <c r="AN198" s="5"/>
      <c r="AO198" s="5"/>
      <c r="AP198" s="5"/>
      <c r="AQ198" s="3"/>
    </row>
    <row x14ac:dyDescent="0.25" r="199" customHeight="1" ht="12.75">
      <c r="A199" s="5" t="s">
        <v>696</v>
      </c>
      <c r="B199" s="3" t="s">
        <v>1100</v>
      </c>
      <c r="C199" s="3" t="s">
        <v>870</v>
      </c>
      <c r="D199" s="3"/>
      <c r="E199" s="3" t="s">
        <v>855</v>
      </c>
      <c r="F199" s="3" t="s">
        <v>1354</v>
      </c>
      <c r="G199" s="3" t="s">
        <v>1355</v>
      </c>
      <c r="H199" s="6">
        <f>1.095+1.177</f>
      </c>
      <c r="I199" s="6">
        <f>(0.44*1.095+0.27*1.177)/H199</f>
      </c>
      <c r="J199" s="6">
        <f>(4.61*1.095+3.75*1.177)/H199</f>
      </c>
      <c r="K199" s="7">
        <f>(16.56*1.095+10.95*1.177)/H199</f>
      </c>
      <c r="L199" s="6">
        <f>(0.86*1.095+0.95*1.177)/H199</f>
      </c>
      <c r="M199" s="6">
        <f>(0.2*1.095+0.06*1.177)/H199</f>
      </c>
      <c r="N199" s="7"/>
      <c r="O199" s="23"/>
      <c r="P199" s="6"/>
      <c r="Q199" s="6"/>
      <c r="R199" s="31"/>
      <c r="S199" s="6"/>
      <c r="T199" s="31"/>
      <c r="U199" s="6"/>
      <c r="V199" s="23"/>
      <c r="W199" s="6"/>
      <c r="X199" s="6"/>
      <c r="Y199" s="5"/>
      <c r="Z199" s="3"/>
      <c r="AA199" s="6">
        <f>H199*I199/100</f>
      </c>
      <c r="AB199" s="6">
        <f>H199*J199/100</f>
      </c>
      <c r="AC199" s="7">
        <f>H199*K199</f>
      </c>
      <c r="AD199" s="7">
        <f>H199*M199</f>
      </c>
      <c r="AE199" s="6">
        <f>H199*L199/100</f>
      </c>
      <c r="AF199" s="6">
        <f>AA199+AB199+AE199</f>
      </c>
      <c r="AG199" s="6">
        <f>I199+J199+L199</f>
      </c>
      <c r="AH199" s="53">
        <f>$H199*I199</f>
      </c>
      <c r="AI199" s="53">
        <f>$H199*J199</f>
      </c>
      <c r="AJ199" s="53">
        <f>$H199*K199</f>
      </c>
      <c r="AK199" s="53">
        <f>$H199*L199</f>
      </c>
      <c r="AL199" s="53">
        <f>$H199*M199</f>
      </c>
      <c r="AM199" s="3"/>
      <c r="AN199" s="5"/>
      <c r="AO199" s="5"/>
      <c r="AP199" s="5"/>
      <c r="AQ199" s="3"/>
    </row>
    <row x14ac:dyDescent="0.25" r="200" customHeight="1" ht="12.75">
      <c r="A200" s="5" t="s">
        <v>308</v>
      </c>
      <c r="B200" s="3" t="s">
        <v>1100</v>
      </c>
      <c r="C200" s="3" t="s">
        <v>870</v>
      </c>
      <c r="D200" s="3"/>
      <c r="E200" s="3" t="s">
        <v>855</v>
      </c>
      <c r="F200" s="3" t="s">
        <v>1356</v>
      </c>
      <c r="G200" s="3" t="s">
        <v>1353</v>
      </c>
      <c r="H200" s="23">
        <f>0.2782+1.3688+0.4302</f>
      </c>
      <c r="I200" s="6">
        <f>(2.88*0.2782+3*1.3688+2.7*0.4302)/$H200</f>
      </c>
      <c r="J200" s="6">
        <f>(6.71*0.2782+7.07*1.3688+6.1*0.4302)/$H200</f>
      </c>
      <c r="K200" s="7">
        <f>(96.51*0.2782+110.22*1.3688+89*0.4302)/$H200</f>
      </c>
      <c r="L200" s="6">
        <f>(0.44*0.2782+0.51*1.3688+0.4*0.4302)/$H200</f>
      </c>
      <c r="M200" s="6">
        <f>(1.29*0.2782+1.66*1.3688+0.6*0.4302)/$H200</f>
      </c>
      <c r="N200" s="7"/>
      <c r="O200" s="23"/>
      <c r="P200" s="6"/>
      <c r="Q200" s="6"/>
      <c r="R200" s="31"/>
      <c r="S200" s="6"/>
      <c r="T200" s="31"/>
      <c r="U200" s="6"/>
      <c r="V200" s="23"/>
      <c r="W200" s="6"/>
      <c r="X200" s="6"/>
      <c r="Y200" s="5"/>
      <c r="Z200" s="3"/>
      <c r="AA200" s="6">
        <f>H200*I200/100</f>
      </c>
      <c r="AB200" s="6">
        <f>H200*J200/100</f>
      </c>
      <c r="AC200" s="7">
        <f>H200*K200</f>
      </c>
      <c r="AD200" s="7">
        <f>H200*M200</f>
      </c>
      <c r="AE200" s="6">
        <f>H200*L200/100</f>
      </c>
      <c r="AF200" s="6">
        <f>AA200+AB200+AE200</f>
      </c>
      <c r="AG200" s="6">
        <f>I200+J200+L200</f>
      </c>
      <c r="AH200" s="53">
        <f>$H200*I200</f>
      </c>
      <c r="AI200" s="53">
        <f>$H200*J200</f>
      </c>
      <c r="AJ200" s="53">
        <f>$H200*K200</f>
      </c>
      <c r="AK200" s="53">
        <f>$H200*L200</f>
      </c>
      <c r="AL200" s="53">
        <f>$H200*M200</f>
      </c>
      <c r="AM200" s="3"/>
      <c r="AN200" s="5"/>
      <c r="AO200" s="5"/>
      <c r="AP200" s="5"/>
      <c r="AQ200" s="3"/>
    </row>
    <row x14ac:dyDescent="0.25" r="201" customHeight="1" ht="12.75">
      <c r="A201" s="5" t="s">
        <v>807</v>
      </c>
      <c r="B201" s="3" t="s">
        <v>1100</v>
      </c>
      <c r="C201" s="3" t="s">
        <v>870</v>
      </c>
      <c r="D201" s="3" t="s">
        <v>870</v>
      </c>
      <c r="E201" s="38" t="s">
        <v>859</v>
      </c>
      <c r="F201" s="3" t="s">
        <v>1171</v>
      </c>
      <c r="G201" s="3" t="s">
        <v>1342</v>
      </c>
      <c r="H201" s="23">
        <f>0.148+0.148</f>
      </c>
      <c r="I201" s="6">
        <f>(0.53*0.148+1*0.148)/$H201</f>
      </c>
      <c r="J201" s="6">
        <f>(2.43*0.148+2.72*0.148)/$H201</f>
      </c>
      <c r="K201" s="7">
        <f>(49.7*0.148+54.9*0.148)/$H201</f>
      </c>
      <c r="L201" s="6">
        <f>(0.19*0.148+0.2*0.148)/$H201</f>
      </c>
      <c r="M201" s="6"/>
      <c r="N201" s="7"/>
      <c r="O201" s="23"/>
      <c r="P201" s="6"/>
      <c r="Q201" s="6"/>
      <c r="R201" s="31"/>
      <c r="S201" s="6"/>
      <c r="T201" s="31"/>
      <c r="U201" s="6"/>
      <c r="V201" s="23"/>
      <c r="W201" s="6"/>
      <c r="X201" s="6"/>
      <c r="Y201" s="5"/>
      <c r="Z201" s="3"/>
      <c r="AA201" s="6">
        <f>H201*I201/100</f>
      </c>
      <c r="AB201" s="6">
        <f>H201*J201/100</f>
      </c>
      <c r="AC201" s="7">
        <f>H201*K201</f>
      </c>
      <c r="AD201" s="7">
        <f>H201*M201</f>
      </c>
      <c r="AE201" s="6">
        <f>H201*L201/100</f>
      </c>
      <c r="AF201" s="6">
        <f>AA201+AB201+AE201</f>
      </c>
      <c r="AG201" s="6">
        <f>I201+J201+L201</f>
      </c>
      <c r="AH201" s="53">
        <f>$H201*I201</f>
      </c>
      <c r="AI201" s="53">
        <f>$H201*J201</f>
      </c>
      <c r="AJ201" s="53">
        <f>$H201*K201</f>
      </c>
      <c r="AK201" s="53">
        <f>$H201*L201</f>
      </c>
      <c r="AL201" s="53">
        <f>$H201*M201</f>
      </c>
      <c r="AM201" s="3"/>
      <c r="AN201" s="5"/>
      <c r="AO201" s="5"/>
      <c r="AP201" s="5"/>
      <c r="AQ201" s="3"/>
    </row>
    <row x14ac:dyDescent="0.25" r="202" customHeight="1" ht="12.75">
      <c r="A202" s="5" t="s">
        <v>506</v>
      </c>
      <c r="B202" s="3" t="s">
        <v>1100</v>
      </c>
      <c r="C202" s="3" t="s">
        <v>870</v>
      </c>
      <c r="D202" s="3"/>
      <c r="E202" s="3" t="s">
        <v>855</v>
      </c>
      <c r="F202" s="3" t="s">
        <v>1357</v>
      </c>
      <c r="G202" s="3" t="s">
        <v>1355</v>
      </c>
      <c r="H202" s="6">
        <f>1.475+2.975</f>
      </c>
      <c r="I202" s="6">
        <f>(0.23*1.475+0.13*2.975)/$H202</f>
      </c>
      <c r="J202" s="6">
        <f>(9.18*1.475+5.55*2.975)/$H202</f>
      </c>
      <c r="K202" s="7">
        <f>(32.6*1.475+13.9*2.975)/$H202</f>
      </c>
      <c r="L202" s="6">
        <f>(0.79*1.475+0.55*2.975)/$H202</f>
      </c>
      <c r="M202" s="6">
        <f>(0.15*1.475+0.1*2.975)/$H202</f>
      </c>
      <c r="N202" s="7"/>
      <c r="O202" s="23"/>
      <c r="P202" s="6"/>
      <c r="Q202" s="6"/>
      <c r="R202" s="31"/>
      <c r="S202" s="6"/>
      <c r="T202" s="31"/>
      <c r="U202" s="6"/>
      <c r="V202" s="23"/>
      <c r="W202" s="6"/>
      <c r="X202" s="6"/>
      <c r="Y202" s="5"/>
      <c r="Z202" s="3"/>
      <c r="AA202" s="6">
        <f>H202*I202/100</f>
      </c>
      <c r="AB202" s="6">
        <f>H202*J202/100</f>
      </c>
      <c r="AC202" s="7">
        <f>H202*K202</f>
      </c>
      <c r="AD202" s="7">
        <f>H202*M202</f>
      </c>
      <c r="AE202" s="6">
        <f>H202*L202/100</f>
      </c>
      <c r="AF202" s="6">
        <f>AA202+AB202+AE202</f>
      </c>
      <c r="AG202" s="6">
        <f>I202+J202+L202</f>
      </c>
      <c r="AH202" s="53">
        <f>$H202*I202</f>
      </c>
      <c r="AI202" s="53">
        <f>$H202*J202</f>
      </c>
      <c r="AJ202" s="53">
        <f>$H202*K202</f>
      </c>
      <c r="AK202" s="53">
        <f>$H202*L202</f>
      </c>
      <c r="AL202" s="53">
        <f>$H202*M202</f>
      </c>
      <c r="AM202" s="3"/>
      <c r="AN202" s="5"/>
      <c r="AO202" s="5"/>
      <c r="AP202" s="5"/>
      <c r="AQ202" s="3"/>
    </row>
    <row x14ac:dyDescent="0.25" r="203" customHeight="1" ht="12.75">
      <c r="A203" s="5" t="s">
        <v>330</v>
      </c>
      <c r="B203" s="3" t="s">
        <v>1100</v>
      </c>
      <c r="C203" s="3" t="s">
        <v>870</v>
      </c>
      <c r="D203" s="3"/>
      <c r="E203" s="3" t="s">
        <v>855</v>
      </c>
      <c r="F203" s="3" t="s">
        <v>1180</v>
      </c>
      <c r="G203" s="3" t="s">
        <v>1181</v>
      </c>
      <c r="H203" s="6">
        <f>2.18+1.1+2.6</f>
      </c>
      <c r="I203" s="6"/>
      <c r="J203" s="6">
        <f>(8.9*2.18+8.5*1.1+9*2.6)/$H203</f>
      </c>
      <c r="K203" s="7">
        <f>(33.9*2.18+21*1.1+40*2.6)/$H203</f>
      </c>
      <c r="L203" s="6">
        <f>(1.53*2.18+1.1*1.1+1*2.6)/$H203</f>
      </c>
      <c r="M203" s="7">
        <f>(0.46*2.18+0.5*1.1+1*2.6)/$H203</f>
      </c>
      <c r="N203" s="7"/>
      <c r="O203" s="23"/>
      <c r="P203" s="6"/>
      <c r="Q203" s="6"/>
      <c r="R203" s="31"/>
      <c r="S203" s="6"/>
      <c r="T203" s="31"/>
      <c r="U203" s="6"/>
      <c r="V203" s="23"/>
      <c r="W203" s="6"/>
      <c r="X203" s="6"/>
      <c r="Y203" s="5"/>
      <c r="Z203" s="3"/>
      <c r="AA203" s="6">
        <f>H203*I203/100</f>
      </c>
      <c r="AB203" s="6">
        <f>H203*J203/100</f>
      </c>
      <c r="AC203" s="7">
        <f>H203*K203</f>
      </c>
      <c r="AD203" s="7">
        <f>H203*M203</f>
      </c>
      <c r="AE203" s="6">
        <f>H203*L203/100</f>
      </c>
      <c r="AF203" s="6">
        <f>AA203+AB203+AE203</f>
      </c>
      <c r="AG203" s="6">
        <f>I203+J203+L203</f>
      </c>
      <c r="AH203" s="53">
        <f>$H203*I203</f>
      </c>
      <c r="AI203" s="53">
        <f>$H203*J203</f>
      </c>
      <c r="AJ203" s="53">
        <f>$H203*K203</f>
      </c>
      <c r="AK203" s="53">
        <f>$H203*L203</f>
      </c>
      <c r="AL203" s="53">
        <f>$H203*M203</f>
      </c>
      <c r="AM203" s="3"/>
      <c r="AN203" s="5"/>
      <c r="AO203" s="5"/>
      <c r="AP203" s="5"/>
      <c r="AQ203" s="3"/>
    </row>
    <row x14ac:dyDescent="0.25" r="204" customHeight="1" ht="12.75">
      <c r="A204" s="5" t="s">
        <v>447</v>
      </c>
      <c r="B204" s="3" t="s">
        <v>1100</v>
      </c>
      <c r="C204" s="3" t="s">
        <v>870</v>
      </c>
      <c r="D204" s="3"/>
      <c r="E204" s="38" t="s">
        <v>859</v>
      </c>
      <c r="F204" s="3" t="s">
        <v>1171</v>
      </c>
      <c r="G204" s="3" t="s">
        <v>1342</v>
      </c>
      <c r="H204" s="23">
        <f>0.146224+0.101413+0.05506+0.1348+0.059071</f>
      </c>
      <c r="I204" s="6">
        <f>(0.19*0.146224+0.19*0.101413+0.27*0.05506+5*0.1348+2*0.059071)/$H204</f>
      </c>
      <c r="J204" s="6">
        <f>(0.43*0.146224+0.43*0.101413+0.45*0.05506+0*0.1348+0*0.059071)/$H204</f>
      </c>
      <c r="K204" s="7">
        <f>(414.7*0.146224+414.7*0.101413+397.6*0.05506+85.7*0.1348+26.73*0.059071)/$H204</f>
      </c>
      <c r="L204" s="6">
        <f>(0*0.146224+0*0.101413+0*0.05506+0.65*0.1348+0*0.059071)/$H204</f>
      </c>
      <c r="M204" s="6">
        <f>(0.27*0.146224+0.27*0.101413+0.68*0.05506+1.03*0.1348+9.08*0.059071)/$H204</f>
      </c>
      <c r="N204" s="7"/>
      <c r="O204" s="23"/>
      <c r="P204" s="6"/>
      <c r="Q204" s="6"/>
      <c r="R204" s="31"/>
      <c r="S204" s="6"/>
      <c r="T204" s="31"/>
      <c r="U204" s="6"/>
      <c r="V204" s="23"/>
      <c r="W204" s="6"/>
      <c r="X204" s="6"/>
      <c r="Y204" s="5"/>
      <c r="Z204" s="3"/>
      <c r="AA204" s="6">
        <f>H204*I204/100</f>
      </c>
      <c r="AB204" s="6">
        <f>H204*J204/100</f>
      </c>
      <c r="AC204" s="7">
        <f>H204*K204</f>
      </c>
      <c r="AD204" s="7">
        <f>H204*M204</f>
      </c>
      <c r="AE204" s="6">
        <f>H204*L204/100</f>
      </c>
      <c r="AF204" s="6">
        <f>AA204+AB204+AE204</f>
      </c>
      <c r="AG204" s="6">
        <f>I204+J204+L204</f>
      </c>
      <c r="AH204" s="53">
        <f>$H204*I204</f>
      </c>
      <c r="AI204" s="53">
        <f>$H204*J204</f>
      </c>
      <c r="AJ204" s="53">
        <f>$H204*K204</f>
      </c>
      <c r="AK204" s="53">
        <f>$H204*L204</f>
      </c>
      <c r="AL204" s="53">
        <f>$H204*M204</f>
      </c>
      <c r="AM204" s="3"/>
      <c r="AN204" s="5"/>
      <c r="AO204" s="5"/>
      <c r="AP204" s="5"/>
      <c r="AQ204" s="3"/>
    </row>
    <row x14ac:dyDescent="0.25" r="205" customHeight="1" ht="12.75">
      <c r="A205" s="5" t="s">
        <v>7</v>
      </c>
      <c r="B205" s="3" t="s">
        <v>1100</v>
      </c>
      <c r="C205" s="3" t="s">
        <v>1008</v>
      </c>
      <c r="D205" s="3"/>
      <c r="E205" s="3" t="s">
        <v>855</v>
      </c>
      <c r="F205" s="3" t="s">
        <v>1358</v>
      </c>
      <c r="G205" s="3" t="s">
        <v>1359</v>
      </c>
      <c r="H205" s="7">
        <f>6.609+65.329+3516.944+923.168+369.002+127.696</f>
      </c>
      <c r="I205" s="6"/>
      <c r="J205" s="23">
        <f>(0.01436*6.609+0.02736*65.329+0.01407*3516.944+0.028*923.168+0.01532*369.002+0.02758*127.696)/$H205</f>
      </c>
      <c r="K205" s="5"/>
      <c r="L205" s="23">
        <f>(0.00313*6.609+0.00744*65.329+0.00308*3516.944+0.0076*923.168+0.00339*369.002+0.00857*127.696)/$H205</f>
      </c>
      <c r="M205" s="6"/>
      <c r="N205" s="7"/>
      <c r="O205" s="23">
        <f>(0.00473*6.609+0.01429*65.329+0.00477*3516.944+0.01424*923.168+0.00503*369.002+0.01321*127.696)/$H205</f>
      </c>
      <c r="P205" s="23">
        <f>(0.00143*6.609+0.00234*65.329+0.00136*3516.944+0.0022*923.168+0.00133*369.002+0.00207*127.696)/$H205</f>
      </c>
      <c r="Q205" s="6"/>
      <c r="R205" s="31"/>
      <c r="S205" s="15">
        <f>(95.95/(95.95+3*16))*((3.7*6.609+100.4*65.329+2.9*3516.944+99.4*923.168+2.6*369.002+93.3*127.696)/10000)/$H205</f>
      </c>
      <c r="T205" s="31"/>
      <c r="U205" s="6"/>
      <c r="V205" s="15">
        <f>((5.2*6.609+29.1*65.329+5.2*3516.944+31.9*923.168+5.1*369.002+31.1*127.696)/10000)/$H205</f>
      </c>
      <c r="W205" s="6"/>
      <c r="X205" s="23">
        <f>(2*50.9415/(2*50.9415+5*16))*((452.7*6.609+1315.5*65.329+445.8*3516.944+1218.3*923.168+494*369.002+1375.6*127.696)/10000)/$H205</f>
      </c>
      <c r="Y205" s="23">
        <f>(((45.5+82.2+9.7+36.8+7.1+1.5+5.7+0.9+5.2+1.1+3.1+0.5+3.2+0.5+34.2)*6.609+(57.7+89.4+11.9+45.8+9.2+2+8.7+1.3+7.8+1.6+4.3+0.6+4.1+0.6+54.9)*65.329+(44.3+79.1+9.6+36+6.9+1.4+5.6+0.9+5+1+3+0.5+3.1+0.5+32)*3516.944+(65.1+102.8+14.1+56.1+11.7+2.5+10.9+1.7+9.4+1.8+5.1+0.7+4.7+0.7+72.6)*923.168+(43.7+78.6+9.7+35.9+6.9+1.5+5.7+0.9+5.4+1.1+3.2+0.5+3.2+0.7+33.2)*369.002+(55.2+90+12.7+49.4+10.1+2.2+9.6+1.5+8.6+1.6+4.6+0.7+4.3+0.6+57)*127.696)/10000)/$H205</f>
      </c>
      <c r="Z205" s="3" t="s">
        <v>1009</v>
      </c>
      <c r="AA205" s="6">
        <f>H205*I205/100</f>
      </c>
      <c r="AB205" s="6">
        <f>H205*J205/100</f>
      </c>
      <c r="AC205" s="7">
        <f>H205*K205</f>
      </c>
      <c r="AD205" s="7">
        <f>H205*M205</f>
      </c>
      <c r="AE205" s="6">
        <f>H205*L205/100</f>
      </c>
      <c r="AF205" s="6">
        <f>AA205+AB205+AE205</f>
      </c>
      <c r="AG205" s="6">
        <f>I205+J205+L205</f>
      </c>
      <c r="AH205" s="53">
        <f>$H205*I205</f>
      </c>
      <c r="AI205" s="53">
        <f>$H205*J205</f>
      </c>
      <c r="AJ205" s="53">
        <f>$H205*K205</f>
      </c>
      <c r="AK205" s="53">
        <f>$H205*L205</f>
      </c>
      <c r="AL205" s="53">
        <f>$H205*M205</f>
      </c>
      <c r="AM205" s="3"/>
      <c r="AN205" s="5"/>
      <c r="AO205" s="5"/>
      <c r="AP205" s="5"/>
      <c r="AQ205" s="3"/>
    </row>
    <row x14ac:dyDescent="0.25" r="206" customHeight="1" ht="12.75">
      <c r="A206" s="5" t="s">
        <v>328</v>
      </c>
      <c r="B206" s="3" t="s">
        <v>1100</v>
      </c>
      <c r="C206" s="3" t="s">
        <v>866</v>
      </c>
      <c r="D206" s="3"/>
      <c r="E206" s="38" t="s">
        <v>859</v>
      </c>
      <c r="F206" s="3" t="s">
        <v>1171</v>
      </c>
      <c r="G206" s="3" t="s">
        <v>1360</v>
      </c>
      <c r="H206" s="6">
        <v>1.25</v>
      </c>
      <c r="I206" s="6">
        <v>0.7</v>
      </c>
      <c r="J206" s="6">
        <v>9.4</v>
      </c>
      <c r="K206" s="5"/>
      <c r="L206" s="6"/>
      <c r="M206" s="6"/>
      <c r="N206" s="7"/>
      <c r="O206" s="23"/>
      <c r="P206" s="6"/>
      <c r="Q206" s="6"/>
      <c r="R206" s="31"/>
      <c r="S206" s="6"/>
      <c r="T206" s="31"/>
      <c r="U206" s="6"/>
      <c r="V206" s="23"/>
      <c r="W206" s="6"/>
      <c r="X206" s="6"/>
      <c r="Y206" s="5"/>
      <c r="Z206" s="3"/>
      <c r="AA206" s="6">
        <f>H206*I206/100</f>
      </c>
      <c r="AB206" s="6">
        <f>H206*J206/100</f>
      </c>
      <c r="AC206" s="7">
        <f>H206*K206</f>
      </c>
      <c r="AD206" s="7">
        <f>H206*M206</f>
      </c>
      <c r="AE206" s="6">
        <f>H206*L206/100</f>
      </c>
      <c r="AF206" s="6">
        <f>AA206+AB206+AE206</f>
      </c>
      <c r="AG206" s="6">
        <f>I206+J206+L206</f>
      </c>
      <c r="AH206" s="53">
        <f>$H206*I206</f>
      </c>
      <c r="AI206" s="53">
        <f>$H206*J206</f>
      </c>
      <c r="AJ206" s="53">
        <f>$H206*K206</f>
      </c>
      <c r="AK206" s="53">
        <f>$H206*L206</f>
      </c>
      <c r="AL206" s="53">
        <f>$H206*M206</f>
      </c>
      <c r="AM206" s="3"/>
      <c r="AN206" s="5"/>
      <c r="AO206" s="5"/>
      <c r="AP206" s="5"/>
      <c r="AQ206" s="3"/>
    </row>
    <row x14ac:dyDescent="0.25" r="207" customHeight="1" ht="12.75">
      <c r="A207" s="5" t="s">
        <v>16</v>
      </c>
      <c r="B207" s="3" t="s">
        <v>1100</v>
      </c>
      <c r="C207" s="3" t="s">
        <v>869</v>
      </c>
      <c r="D207" s="3"/>
      <c r="E207" s="38" t="s">
        <v>859</v>
      </c>
      <c r="F207" s="3" t="s">
        <v>1171</v>
      </c>
      <c r="G207" s="3" t="s">
        <v>1361</v>
      </c>
      <c r="H207" s="6">
        <v>0.068</v>
      </c>
      <c r="I207" s="6">
        <v>0.6</v>
      </c>
      <c r="J207" s="6">
        <v>7.45</v>
      </c>
      <c r="K207" s="6">
        <v>704.2</v>
      </c>
      <c r="L207" s="6">
        <v>6.1</v>
      </c>
      <c r="M207" s="6">
        <v>0.34</v>
      </c>
      <c r="N207" s="7"/>
      <c r="O207" s="23"/>
      <c r="P207" s="6"/>
      <c r="Q207" s="6"/>
      <c r="R207" s="31"/>
      <c r="S207" s="6"/>
      <c r="T207" s="31"/>
      <c r="U207" s="6"/>
      <c r="V207" s="23"/>
      <c r="W207" s="6"/>
      <c r="X207" s="6"/>
      <c r="Y207" s="5"/>
      <c r="Z207" s="3"/>
      <c r="AA207" s="6">
        <f>H207*I207/100</f>
      </c>
      <c r="AB207" s="6">
        <f>H207*J207/100</f>
      </c>
      <c r="AC207" s="7">
        <f>H207*K207</f>
      </c>
      <c r="AD207" s="7">
        <f>H207*M207</f>
      </c>
      <c r="AE207" s="6">
        <f>H207*L207/100</f>
      </c>
      <c r="AF207" s="6">
        <f>AA207+AB207+AE207</f>
      </c>
      <c r="AG207" s="6">
        <f>I207+J207+L207</f>
      </c>
      <c r="AH207" s="53">
        <f>$H207*I207</f>
      </c>
      <c r="AI207" s="53">
        <f>$H207*J207</f>
      </c>
      <c r="AJ207" s="53">
        <f>$H207*K207</f>
      </c>
      <c r="AK207" s="53">
        <f>$H207*L207</f>
      </c>
      <c r="AL207" s="53">
        <f>$H207*M207</f>
      </c>
      <c r="AM207" s="3"/>
      <c r="AN207" s="5"/>
      <c r="AO207" s="5"/>
      <c r="AP207" s="5"/>
      <c r="AQ207" s="3"/>
    </row>
    <row x14ac:dyDescent="0.25" r="208" customHeight="1" ht="12.75">
      <c r="A208" s="5" t="s">
        <v>310</v>
      </c>
      <c r="B208" s="3" t="s">
        <v>1100</v>
      </c>
      <c r="C208" s="3" t="s">
        <v>870</v>
      </c>
      <c r="D208" s="3"/>
      <c r="E208" s="3" t="s">
        <v>855</v>
      </c>
      <c r="F208" s="3" t="s">
        <v>1362</v>
      </c>
      <c r="G208" s="3" t="s">
        <v>1288</v>
      </c>
      <c r="H208" s="6">
        <f>5.61+1.62+3.66</f>
      </c>
      <c r="I208" s="6">
        <f>(2.93*5.61+2.94*1.62+2.81*3.66)/$H208</f>
      </c>
      <c r="J208" s="6">
        <f>(6.91*5.61+7.28*1.62+6.95*3.66)/$H208</f>
      </c>
      <c r="K208" s="7">
        <f>(84.64*5.61+83.68*1.62+78.31*3.66)/$H208</f>
      </c>
      <c r="L208" s="6">
        <f>(0.46*5.61+0.34*1.62+0.32*3.66)/$H208</f>
      </c>
      <c r="M208" s="6">
        <f>(0.84*5.61+1.06*1.62+1.23*3.66)/$H208</f>
      </c>
      <c r="N208" s="7"/>
      <c r="O208" s="23"/>
      <c r="P208" s="6"/>
      <c r="Q208" s="6"/>
      <c r="R208" s="31"/>
      <c r="S208" s="6"/>
      <c r="T208" s="31"/>
      <c r="U208" s="6"/>
      <c r="V208" s="23"/>
      <c r="W208" s="6"/>
      <c r="X208" s="6"/>
      <c r="Y208" s="5"/>
      <c r="Z208" s="3"/>
      <c r="AA208" s="6">
        <f>H208*I208/100</f>
      </c>
      <c r="AB208" s="6">
        <f>H208*J208/100</f>
      </c>
      <c r="AC208" s="7">
        <f>H208*K208</f>
      </c>
      <c r="AD208" s="7">
        <f>H208*M208</f>
      </c>
      <c r="AE208" s="6">
        <f>H208*L208/100</f>
      </c>
      <c r="AF208" s="6">
        <f>AA208+AB208+AE208</f>
      </c>
      <c r="AG208" s="6">
        <f>I208+J208+L208</f>
      </c>
      <c r="AH208" s="53">
        <f>$H208*I208</f>
      </c>
      <c r="AI208" s="53">
        <f>$H208*J208</f>
      </c>
      <c r="AJ208" s="53">
        <f>$H208*K208</f>
      </c>
      <c r="AK208" s="53">
        <f>$H208*L208</f>
      </c>
      <c r="AL208" s="53">
        <f>$H208*M208</f>
      </c>
      <c r="AM208" s="3"/>
      <c r="AN208" s="5"/>
      <c r="AO208" s="5"/>
      <c r="AP208" s="5"/>
      <c r="AQ208" s="3"/>
    </row>
    <row x14ac:dyDescent="0.25" r="209" customHeight="1" ht="12.75">
      <c r="A209" s="5" t="s">
        <v>362</v>
      </c>
      <c r="B209" s="3" t="s">
        <v>1100</v>
      </c>
      <c r="C209" s="3" t="s">
        <v>1023</v>
      </c>
      <c r="D209" s="3"/>
      <c r="E209" s="38" t="s">
        <v>859</v>
      </c>
      <c r="F209" s="3" t="s">
        <v>1171</v>
      </c>
      <c r="G209" s="3" t="s">
        <v>1342</v>
      </c>
      <c r="H209" s="23">
        <f>0.48851+0.072568+0.226775+0.02721+0.09</f>
      </c>
      <c r="I209" s="7">
        <f>(5.3*0.48851+5.5*0.072568+9.4*0.226775+3.6*0.02721+3.3*0.09)/$H209</f>
      </c>
      <c r="J209" s="6">
        <f>(4.46*0.48851+4.14*0.072568+0*0.226775+3*0.02721+6.6*0.09)/$H209</f>
      </c>
      <c r="K209" s="31">
        <f>(168*0.48851+219.39*0.072568+49.7*0.226775+294.81*0.02721+70*0.09)/$H209</f>
      </c>
      <c r="L209" s="6">
        <f>(0*0.48851+0*0.072568+0.1*0.226775+0.35*0.02721+0*0.09)/$H209</f>
      </c>
      <c r="M209" s="6"/>
      <c r="N209" s="7"/>
      <c r="O209" s="23"/>
      <c r="P209" s="6"/>
      <c r="Q209" s="6"/>
      <c r="R209" s="31"/>
      <c r="S209" s="6"/>
      <c r="T209" s="31"/>
      <c r="U209" s="6"/>
      <c r="V209" s="23"/>
      <c r="W209" s="6"/>
      <c r="X209" s="6"/>
      <c r="Y209" s="5"/>
      <c r="Z209" s="3"/>
      <c r="AA209" s="6">
        <f>H209*I209/100</f>
      </c>
      <c r="AB209" s="6">
        <f>H209*J209/100</f>
      </c>
      <c r="AC209" s="7">
        <f>H209*K209</f>
      </c>
      <c r="AD209" s="7">
        <f>H209*M209</f>
      </c>
      <c r="AE209" s="6">
        <f>H209*L209/100</f>
      </c>
      <c r="AF209" s="6">
        <f>AA209+AB209+AE209</f>
      </c>
      <c r="AG209" s="6">
        <f>I209+J209+L209</f>
      </c>
      <c r="AH209" s="53">
        <f>$H209*I209</f>
      </c>
      <c r="AI209" s="53">
        <f>$H209*J209</f>
      </c>
      <c r="AJ209" s="53">
        <f>$H209*K209</f>
      </c>
      <c r="AK209" s="53">
        <f>$H209*L209</f>
      </c>
      <c r="AL209" s="53">
        <f>$H209*M209</f>
      </c>
      <c r="AM209" s="3"/>
      <c r="AN209" s="5"/>
      <c r="AO209" s="5"/>
      <c r="AP209" s="5"/>
      <c r="AQ209" s="3"/>
    </row>
    <row x14ac:dyDescent="0.25" r="210" customHeight="1" ht="12.75">
      <c r="A210" s="5" t="s">
        <v>814</v>
      </c>
      <c r="B210" s="3" t="s">
        <v>1100</v>
      </c>
      <c r="C210" s="3" t="s">
        <v>870</v>
      </c>
      <c r="D210" s="3"/>
      <c r="E210" s="3" t="s">
        <v>855</v>
      </c>
      <c r="F210" s="3" t="s">
        <v>1363</v>
      </c>
      <c r="G210" s="3" t="s">
        <v>1337</v>
      </c>
      <c r="H210" s="23">
        <f>0.107+1.449+2.342+0.116</f>
      </c>
      <c r="I210" s="6"/>
      <c r="J210" s="6">
        <f>(0.13*0.107+0.05*1.449+0*2.342+0*0.116)/H210</f>
      </c>
      <c r="K210" s="7">
        <f>(6.4*0.107+3*1.449+0*2.342+0*0.116)/H210</f>
      </c>
      <c r="L210" s="6">
        <f>(1.78*0.107+1.24*1.449+1.15*2.342+1.62*0.116)/H210</f>
      </c>
      <c r="M210" s="6"/>
      <c r="N210" s="7"/>
      <c r="O210" s="23"/>
      <c r="P210" s="6"/>
      <c r="Q210" s="6"/>
      <c r="R210" s="31"/>
      <c r="S210" s="6"/>
      <c r="T210" s="31"/>
      <c r="U210" s="6"/>
      <c r="V210" s="23"/>
      <c r="W210" s="6"/>
      <c r="X210" s="6"/>
      <c r="Y210" s="5"/>
      <c r="Z210" s="3"/>
      <c r="AA210" s="6">
        <f>H210*I210/100</f>
      </c>
      <c r="AB210" s="6">
        <f>H210*J210/100</f>
      </c>
      <c r="AC210" s="7">
        <f>H210*K210</f>
      </c>
      <c r="AD210" s="7">
        <f>H210*M210</f>
      </c>
      <c r="AE210" s="6">
        <f>H210*L210/100</f>
      </c>
      <c r="AF210" s="6">
        <f>AA210+AB210+AE210</f>
      </c>
      <c r="AG210" s="6">
        <f>I210+J210+L210</f>
      </c>
      <c r="AH210" s="53">
        <f>$H210*I210</f>
      </c>
      <c r="AI210" s="53">
        <f>$H210*J210</f>
      </c>
      <c r="AJ210" s="53">
        <f>$H210*K210</f>
      </c>
      <c r="AK210" s="53">
        <f>$H210*L210</f>
      </c>
      <c r="AL210" s="53">
        <f>$H210*M210</f>
      </c>
      <c r="AM210" s="3"/>
      <c r="AN210" s="5"/>
      <c r="AO210" s="5"/>
      <c r="AP210" s="5"/>
      <c r="AQ210" s="3"/>
    </row>
    <row x14ac:dyDescent="0.25" r="211" customHeight="1" ht="12.75">
      <c r="A211" s="5" t="s">
        <v>762</v>
      </c>
      <c r="B211" s="3" t="s">
        <v>1100</v>
      </c>
      <c r="C211" s="3" t="s">
        <v>870</v>
      </c>
      <c r="D211" s="3"/>
      <c r="E211" s="3" t="s">
        <v>855</v>
      </c>
      <c r="F211" s="3" t="s">
        <v>1364</v>
      </c>
      <c r="G211" s="3" t="s">
        <v>1183</v>
      </c>
      <c r="H211" s="23">
        <v>2.827047</v>
      </c>
      <c r="I211" s="6"/>
      <c r="J211" s="6">
        <v>0.32</v>
      </c>
      <c r="K211" s="6">
        <v>8.96</v>
      </c>
      <c r="L211" s="6">
        <v>1.9</v>
      </c>
      <c r="M211" s="6">
        <v>0.47</v>
      </c>
      <c r="N211" s="7"/>
      <c r="O211" s="23"/>
      <c r="P211" s="6"/>
      <c r="Q211" s="6"/>
      <c r="R211" s="31"/>
      <c r="S211" s="6"/>
      <c r="T211" s="31"/>
      <c r="U211" s="6"/>
      <c r="V211" s="23"/>
      <c r="W211" s="6"/>
      <c r="X211" s="6"/>
      <c r="Y211" s="5"/>
      <c r="Z211" s="3"/>
      <c r="AA211" s="6">
        <f>H211*I211/100</f>
      </c>
      <c r="AB211" s="6">
        <f>H211*J211/100</f>
      </c>
      <c r="AC211" s="7">
        <f>H211*K211</f>
      </c>
      <c r="AD211" s="7">
        <f>H211*M211</f>
      </c>
      <c r="AE211" s="6">
        <f>H211*L211/100</f>
      </c>
      <c r="AF211" s="6">
        <f>AA211+AB211+AE211</f>
      </c>
      <c r="AG211" s="6">
        <f>I211+J211+L211</f>
      </c>
      <c r="AH211" s="53">
        <f>$H211*I211</f>
      </c>
      <c r="AI211" s="53">
        <f>$H211*J211</f>
      </c>
      <c r="AJ211" s="53">
        <f>$H211*K211</f>
      </c>
      <c r="AK211" s="53">
        <f>$H211*L211</f>
      </c>
      <c r="AL211" s="53">
        <f>$H211*M211</f>
      </c>
      <c r="AM211" s="3"/>
      <c r="AN211" s="5"/>
      <c r="AO211" s="5"/>
      <c r="AP211" s="5"/>
      <c r="AQ211" s="3"/>
    </row>
    <row x14ac:dyDescent="0.25" r="212" customHeight="1" ht="12.75">
      <c r="A212" s="5" t="s">
        <v>124</v>
      </c>
      <c r="B212" s="3" t="s">
        <v>1100</v>
      </c>
      <c r="C212" s="3" t="s">
        <v>866</v>
      </c>
      <c r="D212" s="3" t="s">
        <v>988</v>
      </c>
      <c r="E212" s="38" t="s">
        <v>859</v>
      </c>
      <c r="F212" s="3" t="s">
        <v>1365</v>
      </c>
      <c r="G212" s="3" t="s">
        <v>1366</v>
      </c>
      <c r="H212" s="5">
        <v>54</v>
      </c>
      <c r="I212" s="7">
        <v>2</v>
      </c>
      <c r="J212" s="6">
        <v>7.7</v>
      </c>
      <c r="K212" s="6">
        <v>42.8</v>
      </c>
      <c r="L212" s="6"/>
      <c r="M212" s="6"/>
      <c r="N212" s="6">
        <v>47.5</v>
      </c>
      <c r="O212" s="23"/>
      <c r="P212" s="6"/>
      <c r="Q212" s="6"/>
      <c r="R212" s="31"/>
      <c r="S212" s="6"/>
      <c r="T212" s="31"/>
      <c r="U212" s="6"/>
      <c r="V212" s="23"/>
      <c r="W212" s="6"/>
      <c r="X212" s="6"/>
      <c r="Y212" s="5"/>
      <c r="Z212" s="3"/>
      <c r="AA212" s="6">
        <f>H212*I212/100</f>
      </c>
      <c r="AB212" s="6">
        <f>H212*J212/100</f>
      </c>
      <c r="AC212" s="7">
        <f>H212*K212</f>
      </c>
      <c r="AD212" s="7">
        <f>H212*M212</f>
      </c>
      <c r="AE212" s="6">
        <f>H212*L212/100</f>
      </c>
      <c r="AF212" s="6">
        <f>AA212+AB212+AE212</f>
      </c>
      <c r="AG212" s="6">
        <f>I212+J212+L212</f>
      </c>
      <c r="AH212" s="53">
        <f>$H212*I212</f>
      </c>
      <c r="AI212" s="53">
        <f>$H212*J212</f>
      </c>
      <c r="AJ212" s="53">
        <f>$H212*K212</f>
      </c>
      <c r="AK212" s="53">
        <f>$H212*L212</f>
      </c>
      <c r="AL212" s="53">
        <f>$H212*M212</f>
      </c>
      <c r="AM212" s="3"/>
      <c r="AN212" s="5"/>
      <c r="AO212" s="5"/>
      <c r="AP212" s="5"/>
      <c r="AQ212" s="3"/>
    </row>
    <row x14ac:dyDescent="0.25" r="213" customHeight="1" ht="12.75">
      <c r="A213" s="5" t="s">
        <v>338</v>
      </c>
      <c r="B213" s="3" t="s">
        <v>1100</v>
      </c>
      <c r="C213" s="3" t="s">
        <v>866</v>
      </c>
      <c r="D213" s="3" t="s">
        <v>988</v>
      </c>
      <c r="E213" s="38" t="s">
        <v>859</v>
      </c>
      <c r="F213" s="3" t="s">
        <v>1171</v>
      </c>
      <c r="G213" s="3" t="s">
        <v>1342</v>
      </c>
      <c r="H213" s="23">
        <v>1.490365</v>
      </c>
      <c r="I213" s="6">
        <v>1.4</v>
      </c>
      <c r="J213" s="6">
        <v>8.6</v>
      </c>
      <c r="K213" s="6">
        <v>8.5</v>
      </c>
      <c r="L213" s="6"/>
      <c r="M213" s="6"/>
      <c r="N213" s="7"/>
      <c r="O213" s="23"/>
      <c r="P213" s="6"/>
      <c r="Q213" s="6"/>
      <c r="R213" s="31"/>
      <c r="S213" s="6"/>
      <c r="T213" s="31"/>
      <c r="U213" s="6"/>
      <c r="V213" s="23"/>
      <c r="W213" s="6"/>
      <c r="X213" s="6"/>
      <c r="Y213" s="5"/>
      <c r="Z213" s="3"/>
      <c r="AA213" s="6">
        <f>H213*I213/100</f>
      </c>
      <c r="AB213" s="6">
        <f>H213*J213/100</f>
      </c>
      <c r="AC213" s="7">
        <f>H213*K213</f>
      </c>
      <c r="AD213" s="7">
        <f>H213*M213</f>
      </c>
      <c r="AE213" s="6">
        <f>H213*L213/100</f>
      </c>
      <c r="AF213" s="6">
        <f>AA213+AB213+AE213</f>
      </c>
      <c r="AG213" s="6">
        <f>I213+J213+L213</f>
      </c>
      <c r="AH213" s="53">
        <f>$H213*I213</f>
      </c>
      <c r="AI213" s="53">
        <f>$H213*J213</f>
      </c>
      <c r="AJ213" s="53">
        <f>$H213*K213</f>
      </c>
      <c r="AK213" s="53">
        <f>$H213*L213</f>
      </c>
      <c r="AL213" s="53">
        <f>$H213*M213</f>
      </c>
      <c r="AM213" s="3"/>
      <c r="AN213" s="5"/>
      <c r="AO213" s="5"/>
      <c r="AP213" s="5"/>
      <c r="AQ213" s="3"/>
    </row>
    <row x14ac:dyDescent="0.25" r="214" customHeight="1" ht="12.75">
      <c r="A214" s="5" t="s">
        <v>298</v>
      </c>
      <c r="B214" s="3" t="s">
        <v>1100</v>
      </c>
      <c r="C214" s="3" t="s">
        <v>1015</v>
      </c>
      <c r="D214" s="3"/>
      <c r="E214" s="38" t="s">
        <v>859</v>
      </c>
      <c r="F214" s="3" t="s">
        <v>1171</v>
      </c>
      <c r="G214" s="3" t="s">
        <v>1367</v>
      </c>
      <c r="H214" s="23">
        <v>0.327373</v>
      </c>
      <c r="I214" s="6">
        <v>5.64</v>
      </c>
      <c r="J214" s="6">
        <v>4.6</v>
      </c>
      <c r="K214" s="6">
        <v>254.8</v>
      </c>
      <c r="L214" s="6"/>
      <c r="M214" s="6"/>
      <c r="N214" s="7"/>
      <c r="O214" s="23"/>
      <c r="P214" s="6"/>
      <c r="Q214" s="6"/>
      <c r="R214" s="31"/>
      <c r="S214" s="6"/>
      <c r="T214" s="31"/>
      <c r="U214" s="6"/>
      <c r="V214" s="23"/>
      <c r="W214" s="6"/>
      <c r="X214" s="6"/>
      <c r="Y214" s="5"/>
      <c r="Z214" s="3"/>
      <c r="AA214" s="6">
        <f>H214*I214/100</f>
      </c>
      <c r="AB214" s="6">
        <f>H214*J214/100</f>
      </c>
      <c r="AC214" s="7">
        <f>H214*K214</f>
      </c>
      <c r="AD214" s="7">
        <f>H214*M214</f>
      </c>
      <c r="AE214" s="6">
        <f>H214*L214/100</f>
      </c>
      <c r="AF214" s="6">
        <f>AA214+AB214+AE214</f>
      </c>
      <c r="AG214" s="6">
        <f>I214+J214+L214</f>
      </c>
      <c r="AH214" s="53">
        <f>$H214*I214</f>
      </c>
      <c r="AI214" s="53">
        <f>$H214*J214</f>
      </c>
      <c r="AJ214" s="53">
        <f>$H214*K214</f>
      </c>
      <c r="AK214" s="53">
        <f>$H214*L214</f>
      </c>
      <c r="AL214" s="53">
        <f>$H214*M214</f>
      </c>
      <c r="AM214" s="3"/>
      <c r="AN214" s="5"/>
      <c r="AO214" s="5"/>
      <c r="AP214" s="5"/>
      <c r="AQ214" s="3"/>
    </row>
    <row x14ac:dyDescent="0.25" r="215" customHeight="1" ht="12.75">
      <c r="A215" s="5" t="s">
        <v>503</v>
      </c>
      <c r="B215" s="3" t="s">
        <v>1100</v>
      </c>
      <c r="C215" s="3" t="s">
        <v>866</v>
      </c>
      <c r="D215" s="3"/>
      <c r="E215" s="3" t="s">
        <v>855</v>
      </c>
      <c r="F215" s="3" t="s">
        <v>1368</v>
      </c>
      <c r="G215" s="3" t="s">
        <v>1369</v>
      </c>
      <c r="H215" s="6">
        <v>9.205</v>
      </c>
      <c r="I215" s="6">
        <v>0.97</v>
      </c>
      <c r="J215" s="6">
        <v>6.6</v>
      </c>
      <c r="K215" s="5">
        <v>19</v>
      </c>
      <c r="L215" s="6"/>
      <c r="M215" s="6"/>
      <c r="N215" s="7"/>
      <c r="O215" s="23"/>
      <c r="P215" s="6"/>
      <c r="Q215" s="6"/>
      <c r="R215" s="31"/>
      <c r="S215" s="6"/>
      <c r="T215" s="31"/>
      <c r="U215" s="6"/>
      <c r="V215" s="23"/>
      <c r="W215" s="6"/>
      <c r="X215" s="6"/>
      <c r="Y215" s="5"/>
      <c r="Z215" s="3"/>
      <c r="AA215" s="6">
        <f>H215*I215/100</f>
      </c>
      <c r="AB215" s="6">
        <f>H215*J215/100</f>
      </c>
      <c r="AC215" s="7">
        <f>H215*K215</f>
      </c>
      <c r="AD215" s="7">
        <f>H215*M215</f>
      </c>
      <c r="AE215" s="6">
        <f>H215*L215/100</f>
      </c>
      <c r="AF215" s="6">
        <f>AA215+AB215+AE215</f>
      </c>
      <c r="AG215" s="6">
        <f>I215+J215+L215</f>
      </c>
      <c r="AH215" s="53">
        <f>$H215*I215</f>
      </c>
      <c r="AI215" s="53">
        <f>$H215*J215</f>
      </c>
      <c r="AJ215" s="53">
        <f>$H215*K215</f>
      </c>
      <c r="AK215" s="53">
        <f>$H215*L215</f>
      </c>
      <c r="AL215" s="53">
        <f>$H215*M215</f>
      </c>
      <c r="AM215" s="3"/>
      <c r="AN215" s="5"/>
      <c r="AO215" s="5"/>
      <c r="AP215" s="5"/>
      <c r="AQ215" s="3"/>
    </row>
    <row x14ac:dyDescent="0.25" r="216" customHeight="1" ht="12.75">
      <c r="A216" s="5" t="s">
        <v>817</v>
      </c>
      <c r="B216" s="3" t="s">
        <v>1100</v>
      </c>
      <c r="C216" s="3" t="s">
        <v>866</v>
      </c>
      <c r="D216" s="3" t="s">
        <v>988</v>
      </c>
      <c r="E216" s="38" t="s">
        <v>859</v>
      </c>
      <c r="F216" s="3" t="s">
        <v>1370</v>
      </c>
      <c r="G216" s="3" t="s">
        <v>1371</v>
      </c>
      <c r="H216" s="6">
        <v>1.8</v>
      </c>
      <c r="I216" s="6">
        <v>0.58</v>
      </c>
      <c r="J216" s="6">
        <v>2.6</v>
      </c>
      <c r="K216" s="5"/>
      <c r="L216" s="6"/>
      <c r="M216" s="6"/>
      <c r="N216" s="7"/>
      <c r="O216" s="23"/>
      <c r="P216" s="6"/>
      <c r="Q216" s="6"/>
      <c r="R216" s="31"/>
      <c r="S216" s="6"/>
      <c r="T216" s="31"/>
      <c r="U216" s="6"/>
      <c r="V216" s="23"/>
      <c r="W216" s="6"/>
      <c r="X216" s="6"/>
      <c r="Y216" s="5"/>
      <c r="Z216" s="3"/>
      <c r="AA216" s="6">
        <f>H216*I216/100</f>
      </c>
      <c r="AB216" s="6">
        <f>H216*J216/100</f>
      </c>
      <c r="AC216" s="7">
        <f>H216*K216</f>
      </c>
      <c r="AD216" s="7">
        <f>H216*M216</f>
      </c>
      <c r="AE216" s="6">
        <f>H216*L216/100</f>
      </c>
      <c r="AF216" s="6">
        <f>AA216+AB216+AE216</f>
      </c>
      <c r="AG216" s="6">
        <f>I216+J216+L216</f>
      </c>
      <c r="AH216" s="53">
        <f>$H216*I216</f>
      </c>
      <c r="AI216" s="53">
        <f>$H216*J216</f>
      </c>
      <c r="AJ216" s="53">
        <f>$H216*K216</f>
      </c>
      <c r="AK216" s="53">
        <f>$H216*L216</f>
      </c>
      <c r="AL216" s="53">
        <f>$H216*M216</f>
      </c>
      <c r="AM216" s="3"/>
      <c r="AN216" s="5"/>
      <c r="AO216" s="5"/>
      <c r="AP216" s="5"/>
      <c r="AQ216" s="3"/>
    </row>
    <row x14ac:dyDescent="0.25" r="217" customHeight="1" ht="12.75">
      <c r="A217" s="5" t="s">
        <v>117</v>
      </c>
      <c r="B217" s="3" t="s">
        <v>1100</v>
      </c>
      <c r="C217" s="3" t="s">
        <v>1014</v>
      </c>
      <c r="D217" s="3"/>
      <c r="E217" s="38" t="s">
        <v>859</v>
      </c>
      <c r="F217" s="3" t="s">
        <v>1171</v>
      </c>
      <c r="G217" s="3" t="s">
        <v>1342</v>
      </c>
      <c r="H217" s="23">
        <v>0.043355</v>
      </c>
      <c r="I217" s="5">
        <v>6</v>
      </c>
      <c r="J217" s="5">
        <v>10</v>
      </c>
      <c r="K217" s="5"/>
      <c r="L217" s="6">
        <v>0.11998</v>
      </c>
      <c r="M217" s="6"/>
      <c r="N217" s="7"/>
      <c r="O217" s="23"/>
      <c r="P217" s="6"/>
      <c r="Q217" s="6"/>
      <c r="R217" s="31"/>
      <c r="S217" s="6"/>
      <c r="T217" s="31"/>
      <c r="U217" s="6"/>
      <c r="V217" s="23"/>
      <c r="W217" s="6"/>
      <c r="X217" s="6"/>
      <c r="Y217" s="5"/>
      <c r="Z217" s="3"/>
      <c r="AA217" s="6">
        <f>H217*I217/100</f>
      </c>
      <c r="AB217" s="6">
        <f>H217*J217/100</f>
      </c>
      <c r="AC217" s="7">
        <f>H217*K217</f>
      </c>
      <c r="AD217" s="7">
        <f>H217*M217</f>
      </c>
      <c r="AE217" s="6">
        <f>H217*L217/100</f>
      </c>
      <c r="AF217" s="6">
        <f>AA217+AB217+AE217</f>
      </c>
      <c r="AG217" s="6">
        <f>I217+J217+L217</f>
      </c>
      <c r="AH217" s="53">
        <f>$H217*I217</f>
      </c>
      <c r="AI217" s="53">
        <f>$H217*J217</f>
      </c>
      <c r="AJ217" s="53">
        <f>$H217*K217</f>
      </c>
      <c r="AK217" s="53">
        <f>$H217*L217</f>
      </c>
      <c r="AL217" s="53">
        <f>$H217*M217</f>
      </c>
      <c r="AM217" s="3"/>
      <c r="AN217" s="5"/>
      <c r="AO217" s="5"/>
      <c r="AP217" s="5"/>
      <c r="AQ217" s="3"/>
    </row>
    <row x14ac:dyDescent="0.25" r="218" customHeight="1" ht="12.75">
      <c r="A218" s="5" t="s">
        <v>746</v>
      </c>
      <c r="B218" s="3" t="s">
        <v>1100</v>
      </c>
      <c r="C218" s="3" t="s">
        <v>856</v>
      </c>
      <c r="D218" s="3" t="s">
        <v>929</v>
      </c>
      <c r="E218" s="38" t="s">
        <v>859</v>
      </c>
      <c r="F218" s="3" t="s">
        <v>1171</v>
      </c>
      <c r="G218" s="3" t="s">
        <v>1342</v>
      </c>
      <c r="H218" s="23">
        <v>0.317485</v>
      </c>
      <c r="I218" s="6"/>
      <c r="J218" s="6">
        <v>4.23</v>
      </c>
      <c r="K218" s="7">
        <v>30.16</v>
      </c>
      <c r="L218" s="6">
        <v>0.38</v>
      </c>
      <c r="M218" s="6"/>
      <c r="N218" s="7"/>
      <c r="O218" s="23"/>
      <c r="P218" s="6"/>
      <c r="Q218" s="6"/>
      <c r="R218" s="31"/>
      <c r="S218" s="6"/>
      <c r="T218" s="31"/>
      <c r="U218" s="6"/>
      <c r="V218" s="23"/>
      <c r="W218" s="6"/>
      <c r="X218" s="6"/>
      <c r="Y218" s="5"/>
      <c r="Z218" s="3"/>
      <c r="AA218" s="6">
        <f>H218*I218/100</f>
      </c>
      <c r="AB218" s="6">
        <f>H218*J218/100</f>
      </c>
      <c r="AC218" s="7">
        <f>H218*K218</f>
      </c>
      <c r="AD218" s="7">
        <f>H218*M218</f>
      </c>
      <c r="AE218" s="6">
        <f>H218*L218/100</f>
      </c>
      <c r="AF218" s="6">
        <f>AA218+AB218+AE218</f>
      </c>
      <c r="AG218" s="6">
        <f>I218+J218+L218</f>
      </c>
      <c r="AH218" s="53">
        <f>$H218*I218</f>
      </c>
      <c r="AI218" s="53">
        <f>$H218*J218</f>
      </c>
      <c r="AJ218" s="53">
        <f>$H218*K218</f>
      </c>
      <c r="AK218" s="53">
        <f>$H218*L218</f>
      </c>
      <c r="AL218" s="53">
        <f>$H218*M218</f>
      </c>
      <c r="AM218" s="3"/>
      <c r="AN218" s="5"/>
      <c r="AO218" s="5"/>
      <c r="AP218" s="5"/>
      <c r="AQ218" s="3"/>
    </row>
    <row x14ac:dyDescent="0.25" r="219" customHeight="1" ht="12.75">
      <c r="A219" s="5" t="s">
        <v>472</v>
      </c>
      <c r="B219" s="3" t="s">
        <v>1100</v>
      </c>
      <c r="C219" s="3" t="s">
        <v>866</v>
      </c>
      <c r="D219" s="3" t="s">
        <v>988</v>
      </c>
      <c r="E219" s="38" t="s">
        <v>859</v>
      </c>
      <c r="F219" s="3" t="s">
        <v>1171</v>
      </c>
      <c r="G219" s="3" t="s">
        <v>1342</v>
      </c>
      <c r="H219" s="5">
        <v>1</v>
      </c>
      <c r="I219" s="5">
        <v>6</v>
      </c>
      <c r="J219" s="5">
        <v>2</v>
      </c>
      <c r="K219" s="5">
        <v>50</v>
      </c>
      <c r="L219" s="6"/>
      <c r="M219" s="6"/>
      <c r="N219" s="7"/>
      <c r="O219" s="23"/>
      <c r="P219" s="6"/>
      <c r="Q219" s="6"/>
      <c r="R219" s="31"/>
      <c r="S219" s="6"/>
      <c r="T219" s="31"/>
      <c r="U219" s="6"/>
      <c r="V219" s="23"/>
      <c r="W219" s="6"/>
      <c r="X219" s="6"/>
      <c r="Y219" s="5"/>
      <c r="Z219" s="3"/>
      <c r="AA219" s="6">
        <f>H219*I219/100</f>
      </c>
      <c r="AB219" s="6">
        <f>H219*J219/100</f>
      </c>
      <c r="AC219" s="7">
        <f>H219*K219</f>
      </c>
      <c r="AD219" s="7">
        <f>H219*M219</f>
      </c>
      <c r="AE219" s="6">
        <f>H219*L219/100</f>
      </c>
      <c r="AF219" s="6">
        <f>AA219+AB219+AE219</f>
      </c>
      <c r="AG219" s="6">
        <f>I219+J219+L219</f>
      </c>
      <c r="AH219" s="53">
        <f>$H219*I219</f>
      </c>
      <c r="AI219" s="53">
        <f>$H219*J219</f>
      </c>
      <c r="AJ219" s="53">
        <f>$H219*K219</f>
      </c>
      <c r="AK219" s="53">
        <f>$H219*L219</f>
      </c>
      <c r="AL219" s="53">
        <f>$H219*M219</f>
      </c>
      <c r="AM219" s="3"/>
      <c r="AN219" s="5"/>
      <c r="AO219" s="5"/>
      <c r="AP219" s="5"/>
      <c r="AQ219" s="3"/>
    </row>
    <row x14ac:dyDescent="0.25" r="220" customHeight="1" ht="12.75">
      <c r="A220" s="5" t="s">
        <v>494</v>
      </c>
      <c r="B220" s="3" t="s">
        <v>1100</v>
      </c>
      <c r="C220" s="3" t="s">
        <v>870</v>
      </c>
      <c r="D220" s="3"/>
      <c r="E220" s="3" t="s">
        <v>855</v>
      </c>
      <c r="F220" s="3" t="s">
        <v>1372</v>
      </c>
      <c r="G220" s="3" t="s">
        <v>1373</v>
      </c>
      <c r="H220" s="6">
        <f>3.675+10.058</f>
      </c>
      <c r="I220" s="6">
        <f>(0.4*3.675+0.19*10.058)/$H220</f>
      </c>
      <c r="J220" s="6">
        <f>(3.61*3.675+3.92*10.058)/$H220</f>
      </c>
      <c r="K220" s="7">
        <f>(37.2*3.675+34.5*10.058)/$H220</f>
      </c>
      <c r="L220" s="6">
        <f>(1.27*3.675+1.33*10.058)/$H220</f>
      </c>
      <c r="M220" s="6">
        <f>(0.25*3.675+0.18*10.058)/$H220</f>
      </c>
      <c r="N220" s="7"/>
      <c r="O220" s="23"/>
      <c r="P220" s="6"/>
      <c r="Q220" s="6"/>
      <c r="R220" s="31"/>
      <c r="S220" s="6"/>
      <c r="T220" s="31"/>
      <c r="U220" s="6"/>
      <c r="V220" s="23"/>
      <c r="W220" s="6"/>
      <c r="X220" s="6"/>
      <c r="Y220" s="5"/>
      <c r="Z220" s="3"/>
      <c r="AA220" s="6">
        <f>H220*I220/100</f>
      </c>
      <c r="AB220" s="6">
        <f>H220*J220/100</f>
      </c>
      <c r="AC220" s="7">
        <f>H220*K220</f>
      </c>
      <c r="AD220" s="7">
        <f>H220*M220</f>
      </c>
      <c r="AE220" s="6">
        <f>H220*L220/100</f>
      </c>
      <c r="AF220" s="6">
        <f>AA220+AB220+AE220</f>
      </c>
      <c r="AG220" s="6">
        <f>I220+J220+L220</f>
      </c>
      <c r="AH220" s="53">
        <f>$H220*I220</f>
      </c>
      <c r="AI220" s="53">
        <f>$H220*J220</f>
      </c>
      <c r="AJ220" s="53">
        <f>$H220*K220</f>
      </c>
      <c r="AK220" s="53">
        <f>$H220*L220</f>
      </c>
      <c r="AL220" s="53">
        <f>$H220*M220</f>
      </c>
      <c r="AM220" s="3"/>
      <c r="AN220" s="5"/>
      <c r="AO220" s="5"/>
      <c r="AP220" s="5"/>
      <c r="AQ220" s="3"/>
    </row>
    <row x14ac:dyDescent="0.25" r="221" customHeight="1" ht="12.75">
      <c r="A221" s="5" t="s">
        <v>46</v>
      </c>
      <c r="B221" s="3" t="s">
        <v>1100</v>
      </c>
      <c r="C221" s="3" t="s">
        <v>866</v>
      </c>
      <c r="D221" s="3" t="s">
        <v>989</v>
      </c>
      <c r="E221" s="3" t="s">
        <v>855</v>
      </c>
      <c r="F221" s="3" t="s">
        <v>1374</v>
      </c>
      <c r="G221" s="3" t="s">
        <v>1367</v>
      </c>
      <c r="H221" s="23">
        <v>0.87498</v>
      </c>
      <c r="I221" s="6">
        <v>13.5</v>
      </c>
      <c r="J221" s="6">
        <v>8.5</v>
      </c>
      <c r="K221" s="5">
        <v>123</v>
      </c>
      <c r="L221" s="6"/>
      <c r="M221" s="6"/>
      <c r="N221" s="7"/>
      <c r="O221" s="23"/>
      <c r="P221" s="6"/>
      <c r="Q221" s="6"/>
      <c r="R221" s="31"/>
      <c r="S221" s="6"/>
      <c r="T221" s="31"/>
      <c r="U221" s="6"/>
      <c r="V221" s="23"/>
      <c r="W221" s="6"/>
      <c r="X221" s="6"/>
      <c r="Y221" s="5"/>
      <c r="Z221" s="3"/>
      <c r="AA221" s="6">
        <f>H221*I221/100</f>
      </c>
      <c r="AB221" s="6">
        <f>H221*J221/100</f>
      </c>
      <c r="AC221" s="7">
        <f>H221*K221</f>
      </c>
      <c r="AD221" s="7">
        <f>H221*M221</f>
      </c>
      <c r="AE221" s="6">
        <f>H221*L221/100</f>
      </c>
      <c r="AF221" s="6">
        <f>AA221+AB221+AE221</f>
      </c>
      <c r="AG221" s="6">
        <f>I221+J221+L221</f>
      </c>
      <c r="AH221" s="53">
        <f>$H221*I221</f>
      </c>
      <c r="AI221" s="53">
        <f>$H221*J221</f>
      </c>
      <c r="AJ221" s="53">
        <f>$H221*K221</f>
      </c>
      <c r="AK221" s="53">
        <f>$H221*L221</f>
      </c>
      <c r="AL221" s="53">
        <f>$H221*M221</f>
      </c>
      <c r="AM221" s="3"/>
      <c r="AN221" s="5"/>
      <c r="AO221" s="5"/>
      <c r="AP221" s="5"/>
      <c r="AQ221" s="3"/>
    </row>
    <row x14ac:dyDescent="0.25" r="222" customHeight="1" ht="12.75">
      <c r="A222" s="5" t="s">
        <v>81</v>
      </c>
      <c r="B222" s="3" t="s">
        <v>1100</v>
      </c>
      <c r="C222" s="3" t="s">
        <v>1014</v>
      </c>
      <c r="D222" s="3"/>
      <c r="E222" s="38" t="s">
        <v>859</v>
      </c>
      <c r="F222" s="3" t="s">
        <v>1171</v>
      </c>
      <c r="G222" s="3" t="s">
        <v>1342</v>
      </c>
      <c r="H222" s="23">
        <v>0.160331</v>
      </c>
      <c r="I222" s="6">
        <v>7.11</v>
      </c>
      <c r="J222" s="6">
        <v>8.12</v>
      </c>
      <c r="K222" s="6">
        <v>428.5</v>
      </c>
      <c r="L222" s="6"/>
      <c r="M222" s="6">
        <v>0.34</v>
      </c>
      <c r="N222" s="7"/>
      <c r="O222" s="23"/>
      <c r="P222" s="6"/>
      <c r="Q222" s="6"/>
      <c r="R222" s="31"/>
      <c r="S222" s="6"/>
      <c r="T222" s="31"/>
      <c r="U222" s="6"/>
      <c r="V222" s="23"/>
      <c r="W222" s="6"/>
      <c r="X222" s="6"/>
      <c r="Y222" s="5"/>
      <c r="Z222" s="3"/>
      <c r="AA222" s="6">
        <f>H222*I222/100</f>
      </c>
      <c r="AB222" s="6">
        <f>H222*J222/100</f>
      </c>
      <c r="AC222" s="7">
        <f>H222*K222</f>
      </c>
      <c r="AD222" s="7">
        <f>H222*M222</f>
      </c>
      <c r="AE222" s="6">
        <f>H222*L222/100</f>
      </c>
      <c r="AF222" s="6">
        <f>AA222+AB222+AE222</f>
      </c>
      <c r="AG222" s="6">
        <f>I222+J222+L222</f>
      </c>
      <c r="AH222" s="53">
        <f>$H222*I222</f>
      </c>
      <c r="AI222" s="53">
        <f>$H222*J222</f>
      </c>
      <c r="AJ222" s="53">
        <f>$H222*K222</f>
      </c>
      <c r="AK222" s="53">
        <f>$H222*L222</f>
      </c>
      <c r="AL222" s="53">
        <f>$H222*M222</f>
      </c>
      <c r="AM222" s="3"/>
      <c r="AN222" s="5"/>
      <c r="AO222" s="5"/>
      <c r="AP222" s="5"/>
      <c r="AQ222" s="3"/>
    </row>
    <row x14ac:dyDescent="0.25" r="223" customHeight="1" ht="12.75">
      <c r="A223" s="5" t="s">
        <v>253</v>
      </c>
      <c r="B223" s="3" t="s">
        <v>1100</v>
      </c>
      <c r="C223" s="3" t="s">
        <v>856</v>
      </c>
      <c r="D223" s="3" t="s">
        <v>931</v>
      </c>
      <c r="E223" s="38" t="s">
        <v>859</v>
      </c>
      <c r="F223" s="3" t="s">
        <v>1375</v>
      </c>
      <c r="G223" s="3" t="s">
        <v>1376</v>
      </c>
      <c r="H223" s="23">
        <v>0.196</v>
      </c>
      <c r="I223" s="7">
        <f>0.33*7</f>
      </c>
      <c r="J223" s="7">
        <f>0.67*7</f>
      </c>
      <c r="K223" s="5">
        <v>411</v>
      </c>
      <c r="L223" s="6"/>
      <c r="M223" s="6"/>
      <c r="N223" s="7"/>
      <c r="O223" s="23"/>
      <c r="P223" s="6"/>
      <c r="Q223" s="6"/>
      <c r="R223" s="31"/>
      <c r="S223" s="6"/>
      <c r="T223" s="31"/>
      <c r="U223" s="6"/>
      <c r="V223" s="23"/>
      <c r="W223" s="6"/>
      <c r="X223" s="6"/>
      <c r="Y223" s="5"/>
      <c r="Z223" s="3"/>
      <c r="AA223" s="6">
        <f>H223*I223/100</f>
      </c>
      <c r="AB223" s="6">
        <f>H223*J223/100</f>
      </c>
      <c r="AC223" s="7">
        <f>H223*K223</f>
      </c>
      <c r="AD223" s="7">
        <f>H223*M223</f>
      </c>
      <c r="AE223" s="6">
        <f>H223*L223/100</f>
      </c>
      <c r="AF223" s="15">
        <f>AA223+AB223+AE223</f>
      </c>
      <c r="AG223" s="6">
        <f>I223+J223+L223</f>
      </c>
      <c r="AH223" s="53">
        <f>$H223*I223</f>
      </c>
      <c r="AI223" s="53">
        <f>$H223*J223</f>
      </c>
      <c r="AJ223" s="53">
        <f>$H223*K223</f>
      </c>
      <c r="AK223" s="53">
        <f>$H223*L223</f>
      </c>
      <c r="AL223" s="53">
        <f>$H223*M223</f>
      </c>
      <c r="AM223" s="3"/>
      <c r="AN223" s="5"/>
      <c r="AO223" s="5"/>
      <c r="AP223" s="5"/>
      <c r="AQ223" s="3"/>
    </row>
    <row x14ac:dyDescent="0.25" r="224" customHeight="1" ht="12.75">
      <c r="A224" s="5" t="s">
        <v>700</v>
      </c>
      <c r="B224" s="3" t="s">
        <v>1100</v>
      </c>
      <c r="C224" s="3" t="s">
        <v>863</v>
      </c>
      <c r="D224" s="3"/>
      <c r="E224" s="3" t="s">
        <v>855</v>
      </c>
      <c r="F224" s="3" t="s">
        <v>1343</v>
      </c>
      <c r="G224" s="3" t="s">
        <v>1204</v>
      </c>
      <c r="H224" s="6">
        <v>5.55</v>
      </c>
      <c r="I224" s="6"/>
      <c r="J224" s="6">
        <v>4.7</v>
      </c>
      <c r="K224" s="5"/>
      <c r="L224" s="6"/>
      <c r="M224" s="6"/>
      <c r="N224" s="7"/>
      <c r="O224" s="23"/>
      <c r="P224" s="6"/>
      <c r="Q224" s="6"/>
      <c r="R224" s="31"/>
      <c r="S224" s="6"/>
      <c r="T224" s="31"/>
      <c r="U224" s="6"/>
      <c r="V224" s="23"/>
      <c r="W224" s="6"/>
      <c r="X224" s="6"/>
      <c r="Y224" s="5"/>
      <c r="Z224" s="3"/>
      <c r="AA224" s="6">
        <f>H224*I224/100</f>
      </c>
      <c r="AB224" s="6">
        <f>H224*J224/100</f>
      </c>
      <c r="AC224" s="7">
        <f>H224*K224</f>
      </c>
      <c r="AD224" s="7">
        <f>H224*M224</f>
      </c>
      <c r="AE224" s="6">
        <f>H224*L224/100</f>
      </c>
      <c r="AF224" s="6">
        <f>AA224+AB224+AE224</f>
      </c>
      <c r="AG224" s="6">
        <f>I224+J224+L224</f>
      </c>
      <c r="AH224" s="53">
        <f>$H224*I224</f>
      </c>
      <c r="AI224" s="53">
        <f>$H224*J224</f>
      </c>
      <c r="AJ224" s="53">
        <f>$H224*K224</f>
      </c>
      <c r="AK224" s="53">
        <f>$H224*L224</f>
      </c>
      <c r="AL224" s="53">
        <f>$H224*M224</f>
      </c>
      <c r="AM224" s="3"/>
      <c r="AN224" s="5"/>
      <c r="AO224" s="5"/>
      <c r="AP224" s="5"/>
      <c r="AQ224" s="3"/>
    </row>
    <row x14ac:dyDescent="0.25" r="225" customHeight="1" ht="12.75">
      <c r="A225" s="5" t="s">
        <v>776</v>
      </c>
      <c r="B225" s="3" t="s">
        <v>1100</v>
      </c>
      <c r="C225" s="3" t="s">
        <v>863</v>
      </c>
      <c r="D225" s="3"/>
      <c r="E225" s="3" t="s">
        <v>855</v>
      </c>
      <c r="F225" s="3" t="s">
        <v>1343</v>
      </c>
      <c r="G225" s="3" t="s">
        <v>1204</v>
      </c>
      <c r="H225" s="6">
        <v>0.36</v>
      </c>
      <c r="I225" s="6">
        <v>0.2</v>
      </c>
      <c r="J225" s="7">
        <v>4</v>
      </c>
      <c r="K225" s="5"/>
      <c r="L225" s="6"/>
      <c r="M225" s="6"/>
      <c r="N225" s="7"/>
      <c r="O225" s="23"/>
      <c r="P225" s="6"/>
      <c r="Q225" s="6"/>
      <c r="R225" s="31"/>
      <c r="S225" s="6"/>
      <c r="T225" s="31"/>
      <c r="U225" s="6"/>
      <c r="V225" s="23"/>
      <c r="W225" s="6"/>
      <c r="X225" s="6"/>
      <c r="Y225" s="5"/>
      <c r="Z225" s="3"/>
      <c r="AA225" s="6">
        <f>H225*I225/100</f>
      </c>
      <c r="AB225" s="6">
        <f>H225*J225/100</f>
      </c>
      <c r="AC225" s="7">
        <f>H225*K225</f>
      </c>
      <c r="AD225" s="7">
        <f>H225*M225</f>
      </c>
      <c r="AE225" s="6">
        <f>H225*L225/100</f>
      </c>
      <c r="AF225" s="6">
        <f>AA225+AB225+AE225</f>
      </c>
      <c r="AG225" s="6">
        <f>I225+J225+L225</f>
      </c>
      <c r="AH225" s="53">
        <f>$H225*I225</f>
      </c>
      <c r="AI225" s="53">
        <f>$H225*J225</f>
      </c>
      <c r="AJ225" s="53">
        <f>$H225*K225</f>
      </c>
      <c r="AK225" s="53">
        <f>$H225*L225</f>
      </c>
      <c r="AL225" s="53">
        <f>$H225*M225</f>
      </c>
      <c r="AM225" s="3"/>
      <c r="AN225" s="5"/>
      <c r="AO225" s="5"/>
      <c r="AP225" s="5"/>
      <c r="AQ225" s="3"/>
    </row>
    <row x14ac:dyDescent="0.25" r="226" customHeight="1" ht="12.75">
      <c r="A226" s="5" t="s">
        <v>797</v>
      </c>
      <c r="B226" s="3" t="s">
        <v>1100</v>
      </c>
      <c r="C226" s="3" t="s">
        <v>870</v>
      </c>
      <c r="D226" s="3"/>
      <c r="E226" s="38" t="s">
        <v>859</v>
      </c>
      <c r="F226" s="3" t="s">
        <v>1377</v>
      </c>
      <c r="G226" s="3" t="s">
        <v>1345</v>
      </c>
      <c r="H226" s="6">
        <v>1.015</v>
      </c>
      <c r="I226" s="6"/>
      <c r="J226" s="6">
        <v>2.96</v>
      </c>
      <c r="K226" s="6">
        <v>21.9</v>
      </c>
      <c r="L226" s="6">
        <v>0.83</v>
      </c>
      <c r="M226" s="6"/>
      <c r="N226" s="7"/>
      <c r="O226" s="23"/>
      <c r="P226" s="6"/>
      <c r="Q226" s="6"/>
      <c r="R226" s="31"/>
      <c r="S226" s="6"/>
      <c r="T226" s="31"/>
      <c r="U226" s="6"/>
      <c r="V226" s="23"/>
      <c r="W226" s="6"/>
      <c r="X226" s="6"/>
      <c r="Y226" s="5"/>
      <c r="Z226" s="3"/>
      <c r="AA226" s="6">
        <f>H226*I226/100</f>
      </c>
      <c r="AB226" s="6">
        <f>H226*J226/100</f>
      </c>
      <c r="AC226" s="7">
        <f>H226*K226</f>
      </c>
      <c r="AD226" s="7">
        <f>H226*M226</f>
      </c>
      <c r="AE226" s="6">
        <f>H226*L226/100</f>
      </c>
      <c r="AF226" s="6">
        <f>AA226+AB226+AE226</f>
      </c>
      <c r="AG226" s="6">
        <f>I226+J226+L226</f>
      </c>
      <c r="AH226" s="53">
        <f>$H226*I226</f>
      </c>
      <c r="AI226" s="53">
        <f>$H226*J226</f>
      </c>
      <c r="AJ226" s="53">
        <f>$H226*K226</f>
      </c>
      <c r="AK226" s="53">
        <f>$H226*L226</f>
      </c>
      <c r="AL226" s="53">
        <f>$H226*M226</f>
      </c>
      <c r="AM226" s="3"/>
      <c r="AN226" s="5"/>
      <c r="AO226" s="5"/>
      <c r="AP226" s="5"/>
      <c r="AQ226" s="3"/>
    </row>
    <row x14ac:dyDescent="0.25" r="227" customHeight="1" ht="12.75">
      <c r="A227" s="5" t="s">
        <v>385</v>
      </c>
      <c r="B227" s="3" t="s">
        <v>1100</v>
      </c>
      <c r="C227" s="3" t="s">
        <v>870</v>
      </c>
      <c r="D227" s="3"/>
      <c r="E227" s="38" t="s">
        <v>859</v>
      </c>
      <c r="F227" s="3" t="s">
        <v>1171</v>
      </c>
      <c r="G227" s="3" t="s">
        <v>1378</v>
      </c>
      <c r="H227" s="23">
        <v>0.35</v>
      </c>
      <c r="I227" s="6"/>
      <c r="J227" s="6">
        <v>7.84</v>
      </c>
      <c r="K227" s="6">
        <v>22.31</v>
      </c>
      <c r="L227" s="6">
        <v>1.35</v>
      </c>
      <c r="M227" s="6"/>
      <c r="N227" s="7"/>
      <c r="O227" s="23"/>
      <c r="P227" s="6"/>
      <c r="Q227" s="6"/>
      <c r="R227" s="31"/>
      <c r="S227" s="6"/>
      <c r="T227" s="31"/>
      <c r="U227" s="6"/>
      <c r="V227" s="23"/>
      <c r="W227" s="6"/>
      <c r="X227" s="6"/>
      <c r="Y227" s="5"/>
      <c r="Z227" s="3"/>
      <c r="AA227" s="6">
        <f>H227*I227/100</f>
      </c>
      <c r="AB227" s="6">
        <f>H227*J227/100</f>
      </c>
      <c r="AC227" s="7">
        <f>H227*K227</f>
      </c>
      <c r="AD227" s="7">
        <f>H227*M227</f>
      </c>
      <c r="AE227" s="6">
        <f>H227*L227/100</f>
      </c>
      <c r="AF227" s="6">
        <f>AA227+AB227+AE227</f>
      </c>
      <c r="AG227" s="6">
        <f>I227+J227+L227</f>
      </c>
      <c r="AH227" s="53">
        <f>$H227*I227</f>
      </c>
      <c r="AI227" s="53">
        <f>$H227*J227</f>
      </c>
      <c r="AJ227" s="53">
        <f>$H227*K227</f>
      </c>
      <c r="AK227" s="53">
        <f>$H227*L227</f>
      </c>
      <c r="AL227" s="53">
        <f>$H227*M227</f>
      </c>
      <c r="AM227" s="3"/>
      <c r="AN227" s="5"/>
      <c r="AO227" s="5"/>
      <c r="AP227" s="5"/>
      <c r="AQ227" s="3"/>
    </row>
    <row x14ac:dyDescent="0.25" r="228" customHeight="1" ht="12.75">
      <c r="A228" s="5" t="s">
        <v>525</v>
      </c>
      <c r="B228" s="3" t="s">
        <v>1100</v>
      </c>
      <c r="C228" s="3" t="s">
        <v>870</v>
      </c>
      <c r="D228" s="3"/>
      <c r="E228" s="38" t="s">
        <v>859</v>
      </c>
      <c r="F228" s="3" t="s">
        <v>1171</v>
      </c>
      <c r="G228" s="3" t="s">
        <v>1378</v>
      </c>
      <c r="H228" s="6">
        <v>0.03</v>
      </c>
      <c r="I228" s="6"/>
      <c r="J228" s="6">
        <v>5.51</v>
      </c>
      <c r="K228" s="5"/>
      <c r="L228" s="6">
        <v>1.8</v>
      </c>
      <c r="M228" s="6"/>
      <c r="N228" s="7"/>
      <c r="O228" s="23"/>
      <c r="P228" s="6"/>
      <c r="Q228" s="6"/>
      <c r="R228" s="31"/>
      <c r="S228" s="6"/>
      <c r="T228" s="31"/>
      <c r="U228" s="6"/>
      <c r="V228" s="23"/>
      <c r="W228" s="6"/>
      <c r="X228" s="6"/>
      <c r="Y228" s="5"/>
      <c r="Z228" s="3"/>
      <c r="AA228" s="6">
        <f>H228*I228/100</f>
      </c>
      <c r="AB228" s="6">
        <f>H228*J228/100</f>
      </c>
      <c r="AC228" s="7">
        <f>H228*K228</f>
      </c>
      <c r="AD228" s="7">
        <f>H228*M228</f>
      </c>
      <c r="AE228" s="6">
        <f>H228*L228/100</f>
      </c>
      <c r="AF228" s="6">
        <f>AA228+AB228+AE228</f>
      </c>
      <c r="AG228" s="6">
        <f>I228+J228+L228</f>
      </c>
      <c r="AH228" s="53">
        <f>$H228*I228</f>
      </c>
      <c r="AI228" s="53">
        <f>$H228*J228</f>
      </c>
      <c r="AJ228" s="53">
        <f>$H228*K228</f>
      </c>
      <c r="AK228" s="53">
        <f>$H228*L228</f>
      </c>
      <c r="AL228" s="53">
        <f>$H228*M228</f>
      </c>
      <c r="AM228" s="3"/>
      <c r="AN228" s="5"/>
      <c r="AO228" s="5"/>
      <c r="AP228" s="5"/>
      <c r="AQ228" s="3"/>
    </row>
    <row x14ac:dyDescent="0.25" r="229" customHeight="1" ht="12.75">
      <c r="A229" s="5" t="s">
        <v>144</v>
      </c>
      <c r="B229" s="3" t="s">
        <v>1100</v>
      </c>
      <c r="C229" s="3" t="s">
        <v>866</v>
      </c>
      <c r="D229" s="3" t="s">
        <v>988</v>
      </c>
      <c r="E229" s="38" t="s">
        <v>859</v>
      </c>
      <c r="F229" s="3" t="s">
        <v>1379</v>
      </c>
      <c r="G229" s="3" t="s">
        <v>1366</v>
      </c>
      <c r="H229" s="6">
        <v>2.44</v>
      </c>
      <c r="I229" s="7">
        <v>3.1</v>
      </c>
      <c r="J229" s="6">
        <v>11.9</v>
      </c>
      <c r="K229" s="5"/>
      <c r="L229" s="6"/>
      <c r="M229" s="6"/>
      <c r="N229" s="7"/>
      <c r="O229" s="23"/>
      <c r="P229" s="6"/>
      <c r="Q229" s="6"/>
      <c r="R229" s="31"/>
      <c r="S229" s="6"/>
      <c r="T229" s="31"/>
      <c r="U229" s="6"/>
      <c r="V229" s="23"/>
      <c r="W229" s="6"/>
      <c r="X229" s="6"/>
      <c r="Y229" s="5"/>
      <c r="Z229" s="3"/>
      <c r="AA229" s="6">
        <f>H229*I229/100</f>
      </c>
      <c r="AB229" s="6">
        <f>H229*J229/100</f>
      </c>
      <c r="AC229" s="7">
        <f>H229*K229</f>
      </c>
      <c r="AD229" s="7">
        <f>H229*M229</f>
      </c>
      <c r="AE229" s="6">
        <f>H229*L229/100</f>
      </c>
      <c r="AF229" s="6">
        <f>AA229+AB229+AE229</f>
      </c>
      <c r="AG229" s="6">
        <f>I229+J229+L229</f>
      </c>
      <c r="AH229" s="53">
        <f>$H229*I229</f>
      </c>
      <c r="AI229" s="53">
        <f>$H229*J229</f>
      </c>
      <c r="AJ229" s="53">
        <f>$H229*K229</f>
      </c>
      <c r="AK229" s="53">
        <f>$H229*L229</f>
      </c>
      <c r="AL229" s="53">
        <f>$H229*M229</f>
      </c>
      <c r="AM229" s="3"/>
      <c r="AN229" s="5"/>
      <c r="AO229" s="5"/>
      <c r="AP229" s="5"/>
      <c r="AQ229" s="3"/>
    </row>
    <row x14ac:dyDescent="0.25" r="230" customHeight="1" ht="12.75">
      <c r="A230" s="5" t="s">
        <v>369</v>
      </c>
      <c r="B230" s="3" t="s">
        <v>1100</v>
      </c>
      <c r="C230" s="3" t="s">
        <v>870</v>
      </c>
      <c r="D230" s="3"/>
      <c r="E230" s="3" t="s">
        <v>855</v>
      </c>
      <c r="F230" s="3" t="s">
        <v>1380</v>
      </c>
      <c r="G230" s="3" t="s">
        <v>1185</v>
      </c>
      <c r="H230" s="6">
        <f>0.7+0.2+0.7+0.1</f>
      </c>
      <c r="I230" s="6"/>
      <c r="J230" s="7">
        <f>(4.1*0.7+3.7*0.2+4.8*0.7+4.8*0.1)/$H230</f>
      </c>
      <c r="K230" s="5"/>
      <c r="L230" s="6">
        <f>(3.13*0.7+3.16*0.2+3.22*0.7+2.97*0.1)/$H230</f>
      </c>
      <c r="M230" s="6"/>
      <c r="N230" s="7"/>
      <c r="O230" s="23"/>
      <c r="P230" s="6"/>
      <c r="Q230" s="6"/>
      <c r="R230" s="31"/>
      <c r="S230" s="6"/>
      <c r="T230" s="31"/>
      <c r="U230" s="6"/>
      <c r="V230" s="23"/>
      <c r="W230" s="6"/>
      <c r="X230" s="6"/>
      <c r="Y230" s="5"/>
      <c r="Z230" s="3"/>
      <c r="AA230" s="6">
        <f>H230*I230/100</f>
      </c>
      <c r="AB230" s="6">
        <f>H230*J230/100</f>
      </c>
      <c r="AC230" s="7">
        <f>H230*K230</f>
      </c>
      <c r="AD230" s="7">
        <f>H230*M230</f>
      </c>
      <c r="AE230" s="6">
        <f>H230*L230/100</f>
      </c>
      <c r="AF230" s="6">
        <f>AA230+AB230+AE230</f>
      </c>
      <c r="AG230" s="6">
        <f>I230+J230+L230</f>
      </c>
      <c r="AH230" s="53">
        <f>$H230*I230</f>
      </c>
      <c r="AI230" s="53">
        <f>$H230*J230</f>
      </c>
      <c r="AJ230" s="53">
        <f>$H230*K230</f>
      </c>
      <c r="AK230" s="53">
        <f>$H230*L230</f>
      </c>
      <c r="AL230" s="53">
        <f>$H230*M230</f>
      </c>
      <c r="AM230" s="3"/>
      <c r="AN230" s="5"/>
      <c r="AO230" s="5"/>
      <c r="AP230" s="5"/>
      <c r="AQ230" s="3"/>
    </row>
    <row x14ac:dyDescent="0.25" r="231" customHeight="1" ht="12.75">
      <c r="A231" s="5" t="s">
        <v>610</v>
      </c>
      <c r="B231" s="3" t="s">
        <v>1100</v>
      </c>
      <c r="C231" s="3" t="s">
        <v>866</v>
      </c>
      <c r="D231" s="3" t="s">
        <v>988</v>
      </c>
      <c r="E231" s="38" t="s">
        <v>859</v>
      </c>
      <c r="F231" s="3" t="s">
        <v>1171</v>
      </c>
      <c r="G231" s="3" t="s">
        <v>1381</v>
      </c>
      <c r="H231" s="6">
        <v>2.76</v>
      </c>
      <c r="I231" s="6">
        <v>3.3</v>
      </c>
      <c r="J231" s="6">
        <v>3.1</v>
      </c>
      <c r="K231" s="5"/>
      <c r="L231" s="6"/>
      <c r="M231" s="6"/>
      <c r="N231" s="7"/>
      <c r="O231" s="23"/>
      <c r="P231" s="6"/>
      <c r="Q231" s="6"/>
      <c r="R231" s="31"/>
      <c r="S231" s="6"/>
      <c r="T231" s="31"/>
      <c r="U231" s="6"/>
      <c r="V231" s="23"/>
      <c r="W231" s="6"/>
      <c r="X231" s="6"/>
      <c r="Y231" s="5"/>
      <c r="Z231" s="3"/>
      <c r="AA231" s="6">
        <f>H231*I231/100</f>
      </c>
      <c r="AB231" s="6">
        <f>H231*J231/100</f>
      </c>
      <c r="AC231" s="7">
        <f>H231*K231</f>
      </c>
      <c r="AD231" s="7">
        <f>H231*M231</f>
      </c>
      <c r="AE231" s="6">
        <f>H231*L231/100</f>
      </c>
      <c r="AF231" s="6">
        <f>AA231+AB231+AE231</f>
      </c>
      <c r="AG231" s="6">
        <f>I231+J231+L231</f>
      </c>
      <c r="AH231" s="53">
        <f>$H231*I231</f>
      </c>
      <c r="AI231" s="53">
        <f>$H231*J231</f>
      </c>
      <c r="AJ231" s="53">
        <f>$H231*K231</f>
      </c>
      <c r="AK231" s="53">
        <f>$H231*L231</f>
      </c>
      <c r="AL231" s="53">
        <f>$H231*M231</f>
      </c>
      <c r="AM231" s="3"/>
      <c r="AN231" s="5"/>
      <c r="AO231" s="5"/>
      <c r="AP231" s="5"/>
      <c r="AQ231" s="3"/>
    </row>
    <row x14ac:dyDescent="0.25" r="232" customHeight="1" ht="12.75">
      <c r="A232" s="5" t="s">
        <v>65</v>
      </c>
      <c r="B232" s="3" t="s">
        <v>1100</v>
      </c>
      <c r="C232" s="3" t="s">
        <v>870</v>
      </c>
      <c r="D232" s="3"/>
      <c r="E232" s="38" t="s">
        <v>859</v>
      </c>
      <c r="F232" s="3" t="s">
        <v>1188</v>
      </c>
      <c r="G232" s="3" t="s">
        <v>1342</v>
      </c>
      <c r="H232" s="23">
        <f>0.0197+0.05533</f>
      </c>
      <c r="I232" s="7">
        <f>(5*0.0197+0*0.05533)/$H232</f>
      </c>
      <c r="J232" s="7">
        <f>(7.5*0.0197+7*0.05533)/$H232</f>
      </c>
      <c r="K232" s="31">
        <f>(207*0.0197+102.84*0.05533)/$H232</f>
      </c>
      <c r="L232" s="7">
        <f>(0*0.0197+0.7*0.05533)/$H232</f>
      </c>
      <c r="M232" s="6">
        <f>(2.55*0.0197+10.97*0.05533)/$H232</f>
      </c>
      <c r="N232" s="7"/>
      <c r="O232" s="23"/>
      <c r="P232" s="6"/>
      <c r="Q232" s="6"/>
      <c r="R232" s="31"/>
      <c r="S232" s="6"/>
      <c r="T232" s="31"/>
      <c r="U232" s="6"/>
      <c r="V232" s="23"/>
      <c r="W232" s="6"/>
      <c r="X232" s="6"/>
      <c r="Y232" s="5"/>
      <c r="Z232" s="3"/>
      <c r="AA232" s="6">
        <f>H232*I232/100</f>
      </c>
      <c r="AB232" s="6">
        <f>H232*J232/100</f>
      </c>
      <c r="AC232" s="7">
        <f>H232*K232</f>
      </c>
      <c r="AD232" s="7">
        <f>H232*M232</f>
      </c>
      <c r="AE232" s="6">
        <f>H232*L232/100</f>
      </c>
      <c r="AF232" s="6">
        <f>AA232+AB232+AE232</f>
      </c>
      <c r="AG232" s="6">
        <f>I232+J232+L232</f>
      </c>
      <c r="AH232" s="53">
        <f>$H232*I232</f>
      </c>
      <c r="AI232" s="53">
        <f>$H232*J232</f>
      </c>
      <c r="AJ232" s="53">
        <f>$H232*K232</f>
      </c>
      <c r="AK232" s="53">
        <f>$H232*L232</f>
      </c>
      <c r="AL232" s="53">
        <f>$H232*M232</f>
      </c>
      <c r="AM232" s="3"/>
      <c r="AN232" s="5"/>
      <c r="AO232" s="5"/>
      <c r="AP232" s="5"/>
      <c r="AQ232" s="3"/>
    </row>
    <row x14ac:dyDescent="0.25" r="233" customHeight="1" ht="12.75">
      <c r="A233" s="5" t="s">
        <v>759</v>
      </c>
      <c r="B233" s="3" t="s">
        <v>1100</v>
      </c>
      <c r="C233" s="3" t="s">
        <v>1018</v>
      </c>
      <c r="D233" s="3"/>
      <c r="E233" s="3" t="s">
        <v>855</v>
      </c>
      <c r="F233" s="3" t="s">
        <v>1382</v>
      </c>
      <c r="G233" s="3" t="s">
        <v>1383</v>
      </c>
      <c r="H233" s="6">
        <f>46.07+34.29</f>
      </c>
      <c r="I233" s="6"/>
      <c r="J233" s="23">
        <f>(0.132*46.07+0.104*34.29)/$H233</f>
      </c>
      <c r="K233" s="5"/>
      <c r="L233" s="23">
        <f>(0.051*46.07+0.052*34.29)/$H233</f>
      </c>
      <c r="M233" s="6"/>
      <c r="N233" s="7"/>
      <c r="O233" s="23"/>
      <c r="P233" s="6"/>
      <c r="Q233" s="23">
        <f>(0.104*46.07+0.102*34.29)/$H233</f>
      </c>
      <c r="R233" s="31"/>
      <c r="S233" s="6"/>
      <c r="T233" s="31"/>
      <c r="U233" s="6"/>
      <c r="V233" s="23"/>
      <c r="W233" s="6"/>
      <c r="X233" s="6"/>
      <c r="Y233" s="5"/>
      <c r="Z233" s="3"/>
      <c r="AA233" s="6">
        <f>H233*I233/100</f>
      </c>
      <c r="AB233" s="6">
        <f>H233*J233/100</f>
      </c>
      <c r="AC233" s="7">
        <f>H233*K233</f>
      </c>
      <c r="AD233" s="7">
        <f>H233*M233</f>
      </c>
      <c r="AE233" s="6">
        <f>H233*L233/100</f>
      </c>
      <c r="AF233" s="6">
        <f>AA233+AB233+AE233</f>
      </c>
      <c r="AG233" s="6">
        <f>I233+J233+L233</f>
      </c>
      <c r="AH233" s="53">
        <f>$H233*I233</f>
      </c>
      <c r="AI233" s="53">
        <f>$H233*J233</f>
      </c>
      <c r="AJ233" s="53">
        <f>$H233*K233</f>
      </c>
      <c r="AK233" s="53">
        <f>$H233*L233</f>
      </c>
      <c r="AL233" s="53">
        <f>$H233*M233</f>
      </c>
      <c r="AM233" s="3"/>
      <c r="AN233" s="5"/>
      <c r="AO233" s="5"/>
      <c r="AP233" s="5"/>
      <c r="AQ233" s="3"/>
    </row>
    <row x14ac:dyDescent="0.25" r="234" customHeight="1" ht="12.75">
      <c r="A234" s="5" t="s">
        <v>179</v>
      </c>
      <c r="B234" s="3" t="s">
        <v>1100</v>
      </c>
      <c r="C234" s="3" t="s">
        <v>866</v>
      </c>
      <c r="D234" s="3" t="s">
        <v>989</v>
      </c>
      <c r="E234" s="38" t="s">
        <v>859</v>
      </c>
      <c r="F234" s="3" t="s">
        <v>1171</v>
      </c>
      <c r="G234" s="3" t="s">
        <v>1384</v>
      </c>
      <c r="H234" s="5">
        <v>1</v>
      </c>
      <c r="I234" s="6"/>
      <c r="J234" s="5">
        <v>13</v>
      </c>
      <c r="K234" s="5"/>
      <c r="L234" s="6"/>
      <c r="M234" s="6"/>
      <c r="N234" s="7"/>
      <c r="O234" s="23"/>
      <c r="P234" s="6"/>
      <c r="Q234" s="6"/>
      <c r="R234" s="31"/>
      <c r="S234" s="6"/>
      <c r="T234" s="31"/>
      <c r="U234" s="6"/>
      <c r="V234" s="23"/>
      <c r="W234" s="6"/>
      <c r="X234" s="6"/>
      <c r="Y234" s="5"/>
      <c r="Z234" s="3"/>
      <c r="AA234" s="6">
        <f>H234*I234/100</f>
      </c>
      <c r="AB234" s="6">
        <f>H234*J234/100</f>
      </c>
      <c r="AC234" s="7">
        <f>H234*K234</f>
      </c>
      <c r="AD234" s="7">
        <f>H234*M234</f>
      </c>
      <c r="AE234" s="6">
        <f>H234*L234/100</f>
      </c>
      <c r="AF234" s="6">
        <f>AA234+AB234+AE234</f>
      </c>
      <c r="AG234" s="6">
        <f>I234+J234+L234</f>
      </c>
      <c r="AH234" s="53">
        <f>$H234*I234</f>
      </c>
      <c r="AI234" s="53">
        <f>$H234*J234</f>
      </c>
      <c r="AJ234" s="53">
        <f>$H234*K234</f>
      </c>
      <c r="AK234" s="53">
        <f>$H234*L234</f>
      </c>
      <c r="AL234" s="53">
        <f>$H234*M234</f>
      </c>
      <c r="AM234" s="3"/>
      <c r="AN234" s="5"/>
      <c r="AO234" s="5"/>
      <c r="AP234" s="5"/>
      <c r="AQ234" s="3"/>
    </row>
    <row x14ac:dyDescent="0.25" r="235" customHeight="1" ht="12.75">
      <c r="A235" s="5" t="s">
        <v>729</v>
      </c>
      <c r="B235" s="3" t="s">
        <v>1100</v>
      </c>
      <c r="C235" s="3" t="s">
        <v>870</v>
      </c>
      <c r="D235" s="3"/>
      <c r="E235" s="38" t="s">
        <v>859</v>
      </c>
      <c r="F235" s="3" t="s">
        <v>1385</v>
      </c>
      <c r="G235" s="3" t="s">
        <v>1342</v>
      </c>
      <c r="H235" s="23">
        <v>6.3497</v>
      </c>
      <c r="I235" s="6"/>
      <c r="J235" s="7">
        <v>2.5</v>
      </c>
      <c r="K235" s="5">
        <v>20</v>
      </c>
      <c r="L235" s="6">
        <v>0.6</v>
      </c>
      <c r="M235" s="6">
        <v>0.5</v>
      </c>
      <c r="N235" s="7"/>
      <c r="O235" s="23"/>
      <c r="P235" s="6"/>
      <c r="Q235" s="6"/>
      <c r="R235" s="31"/>
      <c r="S235" s="6"/>
      <c r="T235" s="31"/>
      <c r="U235" s="6"/>
      <c r="V235" s="23"/>
      <c r="W235" s="6"/>
      <c r="X235" s="6"/>
      <c r="Y235" s="5"/>
      <c r="Z235" s="3"/>
      <c r="AA235" s="6">
        <f>H235*I235/100</f>
      </c>
      <c r="AB235" s="6">
        <f>H235*J235/100</f>
      </c>
      <c r="AC235" s="7">
        <f>H235*K235</f>
      </c>
      <c r="AD235" s="7">
        <f>H235*M235</f>
      </c>
      <c r="AE235" s="6">
        <f>H235*L235/100</f>
      </c>
      <c r="AF235" s="6">
        <f>AA235+AB235+AE235</f>
      </c>
      <c r="AG235" s="6">
        <f>I235+J235+L235</f>
      </c>
      <c r="AH235" s="53">
        <f>$H235*I235</f>
      </c>
      <c r="AI235" s="53">
        <f>$H235*J235</f>
      </c>
      <c r="AJ235" s="53">
        <f>$H235*K235</f>
      </c>
      <c r="AK235" s="53">
        <f>$H235*L235</f>
      </c>
      <c r="AL235" s="53">
        <f>$H235*M235</f>
      </c>
      <c r="AM235" s="3"/>
      <c r="AN235" s="5"/>
      <c r="AO235" s="5"/>
      <c r="AP235" s="5"/>
      <c r="AQ235" s="3"/>
    </row>
    <row x14ac:dyDescent="0.25" r="236" customHeight="1" ht="12.75">
      <c r="A236" s="5" t="s">
        <v>539</v>
      </c>
      <c r="B236" s="3" t="s">
        <v>1100</v>
      </c>
      <c r="C236" s="3" t="s">
        <v>869</v>
      </c>
      <c r="D236" s="3"/>
      <c r="E236" s="38" t="s">
        <v>859</v>
      </c>
      <c r="F236" s="3" t="s">
        <v>1171</v>
      </c>
      <c r="G236" s="3" t="s">
        <v>1342</v>
      </c>
      <c r="H236" s="23">
        <v>0.9071</v>
      </c>
      <c r="I236" s="6">
        <v>2.23</v>
      </c>
      <c r="J236" s="7">
        <v>3.79</v>
      </c>
      <c r="K236" s="6">
        <v>214.9</v>
      </c>
      <c r="L236" s="6"/>
      <c r="M236" s="6"/>
      <c r="N236" s="7"/>
      <c r="O236" s="23"/>
      <c r="P236" s="6"/>
      <c r="Q236" s="6"/>
      <c r="R236" s="31"/>
      <c r="S236" s="6"/>
      <c r="T236" s="31"/>
      <c r="U236" s="6"/>
      <c r="V236" s="23"/>
      <c r="W236" s="6"/>
      <c r="X236" s="6"/>
      <c r="Y236" s="5"/>
      <c r="Z236" s="3"/>
      <c r="AA236" s="6">
        <f>H236*I236/100</f>
      </c>
      <c r="AB236" s="6">
        <f>H236*J236/100</f>
      </c>
      <c r="AC236" s="7">
        <f>H236*K236</f>
      </c>
      <c r="AD236" s="7">
        <f>H236*M236</f>
      </c>
      <c r="AE236" s="6">
        <f>H236*L236/100</f>
      </c>
      <c r="AF236" s="6">
        <f>AA236+AB236+AE236</f>
      </c>
      <c r="AG236" s="6">
        <f>I236+J236+L236</f>
      </c>
      <c r="AH236" s="53">
        <f>$H236*I236</f>
      </c>
      <c r="AI236" s="53">
        <f>$H236*J236</f>
      </c>
      <c r="AJ236" s="53">
        <f>$H236*K236</f>
      </c>
      <c r="AK236" s="53">
        <f>$H236*L236</f>
      </c>
      <c r="AL236" s="53">
        <f>$H236*M236</f>
      </c>
      <c r="AM236" s="3"/>
      <c r="AN236" s="5"/>
      <c r="AO236" s="5"/>
      <c r="AP236" s="5"/>
      <c r="AQ236" s="3"/>
    </row>
    <row x14ac:dyDescent="0.25" r="237" customHeight="1" ht="12.75">
      <c r="A237" s="5" t="s">
        <v>544</v>
      </c>
      <c r="B237" s="3" t="s">
        <v>1100</v>
      </c>
      <c r="C237" s="3" t="s">
        <v>870</v>
      </c>
      <c r="D237" s="3"/>
      <c r="E237" s="3" t="s">
        <v>855</v>
      </c>
      <c r="F237" s="3" t="s">
        <v>1180</v>
      </c>
      <c r="G237" s="3" t="s">
        <v>1181</v>
      </c>
      <c r="H237" s="7">
        <f>6.7+2.3</f>
      </c>
      <c r="I237" s="6">
        <f>(1.1*6.7+1.3*2.3)/$H237</f>
      </c>
      <c r="J237" s="6">
        <f>(3.94*6.7+4.3*2.3)/$H237</f>
      </c>
      <c r="K237" s="7">
        <f>(52*6.7+55*2.3)/$H237</f>
      </c>
      <c r="L237" s="6">
        <f>(1.15*6.7+1.1*2.3)/$H237</f>
      </c>
      <c r="M237" s="7">
        <f>(0.84*6.7+0.8*2.3)/$H237</f>
      </c>
      <c r="N237" s="7"/>
      <c r="O237" s="23"/>
      <c r="P237" s="6"/>
      <c r="Q237" s="6"/>
      <c r="R237" s="31"/>
      <c r="S237" s="6"/>
      <c r="T237" s="31"/>
      <c r="U237" s="6"/>
      <c r="V237" s="23"/>
      <c r="W237" s="6"/>
      <c r="X237" s="6"/>
      <c r="Y237" s="5"/>
      <c r="Z237" s="3"/>
      <c r="AA237" s="6">
        <f>H237*I237/100</f>
      </c>
      <c r="AB237" s="6">
        <f>H237*J237/100</f>
      </c>
      <c r="AC237" s="7">
        <f>H237*K237</f>
      </c>
      <c r="AD237" s="7">
        <f>H237*M237</f>
      </c>
      <c r="AE237" s="6">
        <f>H237*L237/100</f>
      </c>
      <c r="AF237" s="6">
        <f>AA237+AB237+AE237</f>
      </c>
      <c r="AG237" s="6">
        <f>I237+J237+L237</f>
      </c>
      <c r="AH237" s="53">
        <f>$H237*I237</f>
      </c>
      <c r="AI237" s="53">
        <f>$H237*J237</f>
      </c>
      <c r="AJ237" s="53">
        <f>$H237*K237</f>
      </c>
      <c r="AK237" s="53">
        <f>$H237*L237</f>
      </c>
      <c r="AL237" s="53">
        <f>$H237*M237</f>
      </c>
      <c r="AM237" s="3"/>
      <c r="AN237" s="5"/>
      <c r="AO237" s="5"/>
      <c r="AP237" s="5"/>
      <c r="AQ237" s="3"/>
    </row>
    <row x14ac:dyDescent="0.25" r="238" customHeight="1" ht="12.75">
      <c r="A238" s="5" t="s">
        <v>742</v>
      </c>
      <c r="B238" s="3" t="s">
        <v>1100</v>
      </c>
      <c r="C238" s="3" t="s">
        <v>866</v>
      </c>
      <c r="D238" s="3" t="s">
        <v>989</v>
      </c>
      <c r="E238" s="38" t="s">
        <v>859</v>
      </c>
      <c r="F238" s="3" t="s">
        <v>1171</v>
      </c>
      <c r="G238" s="3" t="s">
        <v>1386</v>
      </c>
      <c r="H238" s="6">
        <v>1.9</v>
      </c>
      <c r="I238" s="6">
        <v>1.2</v>
      </c>
      <c r="J238" s="6">
        <v>3.5</v>
      </c>
      <c r="K238" s="5"/>
      <c r="L238" s="6"/>
      <c r="M238" s="6"/>
      <c r="N238" s="7"/>
      <c r="O238" s="23"/>
      <c r="P238" s="6"/>
      <c r="Q238" s="6"/>
      <c r="R238" s="31"/>
      <c r="S238" s="6"/>
      <c r="T238" s="31"/>
      <c r="U238" s="6"/>
      <c r="V238" s="23"/>
      <c r="W238" s="6"/>
      <c r="X238" s="6"/>
      <c r="Y238" s="5"/>
      <c r="Z238" s="3"/>
      <c r="AA238" s="6">
        <f>H238*I238/100</f>
      </c>
      <c r="AB238" s="6">
        <f>H238*J238/100</f>
      </c>
      <c r="AC238" s="7">
        <f>H238*K238</f>
      </c>
      <c r="AD238" s="7">
        <f>H238*M238</f>
      </c>
      <c r="AE238" s="6">
        <f>H238*L238/100</f>
      </c>
      <c r="AF238" s="6">
        <f>AA238+AB238+AE238</f>
      </c>
      <c r="AG238" s="6">
        <f>I238+J238+L238</f>
      </c>
      <c r="AH238" s="53">
        <f>$H238*I238</f>
      </c>
      <c r="AI238" s="53">
        <f>$H238*J238</f>
      </c>
      <c r="AJ238" s="53">
        <f>$H238*K238</f>
      </c>
      <c r="AK238" s="53">
        <f>$H238*L238</f>
      </c>
      <c r="AL238" s="53">
        <f>$H238*M238</f>
      </c>
      <c r="AM238" s="3"/>
      <c r="AN238" s="5"/>
      <c r="AO238" s="5"/>
      <c r="AP238" s="5"/>
      <c r="AQ238" s="3"/>
    </row>
    <row x14ac:dyDescent="0.25" r="239" customHeight="1" ht="12.75">
      <c r="A239" s="5" t="s">
        <v>98</v>
      </c>
      <c r="B239" s="3" t="s">
        <v>1100</v>
      </c>
      <c r="C239" s="3" t="s">
        <v>870</v>
      </c>
      <c r="D239" s="3"/>
      <c r="E239" s="3" t="s">
        <v>855</v>
      </c>
      <c r="F239" s="3" t="s">
        <v>1387</v>
      </c>
      <c r="G239" s="3" t="s">
        <v>1388</v>
      </c>
      <c r="H239" s="23">
        <f>0.74+0.0507</f>
      </c>
      <c r="I239" s="6">
        <f>(0.87*0.74+0.59*0.0507)/$H239</f>
      </c>
      <c r="J239" s="6">
        <f>(9.48*0.74+6.49*0.0507)/$H239</f>
      </c>
      <c r="K239" s="7">
        <f>(158.88*0.74+68.3*0.0507)/$H239</f>
      </c>
      <c r="L239" s="6">
        <f>(0.87*0.74+0.49*0.0507)/$H239</f>
      </c>
      <c r="M239" s="6">
        <f>(4.99*0.74+2.11*0.0507)/$H239</f>
      </c>
      <c r="N239" s="7"/>
      <c r="O239" s="23"/>
      <c r="P239" s="6"/>
      <c r="Q239" s="6"/>
      <c r="R239" s="31"/>
      <c r="S239" s="6"/>
      <c r="T239" s="31"/>
      <c r="U239" s="6"/>
      <c r="V239" s="23"/>
      <c r="W239" s="6"/>
      <c r="X239" s="6"/>
      <c r="Y239" s="5"/>
      <c r="Z239" s="3"/>
      <c r="AA239" s="6">
        <f>H239*I239/100</f>
      </c>
      <c r="AB239" s="6">
        <f>H239*J239/100</f>
      </c>
      <c r="AC239" s="7">
        <f>H239*K239</f>
      </c>
      <c r="AD239" s="7">
        <f>H239*M239</f>
      </c>
      <c r="AE239" s="6">
        <f>H239*L239/100</f>
      </c>
      <c r="AF239" s="6">
        <f>AA239+AB239+AE239</f>
      </c>
      <c r="AG239" s="6">
        <f>I239+J239+L239</f>
      </c>
      <c r="AH239" s="53">
        <f>$H239*I239</f>
      </c>
      <c r="AI239" s="53">
        <f>$H239*J239</f>
      </c>
      <c r="AJ239" s="53">
        <f>$H239*K239</f>
      </c>
      <c r="AK239" s="53">
        <f>$H239*L239</f>
      </c>
      <c r="AL239" s="53">
        <f>$H239*M239</f>
      </c>
      <c r="AM239" s="3"/>
      <c r="AN239" s="5"/>
      <c r="AO239" s="5"/>
      <c r="AP239" s="5"/>
      <c r="AQ239" s="3"/>
    </row>
    <row x14ac:dyDescent="0.25" r="240" customHeight="1" ht="12.75">
      <c r="A240" s="5" t="s">
        <v>478</v>
      </c>
      <c r="B240" s="3" t="s">
        <v>1100</v>
      </c>
      <c r="C240" s="3" t="s">
        <v>870</v>
      </c>
      <c r="D240" s="3"/>
      <c r="E240" s="3" t="s">
        <v>855</v>
      </c>
      <c r="F240" s="3" t="s">
        <v>1178</v>
      </c>
      <c r="G240" s="3" t="s">
        <v>1389</v>
      </c>
      <c r="H240" s="23">
        <v>0.587961</v>
      </c>
      <c r="I240" s="6"/>
      <c r="J240" s="6">
        <v>7.63</v>
      </c>
      <c r="K240" s="5"/>
      <c r="L240" s="6">
        <v>0.35</v>
      </c>
      <c r="M240" s="6"/>
      <c r="N240" s="7"/>
      <c r="O240" s="23"/>
      <c r="P240" s="6"/>
      <c r="Q240" s="6"/>
      <c r="R240" s="31"/>
      <c r="S240" s="6"/>
      <c r="T240" s="31"/>
      <c r="U240" s="6"/>
      <c r="V240" s="23"/>
      <c r="W240" s="6"/>
      <c r="X240" s="6"/>
      <c r="Y240" s="5"/>
      <c r="Z240" s="3"/>
      <c r="AA240" s="6">
        <f>H240*I240/100</f>
      </c>
      <c r="AB240" s="6">
        <f>H240*J240/100</f>
      </c>
      <c r="AC240" s="7">
        <f>H240*K240</f>
      </c>
      <c r="AD240" s="7">
        <f>H240*M240</f>
      </c>
      <c r="AE240" s="6">
        <f>H240*L240/100</f>
      </c>
      <c r="AF240" s="6">
        <f>AA240+AB240+AE240</f>
      </c>
      <c r="AG240" s="6">
        <f>I240+J240+L240</f>
      </c>
      <c r="AH240" s="53">
        <f>$H240*I240</f>
      </c>
      <c r="AI240" s="53">
        <f>$H240*J240</f>
      </c>
      <c r="AJ240" s="53">
        <f>$H240*K240</f>
      </c>
      <c r="AK240" s="53">
        <f>$H240*L240</f>
      </c>
      <c r="AL240" s="53">
        <f>$H240*M240</f>
      </c>
      <c r="AM240" s="3"/>
      <c r="AN240" s="5"/>
      <c r="AO240" s="5"/>
      <c r="AP240" s="5"/>
      <c r="AQ240" s="3"/>
    </row>
    <row x14ac:dyDescent="0.25" r="241" customHeight="1" ht="12.75">
      <c r="A241" s="5" t="s">
        <v>95</v>
      </c>
      <c r="B241" s="3" t="s">
        <v>1100</v>
      </c>
      <c r="C241" s="3" t="s">
        <v>866</v>
      </c>
      <c r="D241" s="3" t="s">
        <v>988</v>
      </c>
      <c r="E241" s="38" t="s">
        <v>859</v>
      </c>
      <c r="F241" s="3" t="s">
        <v>1171</v>
      </c>
      <c r="G241" s="3" t="s">
        <v>1350</v>
      </c>
      <c r="H241" s="6">
        <f>57.6-53.183</f>
      </c>
      <c r="I241" s="7">
        <f>(3.4*57.6-3.4*53.183)/$H241</f>
      </c>
      <c r="J241" s="7">
        <f>(5.7*57.6-5*53.183)/$H241</f>
      </c>
      <c r="K241" s="31">
        <f>(36*57.6-33*53.183)/$H241</f>
      </c>
      <c r="L241" s="6"/>
      <c r="M241" s="6"/>
      <c r="N241" s="7"/>
      <c r="O241" s="23"/>
      <c r="P241" s="6"/>
      <c r="Q241" s="6"/>
      <c r="R241" s="31"/>
      <c r="S241" s="6"/>
      <c r="T241" s="31"/>
      <c r="U241" s="6"/>
      <c r="V241" s="23"/>
      <c r="W241" s="6"/>
      <c r="X241" s="6"/>
      <c r="Y241" s="5"/>
      <c r="Z241" s="3"/>
      <c r="AA241" s="6">
        <f>H241*I241/100</f>
      </c>
      <c r="AB241" s="6">
        <f>H241*J241/100</f>
      </c>
      <c r="AC241" s="7">
        <f>H241*K241</f>
      </c>
      <c r="AD241" s="7">
        <f>H241*M241</f>
      </c>
      <c r="AE241" s="6">
        <f>H241*L241/100</f>
      </c>
      <c r="AF241" s="6">
        <f>AA241+AB241+AE241</f>
      </c>
      <c r="AG241" s="6">
        <f>I241+J241+L241</f>
      </c>
      <c r="AH241" s="53">
        <f>$H241*I241</f>
      </c>
      <c r="AI241" s="53">
        <f>$H241*J241</f>
      </c>
      <c r="AJ241" s="53">
        <f>$H241*K241</f>
      </c>
      <c r="AK241" s="53">
        <f>$H241*L241</f>
      </c>
      <c r="AL241" s="53">
        <f>$H241*M241</f>
      </c>
      <c r="AM241" s="3"/>
      <c r="AN241" s="5"/>
      <c r="AO241" s="5"/>
      <c r="AP241" s="5"/>
      <c r="AQ241" s="3"/>
    </row>
    <row x14ac:dyDescent="0.25" r="242" customHeight="1" ht="12.75">
      <c r="A242" s="5" t="s">
        <v>62</v>
      </c>
      <c r="B242" s="3" t="s">
        <v>1100</v>
      </c>
      <c r="C242" s="3" t="s">
        <v>870</v>
      </c>
      <c r="D242" s="3"/>
      <c r="E242" s="3" t="s">
        <v>855</v>
      </c>
      <c r="F242" s="3" t="s">
        <v>1171</v>
      </c>
      <c r="G242" s="3" t="s">
        <v>1390</v>
      </c>
      <c r="H242" s="6">
        <v>0.05</v>
      </c>
      <c r="I242" s="7">
        <v>1</v>
      </c>
      <c r="J242" s="6">
        <v>7.1</v>
      </c>
      <c r="K242" s="5">
        <v>130</v>
      </c>
      <c r="L242" s="6">
        <v>4.7</v>
      </c>
      <c r="M242" s="7">
        <v>2</v>
      </c>
      <c r="N242" s="7"/>
      <c r="O242" s="23"/>
      <c r="P242" s="6"/>
      <c r="Q242" s="6"/>
      <c r="R242" s="31"/>
      <c r="S242" s="6"/>
      <c r="T242" s="31"/>
      <c r="U242" s="6"/>
      <c r="V242" s="23"/>
      <c r="W242" s="6"/>
      <c r="X242" s="6"/>
      <c r="Y242" s="5"/>
      <c r="Z242" s="3"/>
      <c r="AA242" s="6">
        <f>H242*I242/100</f>
      </c>
      <c r="AB242" s="6">
        <f>H242*J242/100</f>
      </c>
      <c r="AC242" s="7">
        <f>H242*K242</f>
      </c>
      <c r="AD242" s="7">
        <f>H242*M242</f>
      </c>
      <c r="AE242" s="6">
        <f>H242*L242/100</f>
      </c>
      <c r="AF242" s="6">
        <f>AA242+AB242+AE242</f>
      </c>
      <c r="AG242" s="6">
        <f>I242+J242+L242</f>
      </c>
      <c r="AH242" s="53">
        <f>$H242*I242</f>
      </c>
      <c r="AI242" s="53">
        <f>$H242*J242</f>
      </c>
      <c r="AJ242" s="53">
        <f>$H242*K242</f>
      </c>
      <c r="AK242" s="53">
        <f>$H242*L242</f>
      </c>
      <c r="AL242" s="53">
        <f>$H242*M242</f>
      </c>
      <c r="AM242" s="3"/>
      <c r="AN242" s="5"/>
      <c r="AO242" s="5"/>
      <c r="AP242" s="5"/>
      <c r="AQ242" s="3"/>
    </row>
    <row x14ac:dyDescent="0.25" r="243" customHeight="1" ht="12.75">
      <c r="A243" s="5" t="s">
        <v>453</v>
      </c>
      <c r="B243" s="3" t="s">
        <v>1100</v>
      </c>
      <c r="C243" s="3" t="s">
        <v>866</v>
      </c>
      <c r="D243" s="3" t="s">
        <v>988</v>
      </c>
      <c r="E243" s="38" t="s">
        <v>859</v>
      </c>
      <c r="F243" s="3" t="s">
        <v>1391</v>
      </c>
      <c r="G243" s="3" t="s">
        <v>1392</v>
      </c>
      <c r="H243" s="23">
        <v>0.580544</v>
      </c>
      <c r="I243" s="6">
        <v>1.34</v>
      </c>
      <c r="J243" s="6">
        <v>2.22</v>
      </c>
      <c r="K243" s="5">
        <v>342</v>
      </c>
      <c r="L243" s="6"/>
      <c r="M243" s="6"/>
      <c r="N243" s="7"/>
      <c r="O243" s="23"/>
      <c r="P243" s="6"/>
      <c r="Q243" s="6"/>
      <c r="R243" s="31"/>
      <c r="S243" s="6"/>
      <c r="T243" s="31"/>
      <c r="U243" s="6"/>
      <c r="V243" s="23"/>
      <c r="W243" s="6"/>
      <c r="X243" s="6"/>
      <c r="Y243" s="5"/>
      <c r="Z243" s="3"/>
      <c r="AA243" s="6">
        <f>H243*I243/100</f>
      </c>
      <c r="AB243" s="6">
        <f>H243*J243/100</f>
      </c>
      <c r="AC243" s="7">
        <f>H243*K243</f>
      </c>
      <c r="AD243" s="7">
        <f>H243*M243</f>
      </c>
      <c r="AE243" s="6">
        <f>H243*L243/100</f>
      </c>
      <c r="AF243" s="6">
        <f>AA243+AB243+AE243</f>
      </c>
      <c r="AG243" s="6">
        <f>I243+J243+L243</f>
      </c>
      <c r="AH243" s="53">
        <f>$H243*I243</f>
      </c>
      <c r="AI243" s="53">
        <f>$H243*J243</f>
      </c>
      <c r="AJ243" s="53">
        <f>$H243*K243</f>
      </c>
      <c r="AK243" s="53">
        <f>$H243*L243</f>
      </c>
      <c r="AL243" s="53">
        <f>$H243*M243</f>
      </c>
      <c r="AM243" s="3"/>
      <c r="AN243" s="5"/>
      <c r="AO243" s="5"/>
      <c r="AP243" s="5"/>
      <c r="AQ243" s="3"/>
    </row>
    <row x14ac:dyDescent="0.25" r="244" customHeight="1" ht="12.75">
      <c r="A244" s="5" t="s">
        <v>205</v>
      </c>
      <c r="B244" s="3" t="s">
        <v>1100</v>
      </c>
      <c r="C244" s="3" t="s">
        <v>866</v>
      </c>
      <c r="D244" s="3" t="s">
        <v>989</v>
      </c>
      <c r="E244" s="38" t="s">
        <v>859</v>
      </c>
      <c r="F244" s="3" t="s">
        <v>1393</v>
      </c>
      <c r="G244" s="3" t="s">
        <v>1386</v>
      </c>
      <c r="H244" s="5">
        <v>50</v>
      </c>
      <c r="I244" s="6">
        <v>0.2</v>
      </c>
      <c r="J244" s="6">
        <v>4.7</v>
      </c>
      <c r="K244" s="5"/>
      <c r="L244" s="6"/>
      <c r="M244" s="6"/>
      <c r="N244" s="7"/>
      <c r="O244" s="23"/>
      <c r="P244" s="6"/>
      <c r="Q244" s="6"/>
      <c r="R244" s="31"/>
      <c r="S244" s="6"/>
      <c r="T244" s="31"/>
      <c r="U244" s="6"/>
      <c r="V244" s="23"/>
      <c r="W244" s="6"/>
      <c r="X244" s="6"/>
      <c r="Y244" s="5"/>
      <c r="Z244" s="3"/>
      <c r="AA244" s="6">
        <f>H244*I244/100</f>
      </c>
      <c r="AB244" s="6">
        <f>H244*J244/100</f>
      </c>
      <c r="AC244" s="7">
        <f>H244*K244</f>
      </c>
      <c r="AD244" s="7">
        <f>H244*M244</f>
      </c>
      <c r="AE244" s="6">
        <f>H244*L244/100</f>
      </c>
      <c r="AF244" s="6">
        <f>AA244+AB244+AE244</f>
      </c>
      <c r="AG244" s="6">
        <f>I244+J244+L244</f>
      </c>
      <c r="AH244" s="53">
        <f>$H244*I244</f>
      </c>
      <c r="AI244" s="53">
        <f>$H244*J244</f>
      </c>
      <c r="AJ244" s="53">
        <f>$H244*K244</f>
      </c>
      <c r="AK244" s="53">
        <f>$H244*L244</f>
      </c>
      <c r="AL244" s="53">
        <f>$H244*M244</f>
      </c>
      <c r="AM244" s="3"/>
      <c r="AN244" s="5"/>
      <c r="AO244" s="5"/>
      <c r="AP244" s="5"/>
      <c r="AQ244" s="3"/>
    </row>
    <row x14ac:dyDescent="0.25" r="245" customHeight="1" ht="12.75">
      <c r="A245" s="5" t="s">
        <v>775</v>
      </c>
      <c r="B245" s="3" t="s">
        <v>1100</v>
      </c>
      <c r="C245" s="3" t="s">
        <v>870</v>
      </c>
      <c r="D245" s="3"/>
      <c r="E245" s="38" t="s">
        <v>859</v>
      </c>
      <c r="F245" s="3" t="s">
        <v>1394</v>
      </c>
      <c r="G245" s="3" t="s">
        <v>1395</v>
      </c>
      <c r="H245" s="23">
        <v>2.63088</v>
      </c>
      <c r="I245" s="6">
        <v>0.53</v>
      </c>
      <c r="J245" s="6">
        <v>3.67</v>
      </c>
      <c r="K245" s="5"/>
      <c r="L245" s="6"/>
      <c r="M245" s="6"/>
      <c r="N245" s="7"/>
      <c r="O245" s="23"/>
      <c r="P245" s="6"/>
      <c r="Q245" s="6"/>
      <c r="R245" s="31"/>
      <c r="S245" s="6"/>
      <c r="T245" s="31"/>
      <c r="U245" s="6"/>
      <c r="V245" s="23"/>
      <c r="W245" s="6"/>
      <c r="X245" s="6"/>
      <c r="Y245" s="5"/>
      <c r="Z245" s="3"/>
      <c r="AA245" s="6">
        <f>H245*I245/100</f>
      </c>
      <c r="AB245" s="6">
        <f>H245*J245/100</f>
      </c>
      <c r="AC245" s="7">
        <f>H245*K245</f>
      </c>
      <c r="AD245" s="7">
        <f>H245*M245</f>
      </c>
      <c r="AE245" s="6">
        <f>H245*L245/100</f>
      </c>
      <c r="AF245" s="6">
        <f>AA245+AB245+AE245</f>
      </c>
      <c r="AG245" s="6">
        <f>I245+J245+L245</f>
      </c>
      <c r="AH245" s="53">
        <f>$H245*I245</f>
      </c>
      <c r="AI245" s="53">
        <f>$H245*J245</f>
      </c>
      <c r="AJ245" s="53">
        <f>$H245*K245</f>
      </c>
      <c r="AK245" s="53">
        <f>$H245*L245</f>
      </c>
      <c r="AL245" s="53">
        <f>$H245*M245</f>
      </c>
      <c r="AM245" s="3"/>
      <c r="AN245" s="5"/>
      <c r="AO245" s="5"/>
      <c r="AP245" s="5"/>
      <c r="AQ245" s="3"/>
    </row>
    <row x14ac:dyDescent="0.25" r="246" customHeight="1" ht="12.75">
      <c r="A246" s="5" t="s">
        <v>275</v>
      </c>
      <c r="B246" s="3" t="s">
        <v>1100</v>
      </c>
      <c r="C246" s="3" t="s">
        <v>866</v>
      </c>
      <c r="D246" s="3" t="s">
        <v>989</v>
      </c>
      <c r="E246" s="3" t="s">
        <v>855</v>
      </c>
      <c r="F246" s="3" t="s">
        <v>1171</v>
      </c>
      <c r="G246" s="3" t="s">
        <v>1367</v>
      </c>
      <c r="H246" s="23">
        <v>2.494758</v>
      </c>
      <c r="I246" s="6"/>
      <c r="J246" s="5">
        <v>11</v>
      </c>
      <c r="K246" s="5"/>
      <c r="L246" s="6"/>
      <c r="M246" s="6"/>
      <c r="N246" s="7"/>
      <c r="O246" s="23"/>
      <c r="P246" s="6"/>
      <c r="Q246" s="6"/>
      <c r="R246" s="31"/>
      <c r="S246" s="6"/>
      <c r="T246" s="31"/>
      <c r="U246" s="6"/>
      <c r="V246" s="23"/>
      <c r="W246" s="6"/>
      <c r="X246" s="6"/>
      <c r="Y246" s="5"/>
      <c r="Z246" s="3"/>
      <c r="AA246" s="6">
        <f>H246*I246/100</f>
      </c>
      <c r="AB246" s="6">
        <f>H246*J246/100</f>
      </c>
      <c r="AC246" s="7">
        <f>H246*K246</f>
      </c>
      <c r="AD246" s="7">
        <f>H246*M246</f>
      </c>
      <c r="AE246" s="6">
        <f>H246*L246/100</f>
      </c>
      <c r="AF246" s="6">
        <f>AA246+AB246+AE246</f>
      </c>
      <c r="AG246" s="6">
        <f>I246+J246+L246</f>
      </c>
      <c r="AH246" s="53">
        <f>$H246*I246</f>
      </c>
      <c r="AI246" s="53">
        <f>$H246*J246</f>
      </c>
      <c r="AJ246" s="53">
        <f>$H246*K246</f>
      </c>
      <c r="AK246" s="53">
        <f>$H246*L246</f>
      </c>
      <c r="AL246" s="53">
        <f>$H246*M246</f>
      </c>
      <c r="AM246" s="3"/>
      <c r="AN246" s="5"/>
      <c r="AO246" s="5"/>
      <c r="AP246" s="5"/>
      <c r="AQ246" s="3"/>
    </row>
    <row x14ac:dyDescent="0.25" r="247" customHeight="1" ht="12.75">
      <c r="A247" s="5" t="s">
        <v>329</v>
      </c>
      <c r="B247" s="3" t="s">
        <v>1100</v>
      </c>
      <c r="C247" s="3" t="s">
        <v>870</v>
      </c>
      <c r="D247" s="3"/>
      <c r="E247" s="3" t="s">
        <v>855</v>
      </c>
      <c r="F247" s="3" t="s">
        <v>1396</v>
      </c>
      <c r="G247" s="3" t="s">
        <v>1367</v>
      </c>
      <c r="H247" s="6">
        <v>1.5</v>
      </c>
      <c r="I247" s="6">
        <v>3.1</v>
      </c>
      <c r="J247" s="6">
        <v>6.4</v>
      </c>
      <c r="K247" s="5">
        <v>90</v>
      </c>
      <c r="L247" s="6">
        <v>0.1</v>
      </c>
      <c r="M247" s="5">
        <v>2</v>
      </c>
      <c r="N247" s="7"/>
      <c r="O247" s="23"/>
      <c r="P247" s="6"/>
      <c r="Q247" s="6"/>
      <c r="R247" s="31"/>
      <c r="S247" s="6"/>
      <c r="T247" s="31"/>
      <c r="U247" s="6"/>
      <c r="V247" s="23"/>
      <c r="W247" s="6"/>
      <c r="X247" s="6"/>
      <c r="Y247" s="5"/>
      <c r="Z247" s="3"/>
      <c r="AA247" s="6">
        <f>H247*I247/100</f>
      </c>
      <c r="AB247" s="6">
        <f>H247*J247/100</f>
      </c>
      <c r="AC247" s="7">
        <f>H247*K247</f>
      </c>
      <c r="AD247" s="7">
        <f>H247*M247</f>
      </c>
      <c r="AE247" s="6">
        <f>H247*L247/100</f>
      </c>
      <c r="AF247" s="6">
        <f>AA247+AB247+AE247</f>
      </c>
      <c r="AG247" s="6">
        <f>I247+J247+L247</f>
      </c>
      <c r="AH247" s="53">
        <f>$H247*I247</f>
      </c>
      <c r="AI247" s="53">
        <f>$H247*J247</f>
      </c>
      <c r="AJ247" s="53">
        <f>$H247*K247</f>
      </c>
      <c r="AK247" s="53">
        <f>$H247*L247</f>
      </c>
      <c r="AL247" s="53">
        <f>$H247*M247</f>
      </c>
      <c r="AM247" s="3"/>
      <c r="AN247" s="5"/>
      <c r="AO247" s="5"/>
      <c r="AP247" s="5"/>
      <c r="AQ247" s="3"/>
    </row>
    <row x14ac:dyDescent="0.25" r="248" customHeight="1" ht="12.75">
      <c r="A248" s="5" t="s">
        <v>555</v>
      </c>
      <c r="B248" s="3" t="s">
        <v>1100</v>
      </c>
      <c r="C248" s="3" t="s">
        <v>1014</v>
      </c>
      <c r="D248" s="3"/>
      <c r="E248" s="38" t="s">
        <v>859</v>
      </c>
      <c r="F248" s="3" t="s">
        <v>1171</v>
      </c>
      <c r="G248" s="3" t="s">
        <v>1342</v>
      </c>
      <c r="H248" s="23">
        <v>0.070488</v>
      </c>
      <c r="I248" s="6">
        <v>2.1</v>
      </c>
      <c r="J248" s="6"/>
      <c r="K248" s="6">
        <v>342.8</v>
      </c>
      <c r="L248" s="6"/>
      <c r="M248" s="6"/>
      <c r="N248" s="7"/>
      <c r="O248" s="23"/>
      <c r="P248" s="6"/>
      <c r="Q248" s="6"/>
      <c r="R248" s="31"/>
      <c r="S248" s="6"/>
      <c r="T248" s="31"/>
      <c r="U248" s="6"/>
      <c r="V248" s="23"/>
      <c r="W248" s="6"/>
      <c r="X248" s="6"/>
      <c r="Y248" s="5"/>
      <c r="Z248" s="3"/>
      <c r="AA248" s="6">
        <f>H248*I248/100</f>
      </c>
      <c r="AB248" s="6">
        <f>H248*J248/100</f>
      </c>
      <c r="AC248" s="7">
        <f>H248*K248</f>
      </c>
      <c r="AD248" s="7">
        <f>H248*M248</f>
      </c>
      <c r="AE248" s="6">
        <f>H248*L248/100</f>
      </c>
      <c r="AF248" s="6">
        <f>AA248+AB248+AE248</f>
      </c>
      <c r="AG248" s="6">
        <f>I248+J248+L248</f>
      </c>
      <c r="AH248" s="53">
        <f>$H248*I248</f>
      </c>
      <c r="AI248" s="53">
        <f>$H248*J248</f>
      </c>
      <c r="AJ248" s="53">
        <f>$H248*K248</f>
      </c>
      <c r="AK248" s="53">
        <f>$H248*L248</f>
      </c>
      <c r="AL248" s="53">
        <f>$H248*M248</f>
      </c>
      <c r="AM248" s="3"/>
      <c r="AN248" s="5"/>
      <c r="AO248" s="5"/>
      <c r="AP248" s="5"/>
      <c r="AQ248" s="3"/>
    </row>
    <row x14ac:dyDescent="0.25" r="249" customHeight="1" ht="12.75">
      <c r="A249" s="5" t="s">
        <v>268</v>
      </c>
      <c r="B249" s="3" t="s">
        <v>1100</v>
      </c>
      <c r="C249" s="3" t="s">
        <v>866</v>
      </c>
      <c r="D249" s="3" t="s">
        <v>988</v>
      </c>
      <c r="E249" s="3" t="s">
        <v>855</v>
      </c>
      <c r="F249" s="3" t="s">
        <v>1171</v>
      </c>
      <c r="G249" s="3" t="s">
        <v>1367</v>
      </c>
      <c r="H249" s="6">
        <v>17.24</v>
      </c>
      <c r="I249" s="6">
        <v>4.85</v>
      </c>
      <c r="J249" s="6">
        <v>6.39</v>
      </c>
      <c r="K249" s="6">
        <v>71.6</v>
      </c>
      <c r="L249" s="6"/>
      <c r="M249" s="6">
        <v>0.75</v>
      </c>
      <c r="N249" s="7"/>
      <c r="O249" s="23"/>
      <c r="P249" s="6"/>
      <c r="Q249" s="6"/>
      <c r="R249" s="31"/>
      <c r="S249" s="6"/>
      <c r="T249" s="31"/>
      <c r="U249" s="6"/>
      <c r="V249" s="23"/>
      <c r="W249" s="6"/>
      <c r="X249" s="6"/>
      <c r="Y249" s="5"/>
      <c r="Z249" s="3"/>
      <c r="AA249" s="6">
        <f>H249*I249/100</f>
      </c>
      <c r="AB249" s="6">
        <f>H249*J249/100</f>
      </c>
      <c r="AC249" s="7">
        <f>H249*K249</f>
      </c>
      <c r="AD249" s="7">
        <f>H249*M249</f>
      </c>
      <c r="AE249" s="6">
        <f>H249*L249/100</f>
      </c>
      <c r="AF249" s="6">
        <f>AA249+AB249+AE249</f>
      </c>
      <c r="AG249" s="6">
        <f>I249+J249+L249</f>
      </c>
      <c r="AH249" s="53">
        <f>$H249*I249</f>
      </c>
      <c r="AI249" s="53">
        <f>$H249*J249</f>
      </c>
      <c r="AJ249" s="53">
        <f>$H249*K249</f>
      </c>
      <c r="AK249" s="53">
        <f>$H249*L249</f>
      </c>
      <c r="AL249" s="53">
        <f>$H249*M249</f>
      </c>
      <c r="AM249" s="3"/>
      <c r="AN249" s="5"/>
      <c r="AO249" s="5"/>
      <c r="AP249" s="5"/>
      <c r="AQ249" s="3"/>
    </row>
    <row x14ac:dyDescent="0.25" r="250" customHeight="1" ht="12.75">
      <c r="A250" s="5" t="s">
        <v>538</v>
      </c>
      <c r="B250" s="3" t="s">
        <v>1100</v>
      </c>
      <c r="C250" s="3" t="s">
        <v>1014</v>
      </c>
      <c r="D250" s="3"/>
      <c r="E250" s="38" t="s">
        <v>859</v>
      </c>
      <c r="F250" s="3" t="s">
        <v>1397</v>
      </c>
      <c r="G250" s="3" t="s">
        <v>1367</v>
      </c>
      <c r="H250" s="23">
        <v>0.20095</v>
      </c>
      <c r="I250" s="6">
        <v>3.18</v>
      </c>
      <c r="J250" s="6">
        <v>4.01</v>
      </c>
      <c r="K250" s="6">
        <v>91.89</v>
      </c>
      <c r="L250" s="6"/>
      <c r="M250" s="6"/>
      <c r="N250" s="7"/>
      <c r="O250" s="23"/>
      <c r="P250" s="6"/>
      <c r="Q250" s="6"/>
      <c r="R250" s="31"/>
      <c r="S250" s="6"/>
      <c r="T250" s="31"/>
      <c r="U250" s="6"/>
      <c r="V250" s="23"/>
      <c r="W250" s="6"/>
      <c r="X250" s="6"/>
      <c r="Y250" s="5"/>
      <c r="Z250" s="3"/>
      <c r="AA250" s="6">
        <f>H250*I250/100</f>
      </c>
      <c r="AB250" s="6">
        <f>H250*J250/100</f>
      </c>
      <c r="AC250" s="7">
        <f>H250*K250</f>
      </c>
      <c r="AD250" s="7">
        <f>H250*M250</f>
      </c>
      <c r="AE250" s="6">
        <f>H250*L250/100</f>
      </c>
      <c r="AF250" s="6">
        <f>AA250+AB250+AE250</f>
      </c>
      <c r="AG250" s="6">
        <f>I250+J250+L250</f>
      </c>
      <c r="AH250" s="53">
        <f>$H250*I250</f>
      </c>
      <c r="AI250" s="53">
        <f>$H250*J250</f>
      </c>
      <c r="AJ250" s="53">
        <f>$H250*K250</f>
      </c>
      <c r="AK250" s="53">
        <f>$H250*L250</f>
      </c>
      <c r="AL250" s="53">
        <f>$H250*M250</f>
      </c>
      <c r="AM250" s="3"/>
      <c r="AN250" s="5"/>
      <c r="AO250" s="5"/>
      <c r="AP250" s="5"/>
      <c r="AQ250" s="3"/>
    </row>
    <row x14ac:dyDescent="0.25" r="251" customHeight="1" ht="12.75">
      <c r="A251" s="5" t="s">
        <v>352</v>
      </c>
      <c r="B251" s="3" t="s">
        <v>1100</v>
      </c>
      <c r="C251" s="3" t="s">
        <v>866</v>
      </c>
      <c r="D251" s="3" t="s">
        <v>988</v>
      </c>
      <c r="E251" s="3" t="s">
        <v>855</v>
      </c>
      <c r="F251" s="3" t="s">
        <v>1171</v>
      </c>
      <c r="G251" s="3" t="s">
        <v>1367</v>
      </c>
      <c r="H251" s="6">
        <f>1.589+17.06</f>
      </c>
      <c r="I251" s="6">
        <f>(3.56*1.589+2.6*17.06)/$H251</f>
      </c>
      <c r="J251" s="6">
        <f>(5.34*1.589+4.34*17.06)/$H251</f>
      </c>
      <c r="K251" s="31">
        <f>(58*1.589+44*17.06)/$H251</f>
      </c>
      <c r="L251" s="6"/>
      <c r="M251" s="6">
        <f>(0.83*1.589+0.74*17.06)/$H251</f>
      </c>
      <c r="N251" s="7"/>
      <c r="O251" s="23"/>
      <c r="P251" s="6"/>
      <c r="Q251" s="6"/>
      <c r="R251" s="31"/>
      <c r="S251" s="6"/>
      <c r="T251" s="31"/>
      <c r="U251" s="6"/>
      <c r="V251" s="23"/>
      <c r="W251" s="6"/>
      <c r="X251" s="6"/>
      <c r="Y251" s="5"/>
      <c r="Z251" s="3"/>
      <c r="AA251" s="6">
        <f>H251*I251/100</f>
      </c>
      <c r="AB251" s="6">
        <f>H251*J251/100</f>
      </c>
      <c r="AC251" s="7">
        <f>H251*K251</f>
      </c>
      <c r="AD251" s="7">
        <f>H251*M251</f>
      </c>
      <c r="AE251" s="6">
        <f>H251*L251/100</f>
      </c>
      <c r="AF251" s="6">
        <f>AA251+AB251+AE251</f>
      </c>
      <c r="AG251" s="6">
        <f>I251+J251+L251</f>
      </c>
      <c r="AH251" s="53">
        <f>$H251*I251</f>
      </c>
      <c r="AI251" s="53">
        <f>$H251*J251</f>
      </c>
      <c r="AJ251" s="53">
        <f>$H251*K251</f>
      </c>
      <c r="AK251" s="53">
        <f>$H251*L251</f>
      </c>
      <c r="AL251" s="53">
        <f>$H251*M251</f>
      </c>
      <c r="AM251" s="3"/>
      <c r="AN251" s="5"/>
      <c r="AO251" s="5"/>
      <c r="AP251" s="5"/>
      <c r="AQ251" s="3"/>
    </row>
    <row x14ac:dyDescent="0.25" r="252" customHeight="1" ht="12.75">
      <c r="A252" s="5" t="s">
        <v>674</v>
      </c>
      <c r="B252" s="3" t="s">
        <v>1100</v>
      </c>
      <c r="C252" s="3" t="s">
        <v>866</v>
      </c>
      <c r="D252" s="3" t="s">
        <v>988</v>
      </c>
      <c r="E252" s="38" t="s">
        <v>859</v>
      </c>
      <c r="F252" s="3" t="s">
        <v>1171</v>
      </c>
      <c r="G252" s="3" t="s">
        <v>1173</v>
      </c>
      <c r="H252" s="6">
        <v>6.45</v>
      </c>
      <c r="I252" s="6">
        <v>0.77</v>
      </c>
      <c r="J252" s="6">
        <v>4.1</v>
      </c>
      <c r="K252" s="6">
        <v>4.8</v>
      </c>
      <c r="L252" s="6"/>
      <c r="M252" s="6"/>
      <c r="N252" s="7"/>
      <c r="O252" s="23"/>
      <c r="P252" s="6"/>
      <c r="Q252" s="6"/>
      <c r="R252" s="31"/>
      <c r="S252" s="6"/>
      <c r="T252" s="31"/>
      <c r="U252" s="6"/>
      <c r="V252" s="23"/>
      <c r="W252" s="6"/>
      <c r="X252" s="6"/>
      <c r="Y252" s="5"/>
      <c r="Z252" s="3"/>
      <c r="AA252" s="6">
        <f>H252*I252/100</f>
      </c>
      <c r="AB252" s="6">
        <f>H252*J252/100</f>
      </c>
      <c r="AC252" s="7">
        <f>H252*K252</f>
      </c>
      <c r="AD252" s="7">
        <f>H252*M252</f>
      </c>
      <c r="AE252" s="6">
        <f>H252*L252/100</f>
      </c>
      <c r="AF252" s="6">
        <f>AA252+AB252+AE252</f>
      </c>
      <c r="AG252" s="6">
        <f>I252+J252+L252</f>
      </c>
      <c r="AH252" s="53">
        <f>$H252*I252</f>
      </c>
      <c r="AI252" s="53">
        <f>$H252*J252</f>
      </c>
      <c r="AJ252" s="53">
        <f>$H252*K252</f>
      </c>
      <c r="AK252" s="53">
        <f>$H252*L252</f>
      </c>
      <c r="AL252" s="53">
        <f>$H252*M252</f>
      </c>
      <c r="AM252" s="3"/>
      <c r="AN252" s="5"/>
      <c r="AO252" s="5"/>
      <c r="AP252" s="5"/>
      <c r="AQ252" s="3"/>
    </row>
    <row x14ac:dyDescent="0.25" r="253" customHeight="1" ht="12.75">
      <c r="A253" s="5" t="s">
        <v>119</v>
      </c>
      <c r="B253" s="3" t="s">
        <v>1100</v>
      </c>
      <c r="C253" s="3" t="s">
        <v>870</v>
      </c>
      <c r="D253" s="3"/>
      <c r="E253" s="3" t="s">
        <v>855</v>
      </c>
      <c r="F253" s="3" t="s">
        <v>1180</v>
      </c>
      <c r="G253" s="3" t="s">
        <v>1181</v>
      </c>
      <c r="H253" s="5">
        <f>27+60</f>
      </c>
      <c r="I253" s="7">
        <f>(0.6*27+0.5*60)/$H253</f>
      </c>
      <c r="J253" s="7">
        <f>(4.5*27+3.5*60)/$H253</f>
      </c>
      <c r="K253" s="31">
        <f>(130*27+150*60)/$H253</f>
      </c>
      <c r="L253" s="7">
        <f>(0.5*27+0.4*60)/$H253</f>
      </c>
      <c r="M253" s="7">
        <f>(0.3*27+0.2*60)/$H253</f>
      </c>
      <c r="N253" s="7"/>
      <c r="O253" s="23"/>
      <c r="P253" s="6"/>
      <c r="Q253" s="6"/>
      <c r="R253" s="31"/>
      <c r="S253" s="6"/>
      <c r="T253" s="31"/>
      <c r="U253" s="6"/>
      <c r="V253" s="23"/>
      <c r="W253" s="6"/>
      <c r="X253" s="6"/>
      <c r="Y253" s="5"/>
      <c r="Z253" s="3"/>
      <c r="AA253" s="6">
        <f>H253*I253/100</f>
      </c>
      <c r="AB253" s="6">
        <f>H253*J253/100</f>
      </c>
      <c r="AC253" s="7">
        <f>H253*K253</f>
      </c>
      <c r="AD253" s="7">
        <f>H253*M253</f>
      </c>
      <c r="AE253" s="6">
        <f>H253*L253/100</f>
      </c>
      <c r="AF253" s="6">
        <f>AA253+AB253+AE253</f>
      </c>
      <c r="AG253" s="6">
        <f>I253+J253+L253</f>
      </c>
      <c r="AH253" s="53">
        <f>$H253*I253</f>
      </c>
      <c r="AI253" s="53">
        <f>$H253*J253</f>
      </c>
      <c r="AJ253" s="53">
        <f>$H253*K253</f>
      </c>
      <c r="AK253" s="53">
        <f>$H253*L253</f>
      </c>
      <c r="AL253" s="53">
        <f>$H253*M253</f>
      </c>
      <c r="AM253" s="3"/>
      <c r="AN253" s="5"/>
      <c r="AO253" s="5"/>
      <c r="AP253" s="5"/>
      <c r="AQ253" s="3"/>
    </row>
    <row x14ac:dyDescent="0.25" r="254" customHeight="1" ht="12.75">
      <c r="A254" s="5" t="s">
        <v>354</v>
      </c>
      <c r="B254" s="3" t="s">
        <v>1100</v>
      </c>
      <c r="C254" s="3" t="s">
        <v>870</v>
      </c>
      <c r="D254" s="3"/>
      <c r="E254" s="3" t="s">
        <v>855</v>
      </c>
      <c r="F254" s="3" t="s">
        <v>1362</v>
      </c>
      <c r="G254" s="3" t="s">
        <v>1398</v>
      </c>
      <c r="H254" s="23">
        <f>6.2621+6.0782</f>
      </c>
      <c r="I254" s="6">
        <f>(2.58*6.2621+1.83*6.0782)/$H254</f>
      </c>
      <c r="J254" s="6">
        <f>(8.13*6.2621+6.69*6.0782)/$H254</f>
      </c>
      <c r="K254" s="7">
        <f>(30.78*6.2621+20.51*6.0782)/$H254</f>
      </c>
      <c r="L254" s="6">
        <f>(0.22*6.2621+0.14*6.0782)/$H254</f>
      </c>
      <c r="M254" s="6"/>
      <c r="N254" s="7"/>
      <c r="O254" s="23"/>
      <c r="P254" s="6"/>
      <c r="Q254" s="6"/>
      <c r="R254" s="31"/>
      <c r="S254" s="6"/>
      <c r="T254" s="31"/>
      <c r="U254" s="6"/>
      <c r="V254" s="23"/>
      <c r="W254" s="6"/>
      <c r="X254" s="6"/>
      <c r="Y254" s="5"/>
      <c r="Z254" s="3"/>
      <c r="AA254" s="6">
        <f>H254*I254/100</f>
      </c>
      <c r="AB254" s="6">
        <f>H254*J254/100</f>
      </c>
      <c r="AC254" s="7">
        <f>H254*K254</f>
      </c>
      <c r="AD254" s="7">
        <f>H254*M254</f>
      </c>
      <c r="AE254" s="6">
        <f>H254*L254/100</f>
      </c>
      <c r="AF254" s="6">
        <f>AA254+AB254+AE254</f>
      </c>
      <c r="AG254" s="6">
        <f>I254+J254+L254</f>
      </c>
      <c r="AH254" s="53">
        <f>$H254*I254</f>
      </c>
      <c r="AI254" s="53">
        <f>$H254*J254</f>
      </c>
      <c r="AJ254" s="53">
        <f>$H254*K254</f>
      </c>
      <c r="AK254" s="53">
        <f>$H254*L254</f>
      </c>
      <c r="AL254" s="53">
        <f>$H254*M254</f>
      </c>
      <c r="AM254" s="3"/>
      <c r="AN254" s="5"/>
      <c r="AO254" s="5"/>
      <c r="AP254" s="5"/>
      <c r="AQ254" s="3"/>
    </row>
    <row x14ac:dyDescent="0.25" r="255" customHeight="1" ht="12.75">
      <c r="A255" s="5" t="s">
        <v>445</v>
      </c>
      <c r="B255" s="3" t="s">
        <v>1100</v>
      </c>
      <c r="C255" s="3" t="s">
        <v>870</v>
      </c>
      <c r="D255" s="3"/>
      <c r="E255" s="38" t="s">
        <v>859</v>
      </c>
      <c r="F255" s="3" t="s">
        <v>1171</v>
      </c>
      <c r="G255" s="3" t="s">
        <v>1367</v>
      </c>
      <c r="H255" s="23">
        <v>0.523849</v>
      </c>
      <c r="I255" s="6">
        <v>0.87</v>
      </c>
      <c r="J255" s="6">
        <v>3.65</v>
      </c>
      <c r="K255" s="6">
        <v>49.7</v>
      </c>
      <c r="L255" s="6">
        <v>1.45</v>
      </c>
      <c r="M255" s="6">
        <v>1.41</v>
      </c>
      <c r="N255" s="7"/>
      <c r="O255" s="23"/>
      <c r="P255" s="6"/>
      <c r="Q255" s="6"/>
      <c r="R255" s="31"/>
      <c r="S255" s="6"/>
      <c r="T255" s="31"/>
      <c r="U255" s="6"/>
      <c r="V255" s="23"/>
      <c r="W255" s="6"/>
      <c r="X255" s="6"/>
      <c r="Y255" s="5"/>
      <c r="Z255" s="3"/>
      <c r="AA255" s="6">
        <f>H255*I255/100</f>
      </c>
      <c r="AB255" s="6">
        <f>H255*J255/100</f>
      </c>
      <c r="AC255" s="7">
        <f>H255*K255</f>
      </c>
      <c r="AD255" s="7">
        <f>H255*M255</f>
      </c>
      <c r="AE255" s="6">
        <f>H255*L255/100</f>
      </c>
      <c r="AF255" s="6">
        <f>AA255+AB255+AE255</f>
      </c>
      <c r="AG255" s="6">
        <f>I255+J255+L255</f>
      </c>
      <c r="AH255" s="53">
        <f>$H255*I255</f>
      </c>
      <c r="AI255" s="53">
        <f>$H255*J255</f>
      </c>
      <c r="AJ255" s="53">
        <f>$H255*K255</f>
      </c>
      <c r="AK255" s="53">
        <f>$H255*L255</f>
      </c>
      <c r="AL255" s="53">
        <f>$H255*M255</f>
      </c>
      <c r="AM255" s="3"/>
      <c r="AN255" s="5"/>
      <c r="AO255" s="5"/>
      <c r="AP255" s="5"/>
      <c r="AQ255" s="3"/>
    </row>
    <row x14ac:dyDescent="0.25" r="256" customHeight="1" ht="12.75">
      <c r="A256" s="5" t="s">
        <v>292</v>
      </c>
      <c r="B256" s="3" t="s">
        <v>1100</v>
      </c>
      <c r="C256" s="3" t="s">
        <v>870</v>
      </c>
      <c r="D256" s="3"/>
      <c r="E256" s="3" t="s">
        <v>855</v>
      </c>
      <c r="F256" s="3" t="s">
        <v>1230</v>
      </c>
      <c r="G256" s="3" t="s">
        <v>1177</v>
      </c>
      <c r="H256" s="6">
        <f>7.9+6</f>
      </c>
      <c r="I256" s="7">
        <f>(0.3*7.9+0.4*6)/$H256</f>
      </c>
      <c r="J256" s="7">
        <f>(3.5*7.9+4.3*6)/$H256</f>
      </c>
      <c r="K256" s="31">
        <f>(83*7.9+84*6)/$H256</f>
      </c>
      <c r="L256" s="7">
        <f>(3*7.9+1.8*6)/$H256</f>
      </c>
      <c r="M256" s="7">
        <f>(1.3*7.9+1.3*6)/$H256</f>
      </c>
      <c r="N256" s="7"/>
      <c r="O256" s="23"/>
      <c r="P256" s="6"/>
      <c r="Q256" s="6"/>
      <c r="R256" s="31"/>
      <c r="S256" s="6"/>
      <c r="T256" s="31"/>
      <c r="U256" s="6"/>
      <c r="V256" s="23"/>
      <c r="W256" s="6"/>
      <c r="X256" s="6"/>
      <c r="Y256" s="5"/>
      <c r="Z256" s="3"/>
      <c r="AA256" s="6">
        <f>H256*I256/100</f>
      </c>
      <c r="AB256" s="6">
        <f>H256*J256/100</f>
      </c>
      <c r="AC256" s="7">
        <f>H256*K256</f>
      </c>
      <c r="AD256" s="7">
        <f>H256*M256</f>
      </c>
      <c r="AE256" s="6">
        <f>H256*L256/100</f>
      </c>
      <c r="AF256" s="6">
        <f>AA256+AB256+AE256</f>
      </c>
      <c r="AG256" s="6">
        <f>I256+J256+L256</f>
      </c>
      <c r="AH256" s="53">
        <f>$H256*I256</f>
      </c>
      <c r="AI256" s="53">
        <f>$H256*J256</f>
      </c>
      <c r="AJ256" s="53">
        <f>$H256*K256</f>
      </c>
      <c r="AK256" s="53">
        <f>$H256*L256</f>
      </c>
      <c r="AL256" s="53">
        <f>$H256*M256</f>
      </c>
      <c r="AM256" s="3"/>
      <c r="AN256" s="5"/>
      <c r="AO256" s="5"/>
      <c r="AP256" s="5"/>
      <c r="AQ256" s="3"/>
    </row>
    <row x14ac:dyDescent="0.25" r="257" customHeight="1" ht="12.75">
      <c r="A257" s="5" t="s">
        <v>5</v>
      </c>
      <c r="B257" s="3" t="s">
        <v>1100</v>
      </c>
      <c r="C257" s="3" t="s">
        <v>1014</v>
      </c>
      <c r="D257" s="3"/>
      <c r="E257" s="38" t="s">
        <v>859</v>
      </c>
      <c r="F257" s="3" t="s">
        <v>1171</v>
      </c>
      <c r="G257" s="3" t="s">
        <v>1342</v>
      </c>
      <c r="H257" s="23">
        <v>0.036287</v>
      </c>
      <c r="I257" s="6">
        <v>14.95</v>
      </c>
      <c r="J257" s="6">
        <v>20.78</v>
      </c>
      <c r="K257" s="6">
        <v>427.2</v>
      </c>
      <c r="L257" s="6"/>
      <c r="M257" s="6"/>
      <c r="N257" s="7"/>
      <c r="O257" s="23"/>
      <c r="P257" s="6"/>
      <c r="Q257" s="6"/>
      <c r="R257" s="31"/>
      <c r="S257" s="6"/>
      <c r="T257" s="31"/>
      <c r="U257" s="6"/>
      <c r="V257" s="23"/>
      <c r="W257" s="6"/>
      <c r="X257" s="6"/>
      <c r="Y257" s="5"/>
      <c r="Z257" s="3"/>
      <c r="AA257" s="6">
        <f>H257*I257/100</f>
      </c>
      <c r="AB257" s="6">
        <f>H257*J257/100</f>
      </c>
      <c r="AC257" s="7">
        <f>H257*K257</f>
      </c>
      <c r="AD257" s="7">
        <f>H257*M257</f>
      </c>
      <c r="AE257" s="6">
        <f>H257*L257/100</f>
      </c>
      <c r="AF257" s="6">
        <f>AA257+AB257+AE257</f>
      </c>
      <c r="AG257" s="6">
        <f>I257+J257+L257</f>
      </c>
      <c r="AH257" s="53">
        <f>$H257*I257</f>
      </c>
      <c r="AI257" s="53">
        <f>$H257*J257</f>
      </c>
      <c r="AJ257" s="53">
        <f>$H257*K257</f>
      </c>
      <c r="AK257" s="53">
        <f>$H257*L257</f>
      </c>
      <c r="AL257" s="53">
        <f>$H257*M257</f>
      </c>
      <c r="AM257" s="3"/>
      <c r="AN257" s="5"/>
      <c r="AO257" s="5"/>
      <c r="AP257" s="5"/>
      <c r="AQ257" s="3"/>
    </row>
    <row x14ac:dyDescent="0.25" r="258" customHeight="1" ht="12.75">
      <c r="A258" s="5" t="s">
        <v>549</v>
      </c>
      <c r="B258" s="3" t="s">
        <v>1100</v>
      </c>
      <c r="C258" s="3" t="s">
        <v>870</v>
      </c>
      <c r="D258" s="3"/>
      <c r="E258" s="38" t="s">
        <v>859</v>
      </c>
      <c r="F258" s="3" t="s">
        <v>1171</v>
      </c>
      <c r="G258" s="3" t="s">
        <v>1342</v>
      </c>
      <c r="H258" s="23">
        <v>0.249906</v>
      </c>
      <c r="I258" s="6">
        <v>1.24</v>
      </c>
      <c r="J258" s="6">
        <v>2.19</v>
      </c>
      <c r="K258" s="6">
        <v>226.6</v>
      </c>
      <c r="L258" s="6">
        <v>0.28</v>
      </c>
      <c r="M258" s="6">
        <v>0.58</v>
      </c>
      <c r="N258" s="7"/>
      <c r="O258" s="23"/>
      <c r="P258" s="6"/>
      <c r="Q258" s="6"/>
      <c r="R258" s="31"/>
      <c r="S258" s="6"/>
      <c r="T258" s="31"/>
      <c r="U258" s="6"/>
      <c r="V258" s="23"/>
      <c r="W258" s="6"/>
      <c r="X258" s="6"/>
      <c r="Y258" s="5"/>
      <c r="Z258" s="3"/>
      <c r="AA258" s="6">
        <f>H258*I258/100</f>
      </c>
      <c r="AB258" s="6">
        <f>H258*J258/100</f>
      </c>
      <c r="AC258" s="7">
        <f>H258*K258</f>
      </c>
      <c r="AD258" s="7">
        <f>H258*M258</f>
      </c>
      <c r="AE258" s="6">
        <f>H258*L258/100</f>
      </c>
      <c r="AF258" s="6">
        <f>AA258+AB258+AE258</f>
      </c>
      <c r="AG258" s="6">
        <f>I258+J258+L258</f>
      </c>
      <c r="AH258" s="53">
        <f>$H258*I258</f>
      </c>
      <c r="AI258" s="53">
        <f>$H258*J258</f>
      </c>
      <c r="AJ258" s="53">
        <f>$H258*K258</f>
      </c>
      <c r="AK258" s="53">
        <f>$H258*L258</f>
      </c>
      <c r="AL258" s="53">
        <f>$H258*M258</f>
      </c>
      <c r="AM258" s="3"/>
      <c r="AN258" s="5"/>
      <c r="AO258" s="5"/>
      <c r="AP258" s="5"/>
      <c r="AQ258" s="3"/>
    </row>
    <row x14ac:dyDescent="0.25" r="259" customHeight="1" ht="12.75">
      <c r="A259" s="5" t="s">
        <v>281</v>
      </c>
      <c r="B259" s="3" t="s">
        <v>1100</v>
      </c>
      <c r="C259" s="3" t="s">
        <v>870</v>
      </c>
      <c r="D259" s="3"/>
      <c r="E259" s="3" t="s">
        <v>855</v>
      </c>
      <c r="F259" s="3" t="s">
        <v>1399</v>
      </c>
      <c r="G259" s="3" t="s">
        <v>1400</v>
      </c>
      <c r="H259" s="23">
        <v>67.6178</v>
      </c>
      <c r="I259" s="6"/>
      <c r="J259" s="6">
        <v>0.72</v>
      </c>
      <c r="K259" s="5"/>
      <c r="L259" s="6">
        <v>0.17</v>
      </c>
      <c r="M259" s="6">
        <v>1.82</v>
      </c>
      <c r="N259" s="7"/>
      <c r="O259" s="23"/>
      <c r="P259" s="6"/>
      <c r="Q259" s="6"/>
      <c r="R259" s="31"/>
      <c r="S259" s="6"/>
      <c r="T259" s="31"/>
      <c r="U259" s="6"/>
      <c r="V259" s="23"/>
      <c r="W259" s="6"/>
      <c r="X259" s="6"/>
      <c r="Y259" s="5"/>
      <c r="Z259" s="3"/>
      <c r="AA259" s="6">
        <f>H259*I259/100</f>
      </c>
      <c r="AB259" s="6">
        <f>H259*J259/100</f>
      </c>
      <c r="AC259" s="7">
        <f>H259*K259</f>
      </c>
      <c r="AD259" s="7">
        <f>H259*M259</f>
      </c>
      <c r="AE259" s="6">
        <f>H259*L259/100</f>
      </c>
      <c r="AF259" s="6">
        <f>AA259+AB259+AE259</f>
      </c>
      <c r="AG259" s="6">
        <f>I259+J259+L259</f>
      </c>
      <c r="AH259" s="53">
        <f>$H259*I259</f>
      </c>
      <c r="AI259" s="53">
        <f>$H259*J259</f>
      </c>
      <c r="AJ259" s="53">
        <f>$H259*K259</f>
      </c>
      <c r="AK259" s="53">
        <f>$H259*L259</f>
      </c>
      <c r="AL259" s="53">
        <f>$H259*M259</f>
      </c>
      <c r="AM259" s="3"/>
      <c r="AN259" s="5"/>
      <c r="AO259" s="5"/>
      <c r="AP259" s="5"/>
      <c r="AQ259" s="3"/>
    </row>
    <row x14ac:dyDescent="0.25" r="260" customHeight="1" ht="12.75">
      <c r="A260" s="5" t="s">
        <v>104</v>
      </c>
      <c r="B260" s="3" t="s">
        <v>1100</v>
      </c>
      <c r="C260" s="3" t="s">
        <v>866</v>
      </c>
      <c r="D260" s="3" t="s">
        <v>988</v>
      </c>
      <c r="E260" s="3" t="s">
        <v>855</v>
      </c>
      <c r="F260" s="3" t="s">
        <v>1401</v>
      </c>
      <c r="G260" s="3" t="s">
        <v>1402</v>
      </c>
      <c r="H260" s="6">
        <f>16.92+16.05+17.98+40.12+6.88</f>
      </c>
      <c r="I260" s="6">
        <f>(1.2*16.92+1.08*16.05+1.51*17.98+1.48*40.12+1.25*6.88)/$H260</f>
      </c>
      <c r="J260" s="6">
        <f>(4.15*16.92+4.04*16.05+4.52*17.98+4.63*40.12+4.3*6.88)/$H260</f>
      </c>
      <c r="K260" s="5"/>
      <c r="L260" s="6"/>
      <c r="M260" s="6"/>
      <c r="N260" s="7"/>
      <c r="O260" s="23"/>
      <c r="P260" s="6"/>
      <c r="Q260" s="6"/>
      <c r="R260" s="31"/>
      <c r="S260" s="6"/>
      <c r="T260" s="31"/>
      <c r="U260" s="6"/>
      <c r="V260" s="23"/>
      <c r="W260" s="6"/>
      <c r="X260" s="6"/>
      <c r="Y260" s="5"/>
      <c r="Z260" s="3"/>
      <c r="AA260" s="6">
        <f>H260*I260/100</f>
      </c>
      <c r="AB260" s="6">
        <f>H260*J260/100</f>
      </c>
      <c r="AC260" s="7">
        <f>H260*K260</f>
      </c>
      <c r="AD260" s="7">
        <f>H260*M260</f>
      </c>
      <c r="AE260" s="6">
        <f>H260*L260/100</f>
      </c>
      <c r="AF260" s="6">
        <f>AA260+AB260+AE260</f>
      </c>
      <c r="AG260" s="6">
        <f>I260+J260+L260</f>
      </c>
      <c r="AH260" s="53">
        <f>$H260*I260</f>
      </c>
      <c r="AI260" s="53">
        <f>$H260*J260</f>
      </c>
      <c r="AJ260" s="53">
        <f>$H260*K260</f>
      </c>
      <c r="AK260" s="53">
        <f>$H260*L260</f>
      </c>
      <c r="AL260" s="53">
        <f>$H260*M260</f>
      </c>
      <c r="AM260" s="3"/>
      <c r="AN260" s="5"/>
      <c r="AO260" s="5"/>
      <c r="AP260" s="5"/>
      <c r="AQ260" s="3"/>
    </row>
    <row x14ac:dyDescent="0.25" r="261" customHeight="1" ht="12.75">
      <c r="A261" s="5" t="s">
        <v>523</v>
      </c>
      <c r="B261" s="3" t="s">
        <v>1100</v>
      </c>
      <c r="C261" s="3" t="s">
        <v>866</v>
      </c>
      <c r="D261" s="3" t="s">
        <v>988</v>
      </c>
      <c r="E261" s="3" t="s">
        <v>855</v>
      </c>
      <c r="F261" s="3" t="s">
        <v>1401</v>
      </c>
      <c r="G261" s="3" t="s">
        <v>1402</v>
      </c>
      <c r="H261" s="6">
        <v>12.1</v>
      </c>
      <c r="I261" s="6">
        <v>1.16</v>
      </c>
      <c r="J261" s="6">
        <v>4.31</v>
      </c>
      <c r="K261" s="5"/>
      <c r="L261" s="6"/>
      <c r="M261" s="6"/>
      <c r="N261" s="7"/>
      <c r="O261" s="23"/>
      <c r="P261" s="6"/>
      <c r="Q261" s="6"/>
      <c r="R261" s="31"/>
      <c r="S261" s="6"/>
      <c r="T261" s="31"/>
      <c r="U261" s="6"/>
      <c r="V261" s="23"/>
      <c r="W261" s="6"/>
      <c r="X261" s="6"/>
      <c r="Y261" s="5"/>
      <c r="Z261" s="3"/>
      <c r="AA261" s="6">
        <f>H261*I261/100</f>
      </c>
      <c r="AB261" s="6">
        <f>H261*J261/100</f>
      </c>
      <c r="AC261" s="7">
        <f>H261*K261</f>
      </c>
      <c r="AD261" s="7">
        <f>H261*M261</f>
      </c>
      <c r="AE261" s="6">
        <f>H261*L261/100</f>
      </c>
      <c r="AF261" s="6">
        <f>AA261+AB261+AE261</f>
      </c>
      <c r="AG261" s="6">
        <f>I261+J261+L261</f>
      </c>
      <c r="AH261" s="53">
        <f>$H261*I261</f>
      </c>
      <c r="AI261" s="53">
        <f>$H261*J261</f>
      </c>
      <c r="AJ261" s="53">
        <f>$H261*K261</f>
      </c>
      <c r="AK261" s="53">
        <f>$H261*L261</f>
      </c>
      <c r="AL261" s="53">
        <f>$H261*M261</f>
      </c>
      <c r="AM261" s="3"/>
      <c r="AN261" s="5"/>
      <c r="AO261" s="5"/>
      <c r="AP261" s="5"/>
      <c r="AQ261" s="3"/>
    </row>
    <row x14ac:dyDescent="0.25" r="262" customHeight="1" ht="12.75">
      <c r="A262" s="5" t="s">
        <v>63</v>
      </c>
      <c r="B262" s="3" t="s">
        <v>1100</v>
      </c>
      <c r="C262" s="3" t="s">
        <v>866</v>
      </c>
      <c r="D262" s="3" t="s">
        <v>988</v>
      </c>
      <c r="E262" s="3" t="s">
        <v>855</v>
      </c>
      <c r="F262" s="3" t="s">
        <v>1401</v>
      </c>
      <c r="G262" s="3" t="s">
        <v>1402</v>
      </c>
      <c r="H262" s="23">
        <f>35.49+41.77+38.1527+14.749</f>
      </c>
      <c r="I262" s="6">
        <f>(1.63*35.49+1.59*41.77+1.88*38.1527+1.59*14.749)/$H262</f>
      </c>
      <c r="J262" s="6">
        <f>(5.37*35.49+5.22*41.77+5.34*38.1527+5.13*14.749)/$H262</f>
      </c>
      <c r="K262" s="5"/>
      <c r="L262" s="6"/>
      <c r="M262" s="6"/>
      <c r="N262" s="7"/>
      <c r="O262" s="23"/>
      <c r="P262" s="6"/>
      <c r="Q262" s="6"/>
      <c r="R262" s="31"/>
      <c r="S262" s="6"/>
      <c r="T262" s="31"/>
      <c r="U262" s="6"/>
      <c r="V262" s="23"/>
      <c r="W262" s="6"/>
      <c r="X262" s="6"/>
      <c r="Y262" s="5"/>
      <c r="Z262" s="3"/>
      <c r="AA262" s="6">
        <f>H262*I262/100</f>
      </c>
      <c r="AB262" s="6">
        <f>H262*J262/100</f>
      </c>
      <c r="AC262" s="7">
        <f>H262*K262</f>
      </c>
      <c r="AD262" s="7">
        <f>H262*M262</f>
      </c>
      <c r="AE262" s="6">
        <f>H262*L262/100</f>
      </c>
      <c r="AF262" s="6">
        <f>AA262+AB262+AE262</f>
      </c>
      <c r="AG262" s="6">
        <f>I262+J262+L262</f>
      </c>
      <c r="AH262" s="53">
        <f>$H262*I262</f>
      </c>
      <c r="AI262" s="53">
        <f>$H262*J262</f>
      </c>
      <c r="AJ262" s="53">
        <f>$H262*K262</f>
      </c>
      <c r="AK262" s="53">
        <f>$H262*L262</f>
      </c>
      <c r="AL262" s="53">
        <f>$H262*M262</f>
      </c>
      <c r="AM262" s="3"/>
      <c r="AN262" s="5"/>
      <c r="AO262" s="5"/>
      <c r="AP262" s="5"/>
      <c r="AQ262" s="3"/>
    </row>
    <row x14ac:dyDescent="0.25" r="263" customHeight="1" ht="12.75">
      <c r="A263" s="5" t="s">
        <v>154</v>
      </c>
      <c r="B263" s="3" t="s">
        <v>1100</v>
      </c>
      <c r="C263" s="3" t="s">
        <v>866</v>
      </c>
      <c r="D263" s="3" t="s">
        <v>988</v>
      </c>
      <c r="E263" s="3" t="s">
        <v>855</v>
      </c>
      <c r="F263" s="3" t="s">
        <v>1401</v>
      </c>
      <c r="G263" s="3" t="s">
        <v>1402</v>
      </c>
      <c r="H263" s="6">
        <f>8.6+19.37+19.68+10.22</f>
      </c>
      <c r="I263" s="6">
        <f>(1.04*8.6+1.09*19.37+1.56*19.68+1.5*10.22)/$H263</f>
      </c>
      <c r="J263" s="6">
        <f>(4.01*8.6+3.83*19.37+5.46*19.68+5.42*10.22)/$H263</f>
      </c>
      <c r="K263" s="5"/>
      <c r="L263" s="6"/>
      <c r="M263" s="6"/>
      <c r="N263" s="7"/>
      <c r="O263" s="23"/>
      <c r="P263" s="6"/>
      <c r="Q263" s="6"/>
      <c r="R263" s="31"/>
      <c r="S263" s="6"/>
      <c r="T263" s="31"/>
      <c r="U263" s="6"/>
      <c r="V263" s="23"/>
      <c r="W263" s="6"/>
      <c r="X263" s="6"/>
      <c r="Y263" s="5"/>
      <c r="Z263" s="3"/>
      <c r="AA263" s="6">
        <f>H263*I263/100</f>
      </c>
      <c r="AB263" s="6">
        <f>H263*J263/100</f>
      </c>
      <c r="AC263" s="7">
        <f>H263*K263</f>
      </c>
      <c r="AD263" s="7">
        <f>H263*M263</f>
      </c>
      <c r="AE263" s="6">
        <f>H263*L263/100</f>
      </c>
      <c r="AF263" s="6">
        <f>AA263+AB263+AE263</f>
      </c>
      <c r="AG263" s="6">
        <f>I263+J263+L263</f>
      </c>
      <c r="AH263" s="53">
        <f>$H263*I263</f>
      </c>
      <c r="AI263" s="53">
        <f>$H263*J263</f>
      </c>
      <c r="AJ263" s="53">
        <f>$H263*K263</f>
      </c>
      <c r="AK263" s="53">
        <f>$H263*L263</f>
      </c>
      <c r="AL263" s="53">
        <f>$H263*M263</f>
      </c>
      <c r="AM263" s="3"/>
      <c r="AN263" s="5"/>
      <c r="AO263" s="5"/>
      <c r="AP263" s="5"/>
      <c r="AQ263" s="3"/>
    </row>
    <row x14ac:dyDescent="0.25" r="264" customHeight="1" ht="12.75">
      <c r="A264" s="5" t="s">
        <v>659</v>
      </c>
      <c r="B264" s="3" t="s">
        <v>1100</v>
      </c>
      <c r="C264" s="3" t="s">
        <v>866</v>
      </c>
      <c r="D264" s="3" t="s">
        <v>988</v>
      </c>
      <c r="E264" s="3" t="s">
        <v>855</v>
      </c>
      <c r="F264" s="3" t="s">
        <v>1401</v>
      </c>
      <c r="G264" s="3" t="s">
        <v>1402</v>
      </c>
      <c r="H264" s="6">
        <v>6.18</v>
      </c>
      <c r="I264" s="6">
        <v>1.23</v>
      </c>
      <c r="J264" s="6">
        <v>4.55</v>
      </c>
      <c r="K264" s="5"/>
      <c r="L264" s="6"/>
      <c r="M264" s="6"/>
      <c r="N264" s="7"/>
      <c r="O264" s="23"/>
      <c r="P264" s="6"/>
      <c r="Q264" s="6"/>
      <c r="R264" s="31"/>
      <c r="S264" s="6"/>
      <c r="T264" s="31"/>
      <c r="U264" s="6"/>
      <c r="V264" s="23"/>
      <c r="W264" s="6"/>
      <c r="X264" s="6"/>
      <c r="Y264" s="5"/>
      <c r="Z264" s="3"/>
      <c r="AA264" s="6">
        <f>H264*I264/100</f>
      </c>
      <c r="AB264" s="6">
        <f>H264*J264/100</f>
      </c>
      <c r="AC264" s="7">
        <f>H264*K264</f>
      </c>
      <c r="AD264" s="7">
        <f>H264*M264</f>
      </c>
      <c r="AE264" s="6">
        <f>H264*L264/100</f>
      </c>
      <c r="AF264" s="6">
        <f>AA264+AB264+AE264</f>
      </c>
      <c r="AG264" s="6">
        <f>I264+J264+L264</f>
      </c>
      <c r="AH264" s="53">
        <f>$H264*I264</f>
      </c>
      <c r="AI264" s="53">
        <f>$H264*J264</f>
      </c>
      <c r="AJ264" s="53">
        <f>$H264*K264</f>
      </c>
      <c r="AK264" s="53">
        <f>$H264*L264</f>
      </c>
      <c r="AL264" s="53">
        <f>$H264*M264</f>
      </c>
      <c r="AM264" s="3"/>
      <c r="AN264" s="5"/>
      <c r="AO264" s="5"/>
      <c r="AP264" s="5"/>
      <c r="AQ264" s="3"/>
    </row>
    <row x14ac:dyDescent="0.25" r="265" customHeight="1" ht="12.75">
      <c r="A265" s="5" t="s">
        <v>744</v>
      </c>
      <c r="B265" s="3" t="s">
        <v>1100</v>
      </c>
      <c r="C265" s="3" t="s">
        <v>866</v>
      </c>
      <c r="D265" s="3" t="s">
        <v>988</v>
      </c>
      <c r="E265" s="3" t="s">
        <v>855</v>
      </c>
      <c r="F265" s="3" t="s">
        <v>1401</v>
      </c>
      <c r="G265" s="3" t="s">
        <v>1402</v>
      </c>
      <c r="H265" s="6">
        <f>1.77+1.38</f>
      </c>
      <c r="I265" s="6">
        <f>(1.29*1.77+0.86*1.38)/$H265</f>
      </c>
      <c r="J265" s="6">
        <f>(4.18*1.77+2.67*1.38)/$H265</f>
      </c>
      <c r="K265" s="5"/>
      <c r="L265" s="6"/>
      <c r="M265" s="6"/>
      <c r="N265" s="7"/>
      <c r="O265" s="23"/>
      <c r="P265" s="6"/>
      <c r="Q265" s="6"/>
      <c r="R265" s="31"/>
      <c r="S265" s="6"/>
      <c r="T265" s="31"/>
      <c r="U265" s="6"/>
      <c r="V265" s="23"/>
      <c r="W265" s="6"/>
      <c r="X265" s="6"/>
      <c r="Y265" s="5"/>
      <c r="Z265" s="3"/>
      <c r="AA265" s="6">
        <f>H265*I265/100</f>
      </c>
      <c r="AB265" s="6">
        <f>H265*J265/100</f>
      </c>
      <c r="AC265" s="7">
        <f>H265*K265</f>
      </c>
      <c r="AD265" s="7">
        <f>H265*M265</f>
      </c>
      <c r="AE265" s="6">
        <f>H265*L265/100</f>
      </c>
      <c r="AF265" s="6">
        <f>AA265+AB265+AE265</f>
      </c>
      <c r="AG265" s="6">
        <f>I265+J265+L265</f>
      </c>
      <c r="AH265" s="53">
        <f>$H265*I265</f>
      </c>
      <c r="AI265" s="53">
        <f>$H265*J265</f>
      </c>
      <c r="AJ265" s="53">
        <f>$H265*K265</f>
      </c>
      <c r="AK265" s="53">
        <f>$H265*L265</f>
      </c>
      <c r="AL265" s="53">
        <f>$H265*M265</f>
      </c>
      <c r="AM265" s="3"/>
      <c r="AN265" s="5"/>
      <c r="AO265" s="5"/>
      <c r="AP265" s="5"/>
      <c r="AQ265" s="3"/>
    </row>
    <row x14ac:dyDescent="0.25" r="266" customHeight="1" ht="12.75">
      <c r="A266" s="5" t="s">
        <v>691</v>
      </c>
      <c r="B266" s="3" t="s">
        <v>1100</v>
      </c>
      <c r="C266" s="3" t="s">
        <v>866</v>
      </c>
      <c r="D266" s="3" t="s">
        <v>988</v>
      </c>
      <c r="E266" s="3" t="s">
        <v>855</v>
      </c>
      <c r="F266" s="3" t="s">
        <v>1401</v>
      </c>
      <c r="G266" s="3" t="s">
        <v>1402</v>
      </c>
      <c r="H266" s="6">
        <v>6.85</v>
      </c>
      <c r="I266" s="6">
        <v>0.9</v>
      </c>
      <c r="J266" s="6">
        <v>3.2</v>
      </c>
      <c r="K266" s="5"/>
      <c r="L266" s="6"/>
      <c r="M266" s="6"/>
      <c r="N266" s="7"/>
      <c r="O266" s="23"/>
      <c r="P266" s="6"/>
      <c r="Q266" s="6"/>
      <c r="R266" s="31"/>
      <c r="S266" s="6"/>
      <c r="T266" s="31"/>
      <c r="U266" s="6"/>
      <c r="V266" s="23"/>
      <c r="W266" s="6"/>
      <c r="X266" s="6"/>
      <c r="Y266" s="5"/>
      <c r="Z266" s="3"/>
      <c r="AA266" s="6">
        <f>H266*I266/100</f>
      </c>
      <c r="AB266" s="6">
        <f>H266*J266/100</f>
      </c>
      <c r="AC266" s="7">
        <f>H266*K266</f>
      </c>
      <c r="AD266" s="7">
        <f>H266*M266</f>
      </c>
      <c r="AE266" s="6">
        <f>H266*L266/100</f>
      </c>
      <c r="AF266" s="6">
        <f>AA266+AB266+AE266</f>
      </c>
      <c r="AG266" s="6">
        <f>I266+J266+L266</f>
      </c>
      <c r="AH266" s="53">
        <f>$H266*I266</f>
      </c>
      <c r="AI266" s="53">
        <f>$H266*J266</f>
      </c>
      <c r="AJ266" s="53">
        <f>$H266*K266</f>
      </c>
      <c r="AK266" s="53">
        <f>$H266*L266</f>
      </c>
      <c r="AL266" s="53">
        <f>$H266*M266</f>
      </c>
      <c r="AM266" s="3"/>
      <c r="AN266" s="5"/>
      <c r="AO266" s="5"/>
      <c r="AP266" s="5"/>
      <c r="AQ266" s="3"/>
    </row>
    <row x14ac:dyDescent="0.25" r="267" customHeight="1" ht="12.75">
      <c r="A267" s="5" t="s">
        <v>90</v>
      </c>
      <c r="B267" s="3" t="s">
        <v>1100</v>
      </c>
      <c r="C267" s="3" t="s">
        <v>866</v>
      </c>
      <c r="D267" s="3" t="s">
        <v>988</v>
      </c>
      <c r="E267" s="3" t="s">
        <v>855</v>
      </c>
      <c r="F267" s="3" t="s">
        <v>1401</v>
      </c>
      <c r="G267" s="3" t="s">
        <v>1402</v>
      </c>
      <c r="H267" s="23">
        <f>45.1145+44.1125+7.32+12.7544</f>
      </c>
      <c r="I267" s="6">
        <f>(2.4*45.1145+1.29*44.1125+2.2*7.32+1.4*12.7544)/$H267</f>
      </c>
      <c r="J267" s="6">
        <f>(5.7*45.1145+4.1*44.1125+4.08*7.32+4.44*12.7544)/$H267</f>
      </c>
      <c r="K267" s="5"/>
      <c r="L267" s="6"/>
      <c r="M267" s="6"/>
      <c r="N267" s="7"/>
      <c r="O267" s="23"/>
      <c r="P267" s="6"/>
      <c r="Q267" s="6"/>
      <c r="R267" s="31"/>
      <c r="S267" s="6"/>
      <c r="T267" s="31"/>
      <c r="U267" s="6"/>
      <c r="V267" s="23"/>
      <c r="W267" s="6"/>
      <c r="X267" s="6"/>
      <c r="Y267" s="5"/>
      <c r="Z267" s="3"/>
      <c r="AA267" s="6">
        <f>H267*I267/100</f>
      </c>
      <c r="AB267" s="6">
        <f>H267*J267/100</f>
      </c>
      <c r="AC267" s="7">
        <f>H267*K267</f>
      </c>
      <c r="AD267" s="7">
        <f>H267*M267</f>
      </c>
      <c r="AE267" s="6">
        <f>H267*L267/100</f>
      </c>
      <c r="AF267" s="6">
        <f>AA267+AB267+AE267</f>
      </c>
      <c r="AG267" s="6">
        <f>I267+J267+L267</f>
      </c>
      <c r="AH267" s="53">
        <f>$H267*I267</f>
      </c>
      <c r="AI267" s="53">
        <f>$H267*J267</f>
      </c>
      <c r="AJ267" s="53">
        <f>$H267*K267</f>
      </c>
      <c r="AK267" s="53">
        <f>$H267*L267</f>
      </c>
      <c r="AL267" s="53">
        <f>$H267*M267</f>
      </c>
      <c r="AM267" s="3"/>
      <c r="AN267" s="5"/>
      <c r="AO267" s="5"/>
      <c r="AP267" s="5"/>
      <c r="AQ267" s="3"/>
    </row>
    <row x14ac:dyDescent="0.25" r="268" customHeight="1" ht="12.75">
      <c r="A268" s="5" t="s">
        <v>24</v>
      </c>
      <c r="B268" s="3" t="s">
        <v>1100</v>
      </c>
      <c r="C268" s="3" t="s">
        <v>856</v>
      </c>
      <c r="D268" s="3"/>
      <c r="E268" s="38" t="s">
        <v>859</v>
      </c>
      <c r="F268" s="3" t="s">
        <v>1403</v>
      </c>
      <c r="G268" s="3" t="s">
        <v>1404</v>
      </c>
      <c r="H268" s="6">
        <v>0.03</v>
      </c>
      <c r="I268" s="6">
        <v>6.7</v>
      </c>
      <c r="J268" s="6">
        <v>17.7</v>
      </c>
      <c r="K268" s="6">
        <v>449.13</v>
      </c>
      <c r="L268" s="6"/>
      <c r="M268" s="6">
        <v>1.71</v>
      </c>
      <c r="N268" s="7"/>
      <c r="O268" s="23"/>
      <c r="P268" s="6"/>
      <c r="Q268" s="6"/>
      <c r="R268" s="31"/>
      <c r="S268" s="6"/>
      <c r="T268" s="31"/>
      <c r="U268" s="6"/>
      <c r="V268" s="23"/>
      <c r="W268" s="6"/>
      <c r="X268" s="6"/>
      <c r="Y268" s="5"/>
      <c r="Z268" s="3"/>
      <c r="AA268" s="6">
        <f>H268*I268/100</f>
      </c>
      <c r="AB268" s="6">
        <f>H268*J268/100</f>
      </c>
      <c r="AC268" s="7">
        <f>H268*K268</f>
      </c>
      <c r="AD268" s="7">
        <f>H268*M268</f>
      </c>
      <c r="AE268" s="6">
        <f>H268*L268/100</f>
      </c>
      <c r="AF268" s="6">
        <f>AA268+AB268+AE268</f>
      </c>
      <c r="AG268" s="6">
        <f>I268+J268+L268</f>
      </c>
      <c r="AH268" s="53">
        <f>$H268*I268</f>
      </c>
      <c r="AI268" s="53">
        <f>$H268*J268</f>
      </c>
      <c r="AJ268" s="53">
        <f>$H268*K268</f>
      </c>
      <c r="AK268" s="53">
        <f>$H268*L268</f>
      </c>
      <c r="AL268" s="53">
        <f>$H268*M268</f>
      </c>
      <c r="AM268" s="3"/>
      <c r="AN268" s="5"/>
      <c r="AO268" s="5"/>
      <c r="AP268" s="5"/>
      <c r="AQ268" s="3"/>
    </row>
    <row x14ac:dyDescent="0.25" r="269" customHeight="1" ht="12.75">
      <c r="A269" s="5" t="s">
        <v>401</v>
      </c>
      <c r="B269" s="3" t="s">
        <v>1100</v>
      </c>
      <c r="C269" s="3" t="s">
        <v>870</v>
      </c>
      <c r="D269" s="3"/>
      <c r="E269" s="3" t="s">
        <v>855</v>
      </c>
      <c r="F269" s="3" t="s">
        <v>1405</v>
      </c>
      <c r="G269" s="3" t="s">
        <v>1185</v>
      </c>
      <c r="H269" s="6">
        <f>4.893+5.707+0.784</f>
      </c>
      <c r="I269" s="6"/>
      <c r="J269" s="6">
        <f>(4.01*4.893+4.24*5.707+4.49*0.784)/$H269</f>
      </c>
      <c r="K269" s="7">
        <f>(24.71*4.893+24.69*5.707+30.61*0.784)/$H269</f>
      </c>
      <c r="L269" s="6">
        <f>(2.27*4.893+1.34*5.707+1.05*0.784)/$H269</f>
      </c>
      <c r="M269" s="6">
        <f>(1.84*4.893+1.79*5.707+1.77*0.784)/$H269</f>
      </c>
      <c r="N269" s="7"/>
      <c r="O269" s="23"/>
      <c r="P269" s="6"/>
      <c r="Q269" s="6"/>
      <c r="R269" s="31"/>
      <c r="S269" s="6"/>
      <c r="T269" s="31"/>
      <c r="U269" s="6"/>
      <c r="V269" s="23"/>
      <c r="W269" s="6"/>
      <c r="X269" s="6"/>
      <c r="Y269" s="5"/>
      <c r="Z269" s="3"/>
      <c r="AA269" s="6">
        <f>H269*I269/100</f>
      </c>
      <c r="AB269" s="6">
        <f>H269*J269/100</f>
      </c>
      <c r="AC269" s="7">
        <f>H269*K269</f>
      </c>
      <c r="AD269" s="7">
        <f>H269*M269</f>
      </c>
      <c r="AE269" s="6">
        <f>H269*L269/100</f>
      </c>
      <c r="AF269" s="6">
        <f>AA269+AB269+AE269</f>
      </c>
      <c r="AG269" s="6">
        <f>I269+J269+L269</f>
      </c>
      <c r="AH269" s="53">
        <f>$H269*I269</f>
      </c>
      <c r="AI269" s="53">
        <f>$H269*J269</f>
      </c>
      <c r="AJ269" s="53">
        <f>$H269*K269</f>
      </c>
      <c r="AK269" s="53">
        <f>$H269*L269</f>
      </c>
      <c r="AL269" s="53">
        <f>$H269*M269</f>
      </c>
      <c r="AM269" s="3"/>
      <c r="AN269" s="5"/>
      <c r="AO269" s="5"/>
      <c r="AP269" s="5"/>
      <c r="AQ269" s="3"/>
    </row>
    <row x14ac:dyDescent="0.25" r="270" customHeight="1" ht="12.75">
      <c r="A270" s="5" t="s">
        <v>301</v>
      </c>
      <c r="B270" s="3" t="s">
        <v>1100</v>
      </c>
      <c r="C270" s="3" t="s">
        <v>870</v>
      </c>
      <c r="D270" s="3"/>
      <c r="E270" s="3" t="s">
        <v>855</v>
      </c>
      <c r="F270" s="3" t="s">
        <v>1405</v>
      </c>
      <c r="G270" s="3" t="s">
        <v>1406</v>
      </c>
      <c r="H270" s="6">
        <f>0.662+0.388</f>
      </c>
      <c r="I270" s="6"/>
      <c r="J270" s="6">
        <f>(8.99*0.662+7.86*0.388)/H270</f>
      </c>
      <c r="K270" s="7">
        <f>(10.42*0.662+14.97*0.388)/H270</f>
      </c>
      <c r="L270" s="6">
        <f>(1.76*0.662+2.19*0.388)/H270</f>
      </c>
      <c r="M270" s="6">
        <f>(0.05*0.662+0.06*0.388)/H270</f>
      </c>
      <c r="N270" s="7"/>
      <c r="O270" s="23"/>
      <c r="P270" s="6"/>
      <c r="Q270" s="6"/>
      <c r="R270" s="31"/>
      <c r="S270" s="6"/>
      <c r="T270" s="31"/>
      <c r="U270" s="6"/>
      <c r="V270" s="23"/>
      <c r="W270" s="6"/>
      <c r="X270" s="6"/>
      <c r="Y270" s="5"/>
      <c r="Z270" s="3"/>
      <c r="AA270" s="6">
        <f>H270*I270/100</f>
      </c>
      <c r="AB270" s="6">
        <f>H270*J270/100</f>
      </c>
      <c r="AC270" s="7">
        <f>H270*K270</f>
      </c>
      <c r="AD270" s="7">
        <f>H270*M270</f>
      </c>
      <c r="AE270" s="6">
        <f>H270*L270/100</f>
      </c>
      <c r="AF270" s="6">
        <f>AA270+AB270+AE270</f>
      </c>
      <c r="AG270" s="6">
        <f>I270+J270+L270</f>
      </c>
      <c r="AH270" s="53">
        <f>$H270*I270</f>
      </c>
      <c r="AI270" s="53">
        <f>$H270*J270</f>
      </c>
      <c r="AJ270" s="53">
        <f>$H270*K270</f>
      </c>
      <c r="AK270" s="53">
        <f>$H270*L270</f>
      </c>
      <c r="AL270" s="53">
        <f>$H270*M270</f>
      </c>
      <c r="AM270" s="3"/>
      <c r="AN270" s="5"/>
      <c r="AO270" s="5"/>
      <c r="AP270" s="5"/>
      <c r="AQ270" s="3"/>
    </row>
    <row x14ac:dyDescent="0.25" r="271" customHeight="1" ht="12.75">
      <c r="A271" s="5" t="s">
        <v>262</v>
      </c>
      <c r="B271" s="3" t="s">
        <v>1100</v>
      </c>
      <c r="C271" s="3" t="s">
        <v>870</v>
      </c>
      <c r="D271" s="3"/>
      <c r="E271" s="3" t="s">
        <v>855</v>
      </c>
      <c r="F271" s="3" t="s">
        <v>1405</v>
      </c>
      <c r="G271" s="3" t="s">
        <v>1185</v>
      </c>
      <c r="H271" s="6">
        <f>15.196+10.113</f>
      </c>
      <c r="I271" s="6"/>
      <c r="J271" s="6">
        <f>(6.69*15.196+2.49*10.113)/$H271</f>
      </c>
      <c r="K271" s="7">
        <f>(23.34*15.196+27.6*10.113)/$H271</f>
      </c>
      <c r="L271" s="6">
        <f>(0.63*15.196+1.04*10.113)/$H271</f>
      </c>
      <c r="M271" s="6">
        <f>(2.01*15.196+4.24*10.113)/$H271</f>
      </c>
      <c r="N271" s="7"/>
      <c r="O271" s="23"/>
      <c r="P271" s="6"/>
      <c r="Q271" s="6"/>
      <c r="R271" s="31"/>
      <c r="S271" s="6"/>
      <c r="T271" s="31"/>
      <c r="U271" s="6"/>
      <c r="V271" s="23"/>
      <c r="W271" s="6"/>
      <c r="X271" s="6"/>
      <c r="Y271" s="5"/>
      <c r="Z271" s="3"/>
      <c r="AA271" s="6">
        <f>H271*I271/100</f>
      </c>
      <c r="AB271" s="6">
        <f>H271*J271/100</f>
      </c>
      <c r="AC271" s="7">
        <f>H271*K271</f>
      </c>
      <c r="AD271" s="7">
        <f>H271*M271</f>
      </c>
      <c r="AE271" s="6">
        <f>H271*L271/100</f>
      </c>
      <c r="AF271" s="6">
        <f>AA271+AB271+AE271</f>
      </c>
      <c r="AG271" s="6">
        <f>I271+J271+L271</f>
      </c>
      <c r="AH271" s="53">
        <f>$H271*I271</f>
      </c>
      <c r="AI271" s="53">
        <f>$H271*J271</f>
      </c>
      <c r="AJ271" s="53">
        <f>$H271*K271</f>
      </c>
      <c r="AK271" s="53">
        <f>$H271*L271</f>
      </c>
      <c r="AL271" s="53">
        <f>$H271*M271</f>
      </c>
      <c r="AM271" s="3"/>
      <c r="AN271" s="5"/>
      <c r="AO271" s="5"/>
      <c r="AP271" s="5"/>
      <c r="AQ271" s="3"/>
    </row>
    <row x14ac:dyDescent="0.25" r="272" customHeight="1" ht="12.75">
      <c r="A272" s="5" t="s">
        <v>402</v>
      </c>
      <c r="B272" s="3" t="s">
        <v>1100</v>
      </c>
      <c r="C272" s="3" t="s">
        <v>870</v>
      </c>
      <c r="D272" s="3"/>
      <c r="E272" s="3" t="s">
        <v>855</v>
      </c>
      <c r="F272" s="3" t="s">
        <v>1407</v>
      </c>
      <c r="G272" s="3" t="s">
        <v>1185</v>
      </c>
      <c r="H272" s="6">
        <f>2.121+0.233</f>
      </c>
      <c r="I272" s="6"/>
      <c r="J272" s="6">
        <f>(0.5*2.121+0.52*0.233)/$H272</f>
      </c>
      <c r="K272" s="7">
        <f>(5.28*2.121+4.57*0.233)/$H272</f>
      </c>
      <c r="L272" s="6">
        <f>(3.8*2.121+4.31*0.233)/$H272</f>
      </c>
      <c r="M272" s="6">
        <f>(0.42*2.121+0.38*0.233)/$H272</f>
      </c>
      <c r="N272" s="7"/>
      <c r="O272" s="23"/>
      <c r="P272" s="6"/>
      <c r="Q272" s="6"/>
      <c r="R272" s="31"/>
      <c r="S272" s="6"/>
      <c r="T272" s="31"/>
      <c r="U272" s="6"/>
      <c r="V272" s="23"/>
      <c r="W272" s="6"/>
      <c r="X272" s="6"/>
      <c r="Y272" s="5"/>
      <c r="Z272" s="3"/>
      <c r="AA272" s="6">
        <f>H272*I272/100</f>
      </c>
      <c r="AB272" s="6">
        <f>H272*J272/100</f>
      </c>
      <c r="AC272" s="7">
        <f>H272*K272</f>
      </c>
      <c r="AD272" s="7">
        <f>H272*M272</f>
      </c>
      <c r="AE272" s="6">
        <f>H272*L272/100</f>
      </c>
      <c r="AF272" s="6">
        <f>AA272+AB272+AE272</f>
      </c>
      <c r="AG272" s="6">
        <f>I272+J272+L272</f>
      </c>
      <c r="AH272" s="53">
        <f>$H272*I272</f>
      </c>
      <c r="AI272" s="53">
        <f>$H272*J272</f>
      </c>
      <c r="AJ272" s="53">
        <f>$H272*K272</f>
      </c>
      <c r="AK272" s="53">
        <f>$H272*L272</f>
      </c>
      <c r="AL272" s="53">
        <f>$H272*M272</f>
      </c>
      <c r="AM272" s="3"/>
      <c r="AN272" s="5"/>
      <c r="AO272" s="5"/>
      <c r="AP272" s="5"/>
      <c r="AQ272" s="3"/>
    </row>
    <row x14ac:dyDescent="0.25" r="273" customHeight="1" ht="12.75">
      <c r="A273" s="5" t="s">
        <v>611</v>
      </c>
      <c r="B273" s="3" t="s">
        <v>1100</v>
      </c>
      <c r="C273" s="3" t="s">
        <v>870</v>
      </c>
      <c r="D273" s="3"/>
      <c r="E273" s="3" t="s">
        <v>855</v>
      </c>
      <c r="F273" s="3" t="s">
        <v>1405</v>
      </c>
      <c r="G273" s="3" t="s">
        <v>1406</v>
      </c>
      <c r="H273" s="6">
        <v>6.62</v>
      </c>
      <c r="I273" s="6"/>
      <c r="J273" s="6">
        <v>2.63</v>
      </c>
      <c r="K273" s="6">
        <v>25.61</v>
      </c>
      <c r="L273" s="6">
        <v>1.88</v>
      </c>
      <c r="M273" s="6">
        <v>0.66</v>
      </c>
      <c r="N273" s="7"/>
      <c r="O273" s="23"/>
      <c r="P273" s="6"/>
      <c r="Q273" s="6"/>
      <c r="R273" s="31"/>
      <c r="S273" s="6"/>
      <c r="T273" s="31"/>
      <c r="U273" s="6"/>
      <c r="V273" s="23"/>
      <c r="W273" s="6"/>
      <c r="X273" s="6"/>
      <c r="Y273" s="5"/>
      <c r="Z273" s="3"/>
      <c r="AA273" s="6">
        <f>H273*I273/100</f>
      </c>
      <c r="AB273" s="6">
        <f>H273*J273/100</f>
      </c>
      <c r="AC273" s="7">
        <f>H273*K273</f>
      </c>
      <c r="AD273" s="7">
        <f>H273*M273</f>
      </c>
      <c r="AE273" s="6">
        <f>H273*L273/100</f>
      </c>
      <c r="AF273" s="6">
        <f>AA273+AB273+AE273</f>
      </c>
      <c r="AG273" s="6">
        <f>I273+J273+L273</f>
      </c>
      <c r="AH273" s="53">
        <f>$H273*I273</f>
      </c>
      <c r="AI273" s="53">
        <f>$H273*J273</f>
      </c>
      <c r="AJ273" s="53">
        <f>$H273*K273</f>
      </c>
      <c r="AK273" s="53">
        <f>$H273*L273</f>
      </c>
      <c r="AL273" s="53">
        <f>$H273*M273</f>
      </c>
      <c r="AM273" s="3"/>
      <c r="AN273" s="5"/>
      <c r="AO273" s="5"/>
      <c r="AP273" s="5"/>
      <c r="AQ273" s="3"/>
    </row>
    <row x14ac:dyDescent="0.25" r="274" customHeight="1" ht="12.75">
      <c r="A274" s="5" t="s">
        <v>518</v>
      </c>
      <c r="B274" s="3" t="s">
        <v>1100</v>
      </c>
      <c r="C274" s="3" t="s">
        <v>870</v>
      </c>
      <c r="D274" s="3"/>
      <c r="E274" s="3" t="s">
        <v>855</v>
      </c>
      <c r="F274" s="3" t="s">
        <v>1408</v>
      </c>
      <c r="G274" s="3" t="s">
        <v>1409</v>
      </c>
      <c r="H274" s="6">
        <f>0.854+0.503</f>
      </c>
      <c r="I274" s="6"/>
      <c r="J274" s="6">
        <f>(1.78*0.854+1.33*0.503)/$H274</f>
      </c>
      <c r="K274" s="6">
        <f>(13.84*0.854+6.96*0.503)/$H274</f>
      </c>
      <c r="L274" s="6">
        <f>(1.22*0.854+0.79*0.503)/$H274</f>
      </c>
      <c r="M274" s="6">
        <f>(3.82*0.854+3.25*0.503)/$H274</f>
      </c>
      <c r="N274" s="7"/>
      <c r="O274" s="23"/>
      <c r="P274" s="6"/>
      <c r="Q274" s="6"/>
      <c r="R274" s="31"/>
      <c r="S274" s="6"/>
      <c r="T274" s="31"/>
      <c r="U274" s="6"/>
      <c r="V274" s="23"/>
      <c r="W274" s="6"/>
      <c r="X274" s="6"/>
      <c r="Y274" s="5"/>
      <c r="Z274" s="3"/>
      <c r="AA274" s="6">
        <f>H274*I274/100</f>
      </c>
      <c r="AB274" s="6">
        <f>H274*J274/100</f>
      </c>
      <c r="AC274" s="7">
        <f>H274*K274</f>
      </c>
      <c r="AD274" s="7">
        <f>H274*M274</f>
      </c>
      <c r="AE274" s="6">
        <f>H274*L274/100</f>
      </c>
      <c r="AF274" s="6">
        <f>AA274+AB274+AE274</f>
      </c>
      <c r="AG274" s="6">
        <f>I274+J274+L274</f>
      </c>
      <c r="AH274" s="53">
        <f>$H274*I274</f>
      </c>
      <c r="AI274" s="53">
        <f>$H274*J274</f>
      </c>
      <c r="AJ274" s="53">
        <f>$H274*K274</f>
      </c>
      <c r="AK274" s="53">
        <f>$H274*L274</f>
      </c>
      <c r="AL274" s="53">
        <f>$H274*M274</f>
      </c>
      <c r="AM274" s="3"/>
      <c r="AN274" s="5"/>
      <c r="AO274" s="5"/>
      <c r="AP274" s="5"/>
      <c r="AQ274" s="3"/>
    </row>
    <row x14ac:dyDescent="0.25" r="275" customHeight="1" ht="12.75">
      <c r="A275" s="5" t="s">
        <v>320</v>
      </c>
      <c r="B275" s="3" t="s">
        <v>1100</v>
      </c>
      <c r="C275" s="3" t="s">
        <v>870</v>
      </c>
      <c r="D275" s="3"/>
      <c r="E275" s="38" t="s">
        <v>859</v>
      </c>
      <c r="F275" s="3" t="s">
        <v>1410</v>
      </c>
      <c r="G275" s="3" t="s">
        <v>1411</v>
      </c>
      <c r="H275" s="6">
        <f>(0.97+0.043)*0.9072</f>
      </c>
      <c r="I275" s="7">
        <f>(0.7*0.97+1.1*0.043)/(0.97+0.043)</f>
      </c>
      <c r="J275" s="7">
        <f>(9.5*0.97+7.3*0.043)/(0.97+0.043)</f>
      </c>
      <c r="K275" s="31">
        <f>((3.4*0.97+4*0.043)/(0.97+0.043))*31.1/0.9072</f>
      </c>
      <c r="L275" s="6"/>
      <c r="M275" s="7">
        <f>0.02*31.1/0.9072</f>
      </c>
      <c r="N275" s="7"/>
      <c r="O275" s="23"/>
      <c r="P275" s="6"/>
      <c r="Q275" s="6"/>
      <c r="R275" s="31"/>
      <c r="S275" s="6"/>
      <c r="T275" s="31"/>
      <c r="U275" s="6"/>
      <c r="V275" s="23"/>
      <c r="W275" s="6"/>
      <c r="X275" s="6"/>
      <c r="Y275" s="5"/>
      <c r="Z275" s="3"/>
      <c r="AA275" s="6">
        <f>H275*I275/100</f>
      </c>
      <c r="AB275" s="6">
        <f>H275*J275/100</f>
      </c>
      <c r="AC275" s="7">
        <f>H275*K275</f>
      </c>
      <c r="AD275" s="7">
        <f>H275*M275</f>
      </c>
      <c r="AE275" s="6">
        <f>H275*L275/100</f>
      </c>
      <c r="AF275" s="6">
        <f>AA275+AB275+AE275</f>
      </c>
      <c r="AG275" s="6">
        <f>I275+J275+L275</f>
      </c>
      <c r="AH275" s="53">
        <f>$H275*I275</f>
      </c>
      <c r="AI275" s="53">
        <f>$H275*J275</f>
      </c>
      <c r="AJ275" s="53">
        <f>$H275*K275</f>
      </c>
      <c r="AK275" s="53">
        <f>$H275*L275</f>
      </c>
      <c r="AL275" s="53">
        <f>$H275*M275</f>
      </c>
      <c r="AM275" s="3"/>
      <c r="AN275" s="5"/>
      <c r="AO275" s="5"/>
      <c r="AP275" s="5"/>
      <c r="AQ275" s="3"/>
    </row>
    <row x14ac:dyDescent="0.25" r="276" customHeight="1" ht="12.75">
      <c r="A276" s="5" t="s">
        <v>641</v>
      </c>
      <c r="B276" s="3" t="s">
        <v>1100</v>
      </c>
      <c r="C276" s="3" t="s">
        <v>1079</v>
      </c>
      <c r="D276" s="3"/>
      <c r="E276" s="38" t="s">
        <v>859</v>
      </c>
      <c r="F276" s="3" t="s">
        <v>1412</v>
      </c>
      <c r="G276" s="3" t="s">
        <v>1339</v>
      </c>
      <c r="H276" s="23">
        <v>0.317485</v>
      </c>
      <c r="I276" s="6">
        <v>0.1</v>
      </c>
      <c r="J276" s="6">
        <v>2.6</v>
      </c>
      <c r="K276" s="7">
        <f>0.39*31.1/0.9072</f>
      </c>
      <c r="L276" s="6">
        <v>0.1</v>
      </c>
      <c r="M276" s="6">
        <f>0.102*31.1/0.9072</f>
      </c>
      <c r="N276" s="7"/>
      <c r="O276" s="23"/>
      <c r="P276" s="6"/>
      <c r="Q276" s="6"/>
      <c r="R276" s="31"/>
      <c r="S276" s="6"/>
      <c r="T276" s="31"/>
      <c r="U276" s="6"/>
      <c r="V276" s="23"/>
      <c r="W276" s="6"/>
      <c r="X276" s="6"/>
      <c r="Y276" s="5"/>
      <c r="Z276" s="3"/>
      <c r="AA276" s="6">
        <f>H276*I276/100</f>
      </c>
      <c r="AB276" s="6">
        <f>H276*J276/100</f>
      </c>
      <c r="AC276" s="7">
        <f>H276*K276</f>
      </c>
      <c r="AD276" s="7">
        <f>H276*M276</f>
      </c>
      <c r="AE276" s="6">
        <f>H276*L276/100</f>
      </c>
      <c r="AF276" s="6">
        <f>AA276+AB276+AE276</f>
      </c>
      <c r="AG276" s="6">
        <f>I276+J276+L276</f>
      </c>
      <c r="AH276" s="53">
        <f>$H276*I276</f>
      </c>
      <c r="AI276" s="53">
        <f>$H276*J276</f>
      </c>
      <c r="AJ276" s="53">
        <f>$H276*K276</f>
      </c>
      <c r="AK276" s="53">
        <f>$H276*L276</f>
      </c>
      <c r="AL276" s="53">
        <f>$H276*M276</f>
      </c>
      <c r="AM276" s="3"/>
      <c r="AN276" s="5"/>
      <c r="AO276" s="5"/>
      <c r="AP276" s="5"/>
      <c r="AQ276" s="3"/>
    </row>
    <row x14ac:dyDescent="0.25" r="277" customHeight="1" ht="12.75">
      <c r="A277" s="5" t="s">
        <v>107</v>
      </c>
      <c r="B277" s="3" t="s">
        <v>1100</v>
      </c>
      <c r="C277" s="3" t="s">
        <v>870</v>
      </c>
      <c r="D277" s="3"/>
      <c r="E277" s="3" t="s">
        <v>855</v>
      </c>
      <c r="F277" s="3" t="s">
        <v>1230</v>
      </c>
      <c r="G277" s="3" t="s">
        <v>1177</v>
      </c>
      <c r="H277" s="6">
        <f>13+1.2</f>
      </c>
      <c r="I277" s="7">
        <f>(1.4*13+1.3*1.2)/$H277</f>
      </c>
      <c r="J277" s="7">
        <f>(13*13+11*1.2)/$H277</f>
      </c>
      <c r="K277" s="31">
        <f>(73*13+73*1.2)/$H277</f>
      </c>
      <c r="L277" s="7">
        <f>(2.4*13+1.5*1.2)/$H277</f>
      </c>
      <c r="M277" s="6">
        <f>(0.18*13+0.21*1.2)/$H277</f>
      </c>
      <c r="N277" s="7"/>
      <c r="O277" s="23"/>
      <c r="P277" s="6"/>
      <c r="Q277" s="6"/>
      <c r="R277" s="31"/>
      <c r="S277" s="6"/>
      <c r="T277" s="31"/>
      <c r="U277" s="6"/>
      <c r="V277" s="23"/>
      <c r="W277" s="6"/>
      <c r="X277" s="6"/>
      <c r="Y277" s="5"/>
      <c r="Z277" s="3"/>
      <c r="AA277" s="6">
        <f>H277*I277/100</f>
      </c>
      <c r="AB277" s="6">
        <f>H277*J277/100</f>
      </c>
      <c r="AC277" s="7">
        <f>H277*K277</f>
      </c>
      <c r="AD277" s="7">
        <f>H277*M277</f>
      </c>
      <c r="AE277" s="6">
        <f>H277*L277/100</f>
      </c>
      <c r="AF277" s="6">
        <f>AA277+AB277+AE277</f>
      </c>
      <c r="AG277" s="6">
        <f>I277+J277+L277</f>
      </c>
      <c r="AH277" s="53">
        <f>$H277*I277</f>
      </c>
      <c r="AI277" s="53">
        <f>$H277*J277</f>
      </c>
      <c r="AJ277" s="53">
        <f>$H277*K277</f>
      </c>
      <c r="AK277" s="53">
        <f>$H277*L277</f>
      </c>
      <c r="AL277" s="53">
        <f>$H277*M277</f>
      </c>
      <c r="AM277" s="3"/>
      <c r="AN277" s="5"/>
      <c r="AO277" s="5"/>
      <c r="AP277" s="5"/>
      <c r="AQ277" s="3"/>
    </row>
    <row x14ac:dyDescent="0.25" r="278" customHeight="1" ht="12.75">
      <c r="A278" s="5" t="s">
        <v>264</v>
      </c>
      <c r="B278" s="3" t="s">
        <v>1100</v>
      </c>
      <c r="C278" s="3" t="s">
        <v>866</v>
      </c>
      <c r="D278" s="3" t="s">
        <v>988</v>
      </c>
      <c r="E278" s="3" t="s">
        <v>855</v>
      </c>
      <c r="F278" s="3" t="s">
        <v>1413</v>
      </c>
      <c r="G278" s="3" t="s">
        <v>1414</v>
      </c>
      <c r="H278" s="23">
        <f>1.202+1.1657+4.5381+0.2928</f>
      </c>
      <c r="I278" s="6">
        <f>(2.4*1.202+2.01*1.1657+2.16*4.5381+0.91*0.2928)/$H278</f>
      </c>
      <c r="J278" s="6">
        <f>(4.46*1.202+3.86*1.1657+2.99*4.5381+0.73*0.2928)/$H278</f>
      </c>
      <c r="K278" s="7">
        <f>(69*1.202+64.9*1.1657+67.8*4.5381+49*0.2928)/$H278</f>
      </c>
      <c r="L278" s="6"/>
      <c r="M278" s="6">
        <f>(6.71*1.202+6.92*1.1657+5.19*4.5381+4.54*0.2928)/$H278</f>
      </c>
      <c r="N278" s="7"/>
      <c r="O278" s="23"/>
      <c r="P278" s="6"/>
      <c r="Q278" s="6"/>
      <c r="R278" s="31"/>
      <c r="S278" s="6"/>
      <c r="T278" s="31"/>
      <c r="U278" s="6"/>
      <c r="V278" s="23"/>
      <c r="W278" s="6"/>
      <c r="X278" s="6"/>
      <c r="Y278" s="5"/>
      <c r="Z278" s="3"/>
      <c r="AA278" s="6">
        <f>H278*I278/100</f>
      </c>
      <c r="AB278" s="6">
        <f>H278*J278/100</f>
      </c>
      <c r="AC278" s="7">
        <f>H278*K278</f>
      </c>
      <c r="AD278" s="7">
        <f>H278*M278</f>
      </c>
      <c r="AE278" s="6">
        <f>H278*L278/100</f>
      </c>
      <c r="AF278" s="6">
        <f>AA278+AB278+AE278</f>
      </c>
      <c r="AG278" s="6">
        <f>I278+J278+L278</f>
      </c>
      <c r="AH278" s="53">
        <f>$H278*I278</f>
      </c>
      <c r="AI278" s="53">
        <f>$H278*J278</f>
      </c>
      <c r="AJ278" s="53">
        <f>$H278*K278</f>
      </c>
      <c r="AK278" s="53">
        <f>$H278*L278</f>
      </c>
      <c r="AL278" s="53">
        <f>$H278*M278</f>
      </c>
      <c r="AM278" s="3"/>
      <c r="AN278" s="5"/>
      <c r="AO278" s="5"/>
      <c r="AP278" s="5"/>
      <c r="AQ278" s="3"/>
    </row>
    <row x14ac:dyDescent="0.25" r="279" customHeight="1" ht="12.75">
      <c r="A279" s="5" t="s">
        <v>284</v>
      </c>
      <c r="B279" s="3" t="s">
        <v>1100</v>
      </c>
      <c r="C279" s="3" t="s">
        <v>866</v>
      </c>
      <c r="D279" s="3" t="s">
        <v>988</v>
      </c>
      <c r="E279" s="3" t="s">
        <v>855</v>
      </c>
      <c r="F279" s="3" t="s">
        <v>1405</v>
      </c>
      <c r="G279" s="3" t="s">
        <v>1415</v>
      </c>
      <c r="H279" s="6">
        <f>1.46+11</f>
      </c>
      <c r="I279" s="6">
        <f>(7.42*1.46+3.96*11)/$H279</f>
      </c>
      <c r="J279" s="6">
        <f>(5.25*1.46+6.75*11)/$H279</f>
      </c>
      <c r="K279" s="6">
        <f>(7.42*1.46+3.96*11)/$H279</f>
      </c>
      <c r="L279" s="6"/>
      <c r="M279" s="6"/>
      <c r="N279" s="7"/>
      <c r="O279" s="23"/>
      <c r="P279" s="6"/>
      <c r="Q279" s="6"/>
      <c r="R279" s="31"/>
      <c r="S279" s="6"/>
      <c r="T279" s="31"/>
      <c r="U279" s="6"/>
      <c r="V279" s="23"/>
      <c r="W279" s="6"/>
      <c r="X279" s="6"/>
      <c r="Y279" s="5"/>
      <c r="Z279" s="3"/>
      <c r="AA279" s="6">
        <f>H279*I279/100</f>
      </c>
      <c r="AB279" s="6">
        <f>H279*J279/100</f>
      </c>
      <c r="AC279" s="7">
        <f>H279*K279</f>
      </c>
      <c r="AD279" s="7">
        <f>H279*M279</f>
      </c>
      <c r="AE279" s="6">
        <f>H279*L279/100</f>
      </c>
      <c r="AF279" s="6">
        <f>AA279+AB279+AE279</f>
      </c>
      <c r="AG279" s="6">
        <f>I279+J279+L279</f>
      </c>
      <c r="AH279" s="53">
        <f>$H279*I279</f>
      </c>
      <c r="AI279" s="53">
        <f>$H279*J279</f>
      </c>
      <c r="AJ279" s="53">
        <f>$H279*K279</f>
      </c>
      <c r="AK279" s="53">
        <f>$H279*L279</f>
      </c>
      <c r="AL279" s="53">
        <f>$H279*M279</f>
      </c>
      <c r="AM279" s="3"/>
      <c r="AN279" s="5"/>
      <c r="AO279" s="5"/>
      <c r="AP279" s="5"/>
      <c r="AQ279" s="3"/>
    </row>
    <row x14ac:dyDescent="0.25" r="280" customHeight="1" ht="12.75">
      <c r="A280" s="5" t="s">
        <v>635</v>
      </c>
      <c r="B280" s="3" t="s">
        <v>1100</v>
      </c>
      <c r="C280" s="3" t="s">
        <v>866</v>
      </c>
      <c r="D280" s="3" t="s">
        <v>988</v>
      </c>
      <c r="E280" s="38" t="s">
        <v>859</v>
      </c>
      <c r="F280" s="3" t="s">
        <v>1171</v>
      </c>
      <c r="G280" s="3" t="s">
        <v>1173</v>
      </c>
      <c r="H280" s="6">
        <v>7.88</v>
      </c>
      <c r="I280" s="6">
        <v>1.63</v>
      </c>
      <c r="J280" s="6">
        <v>3.49</v>
      </c>
      <c r="K280" s="7">
        <v>3</v>
      </c>
      <c r="L280" s="6"/>
      <c r="M280" s="6"/>
      <c r="N280" s="7"/>
      <c r="O280" s="23"/>
      <c r="P280" s="6"/>
      <c r="Q280" s="6"/>
      <c r="R280" s="31"/>
      <c r="S280" s="6"/>
      <c r="T280" s="31"/>
      <c r="U280" s="6"/>
      <c r="V280" s="23"/>
      <c r="W280" s="6"/>
      <c r="X280" s="6"/>
      <c r="Y280" s="5"/>
      <c r="Z280" s="3"/>
      <c r="AA280" s="6">
        <f>H280*I280/100</f>
      </c>
      <c r="AB280" s="6">
        <f>H280*J280/100</f>
      </c>
      <c r="AC280" s="7">
        <f>H280*K280</f>
      </c>
      <c r="AD280" s="7">
        <f>H280*M280</f>
      </c>
      <c r="AE280" s="6">
        <f>H280*L280/100</f>
      </c>
      <c r="AF280" s="6">
        <f>AA280+AB280+AE280</f>
      </c>
      <c r="AG280" s="6">
        <f>I280+J280+L280</f>
      </c>
      <c r="AH280" s="53">
        <f>$H280*I280</f>
      </c>
      <c r="AI280" s="53">
        <f>$H280*J280</f>
      </c>
      <c r="AJ280" s="53">
        <f>$H280*K280</f>
      </c>
      <c r="AK280" s="53">
        <f>$H280*L280</f>
      </c>
      <c r="AL280" s="53">
        <f>$H280*M280</f>
      </c>
      <c r="AM280" s="3"/>
      <c r="AN280" s="5"/>
      <c r="AO280" s="5"/>
      <c r="AP280" s="5"/>
      <c r="AQ280" s="3"/>
    </row>
    <row x14ac:dyDescent="0.25" r="281" customHeight="1" ht="12.75">
      <c r="A281" s="5" t="s">
        <v>818</v>
      </c>
      <c r="B281" s="3" t="s">
        <v>1100</v>
      </c>
      <c r="C281" s="3" t="s">
        <v>1081</v>
      </c>
      <c r="D281" s="3"/>
      <c r="E281" s="38" t="s">
        <v>859</v>
      </c>
      <c r="F281" s="3" t="s">
        <v>1340</v>
      </c>
      <c r="G281" s="3" t="s">
        <v>1341</v>
      </c>
      <c r="H281" s="23">
        <f>2.807*0.9072</f>
      </c>
      <c r="I281" s="6"/>
      <c r="J281" s="6">
        <v>0.96</v>
      </c>
      <c r="K281" s="7">
        <f>1.11*31.1/0.9072</f>
      </c>
      <c r="L281" s="6">
        <v>1.12</v>
      </c>
      <c r="M281" s="6"/>
      <c r="N281" s="7"/>
      <c r="O281" s="23"/>
      <c r="P281" s="6"/>
      <c r="Q281" s="6"/>
      <c r="R281" s="31"/>
      <c r="S281" s="6"/>
      <c r="T281" s="31"/>
      <c r="U281" s="6"/>
      <c r="V281" s="23"/>
      <c r="W281" s="6"/>
      <c r="X281" s="6"/>
      <c r="Y281" s="5"/>
      <c r="Z281" s="3"/>
      <c r="AA281" s="6">
        <f>H281*I281/100</f>
      </c>
      <c r="AB281" s="6">
        <f>H281*J281/100</f>
      </c>
      <c r="AC281" s="7">
        <f>H281*K281</f>
      </c>
      <c r="AD281" s="7">
        <f>H281*M281</f>
      </c>
      <c r="AE281" s="6">
        <f>H281*L281/100</f>
      </c>
      <c r="AF281" s="6">
        <f>AA281+AB281+AE281</f>
      </c>
      <c r="AG281" s="6">
        <f>I281+J281+L281</f>
      </c>
      <c r="AH281" s="53">
        <f>$H281*I281</f>
      </c>
      <c r="AI281" s="53">
        <f>$H281*J281</f>
      </c>
      <c r="AJ281" s="53">
        <f>$H281*K281</f>
      </c>
      <c r="AK281" s="53">
        <f>$H281*L281</f>
      </c>
      <c r="AL281" s="53">
        <f>$H281*M281</f>
      </c>
      <c r="AM281" s="3"/>
      <c r="AN281" s="5"/>
      <c r="AO281" s="5"/>
      <c r="AP281" s="5"/>
      <c r="AQ281" s="3"/>
    </row>
    <row x14ac:dyDescent="0.25" r="282" customHeight="1" ht="12.75">
      <c r="A282" s="5" t="s">
        <v>758</v>
      </c>
      <c r="B282" s="3" t="s">
        <v>1100</v>
      </c>
      <c r="C282" s="3" t="s">
        <v>866</v>
      </c>
      <c r="D282" s="3" t="s">
        <v>989</v>
      </c>
      <c r="E282" s="3" t="s">
        <v>855</v>
      </c>
      <c r="F282" s="3" t="s">
        <v>1416</v>
      </c>
      <c r="G282" s="3" t="s">
        <v>1417</v>
      </c>
      <c r="H282" s="23">
        <v>3.464892</v>
      </c>
      <c r="I282" s="6">
        <v>0.86</v>
      </c>
      <c r="J282" s="6">
        <v>3.62</v>
      </c>
      <c r="K282" s="5"/>
      <c r="L282" s="6"/>
      <c r="M282" s="6"/>
      <c r="N282" s="7"/>
      <c r="O282" s="23"/>
      <c r="P282" s="6"/>
      <c r="Q282" s="6"/>
      <c r="R282" s="31"/>
      <c r="S282" s="6"/>
      <c r="T282" s="31"/>
      <c r="U282" s="6"/>
      <c r="V282" s="23"/>
      <c r="W282" s="6"/>
      <c r="X282" s="6"/>
      <c r="Y282" s="5"/>
      <c r="Z282" s="3"/>
      <c r="AA282" s="6">
        <f>H282*I282/100</f>
      </c>
      <c r="AB282" s="6">
        <f>H282*J282/100</f>
      </c>
      <c r="AC282" s="7">
        <f>H282*K282</f>
      </c>
      <c r="AD282" s="7">
        <f>H282*M282</f>
      </c>
      <c r="AE282" s="6">
        <f>H282*L282/100</f>
      </c>
      <c r="AF282" s="6">
        <f>AA282+AB282+AE282</f>
      </c>
      <c r="AG282" s="6">
        <f>I282+J282+L282</f>
      </c>
      <c r="AH282" s="53">
        <f>$H282*I282</f>
      </c>
      <c r="AI282" s="53">
        <f>$H282*J282</f>
      </c>
      <c r="AJ282" s="53">
        <f>$H282*K282</f>
      </c>
      <c r="AK282" s="53">
        <f>$H282*L282</f>
      </c>
      <c r="AL282" s="53">
        <f>$H282*M282</f>
      </c>
      <c r="AM282" s="3"/>
      <c r="AN282" s="5"/>
      <c r="AO282" s="5"/>
      <c r="AP282" s="5"/>
      <c r="AQ282" s="3"/>
    </row>
    <row x14ac:dyDescent="0.25" r="283" customHeight="1" ht="12.75">
      <c r="A283" s="5" t="s">
        <v>497</v>
      </c>
      <c r="B283" s="3" t="s">
        <v>1100</v>
      </c>
      <c r="C283" s="3" t="s">
        <v>1016</v>
      </c>
      <c r="D283" s="3" t="s">
        <v>1017</v>
      </c>
      <c r="E283" s="3" t="s">
        <v>855</v>
      </c>
      <c r="F283" s="3" t="s">
        <v>1418</v>
      </c>
      <c r="G283" s="3" t="s">
        <v>1419</v>
      </c>
      <c r="H283" s="6">
        <v>63.97</v>
      </c>
      <c r="I283" s="6">
        <v>0.21</v>
      </c>
      <c r="J283" s="6">
        <v>0.64</v>
      </c>
      <c r="K283" s="6">
        <v>23.63</v>
      </c>
      <c r="L283" s="6">
        <v>0.12</v>
      </c>
      <c r="M283" s="6"/>
      <c r="N283" s="7"/>
      <c r="O283" s="23"/>
      <c r="P283" s="6"/>
      <c r="Q283" s="23">
        <v>0.02245</v>
      </c>
      <c r="R283" s="6">
        <v>5.07</v>
      </c>
      <c r="S283" s="6"/>
      <c r="T283" s="31"/>
      <c r="U283" s="6"/>
      <c r="V283" s="23"/>
      <c r="W283" s="6"/>
      <c r="X283" s="6"/>
      <c r="Y283" s="23">
        <v>0.011609</v>
      </c>
      <c r="Z283" s="3" t="s">
        <v>932</v>
      </c>
      <c r="AA283" s="6">
        <f>H283*I283/100</f>
      </c>
      <c r="AB283" s="6">
        <f>H283*J283/100</f>
      </c>
      <c r="AC283" s="7">
        <f>H283*K283</f>
      </c>
      <c r="AD283" s="7">
        <f>H283*M283</f>
      </c>
      <c r="AE283" s="6">
        <f>H283*L283/100</f>
      </c>
      <c r="AF283" s="6">
        <f>AA283+AB283+AE283</f>
      </c>
      <c r="AG283" s="6">
        <f>I283+J283+L283</f>
      </c>
      <c r="AH283" s="53">
        <f>$H283*I283</f>
      </c>
      <c r="AI283" s="53">
        <f>$H283*J283</f>
      </c>
      <c r="AJ283" s="53">
        <f>$H283*K283</f>
      </c>
      <c r="AK283" s="53">
        <f>$H283*L283</f>
      </c>
      <c r="AL283" s="53">
        <f>$H283*M283</f>
      </c>
      <c r="AM283" s="3"/>
      <c r="AN283" s="5"/>
      <c r="AO283" s="5"/>
      <c r="AP283" s="5"/>
      <c r="AQ283" s="3"/>
    </row>
    <row x14ac:dyDescent="0.25" r="284" customHeight="1" ht="12.75">
      <c r="A284" s="5" t="s">
        <v>317</v>
      </c>
      <c r="B284" s="3" t="s">
        <v>1100</v>
      </c>
      <c r="C284" s="3" t="s">
        <v>870</v>
      </c>
      <c r="D284" s="3"/>
      <c r="E284" s="38" t="s">
        <v>859</v>
      </c>
      <c r="F284" s="3" t="s">
        <v>1420</v>
      </c>
      <c r="G284" s="3" t="s">
        <v>1345</v>
      </c>
      <c r="H284" s="23">
        <f>0.879964+0.039</f>
      </c>
      <c r="I284" s="7">
        <f>(0.7*0.879964+1.1*0.039)/$H284</f>
      </c>
      <c r="J284" s="7">
        <f>(9.5*0.879964+7.3*0.039)/$H284</f>
      </c>
      <c r="K284" s="7">
        <f>(116.5*0.879964+137*0.039)/$H284</f>
      </c>
      <c r="L284" s="6"/>
      <c r="M284" s="6"/>
      <c r="N284" s="7"/>
      <c r="O284" s="23"/>
      <c r="P284" s="6"/>
      <c r="Q284" s="6"/>
      <c r="R284" s="31"/>
      <c r="S284" s="6"/>
      <c r="T284" s="31"/>
      <c r="U284" s="6"/>
      <c r="V284" s="23"/>
      <c r="W284" s="6"/>
      <c r="X284" s="6"/>
      <c r="Y284" s="5"/>
      <c r="Z284" s="3"/>
      <c r="AA284" s="6">
        <f>H284*I284/100</f>
      </c>
      <c r="AB284" s="6">
        <f>H284*J284/100</f>
      </c>
      <c r="AC284" s="7">
        <f>H284*K284</f>
      </c>
      <c r="AD284" s="7">
        <f>H284*M284</f>
      </c>
      <c r="AE284" s="6">
        <f>H284*L284/100</f>
      </c>
      <c r="AF284" s="6">
        <f>AA284+AB284+AE284</f>
      </c>
      <c r="AG284" s="6">
        <f>I284+J284+L284</f>
      </c>
      <c r="AH284" s="53">
        <f>$H284*I284</f>
      </c>
      <c r="AI284" s="53">
        <f>$H284*J284</f>
      </c>
      <c r="AJ284" s="53">
        <f>$H284*K284</f>
      </c>
      <c r="AK284" s="53">
        <f>$H284*L284</f>
      </c>
      <c r="AL284" s="53">
        <f>$H284*M284</f>
      </c>
      <c r="AM284" s="3"/>
      <c r="AN284" s="5"/>
      <c r="AO284" s="5"/>
      <c r="AP284" s="5"/>
      <c r="AQ284" s="3"/>
    </row>
    <row x14ac:dyDescent="0.25" r="285" customHeight="1" ht="12.75">
      <c r="A285" s="5" t="s">
        <v>108</v>
      </c>
      <c r="B285" s="3" t="s">
        <v>1100</v>
      </c>
      <c r="C285" s="3" t="s">
        <v>863</v>
      </c>
      <c r="D285" s="3"/>
      <c r="E285" s="3" t="s">
        <v>855</v>
      </c>
      <c r="F285" s="3" t="s">
        <v>1421</v>
      </c>
      <c r="G285" s="3" t="s">
        <v>1422</v>
      </c>
      <c r="H285" s="6">
        <f>0.365+0.243</f>
      </c>
      <c r="I285" s="7">
        <f>(5.3*0.365+4.1*0.243)/$H285</f>
      </c>
      <c r="J285" s="7">
        <f>(5.3*0.365+5.1*0.243)/$H285</f>
      </c>
      <c r="K285" s="31">
        <f>(658*0.365+428*0.243)/$H285</f>
      </c>
      <c r="L285" s="6"/>
      <c r="M285" s="6"/>
      <c r="N285" s="7"/>
      <c r="O285" s="23"/>
      <c r="P285" s="6"/>
      <c r="Q285" s="6"/>
      <c r="R285" s="31"/>
      <c r="S285" s="6"/>
      <c r="T285" s="31"/>
      <c r="U285" s="6"/>
      <c r="V285" s="23"/>
      <c r="W285" s="6"/>
      <c r="X285" s="6"/>
      <c r="Y285" s="5"/>
      <c r="Z285" s="3"/>
      <c r="AA285" s="6">
        <f>H285*I285/100</f>
      </c>
      <c r="AB285" s="6">
        <f>H285*J285/100</f>
      </c>
      <c r="AC285" s="7">
        <f>H285*K285</f>
      </c>
      <c r="AD285" s="7">
        <f>H285*M285</f>
      </c>
      <c r="AE285" s="6">
        <f>H285*L285/100</f>
      </c>
      <c r="AF285" s="6">
        <f>AA285+AB285+AE285</f>
      </c>
      <c r="AG285" s="6">
        <f>I285+J285+L285</f>
      </c>
      <c r="AH285" s="53">
        <f>$H285*I285</f>
      </c>
      <c r="AI285" s="53">
        <f>$H285*J285</f>
      </c>
      <c r="AJ285" s="53">
        <f>$H285*K285</f>
      </c>
      <c r="AK285" s="53">
        <f>$H285*L285</f>
      </c>
      <c r="AL285" s="53">
        <f>$H285*M285</f>
      </c>
      <c r="AM285" s="3"/>
      <c r="AN285" s="5"/>
      <c r="AO285" s="5"/>
      <c r="AP285" s="5"/>
      <c r="AQ285" s="3"/>
    </row>
    <row x14ac:dyDescent="0.25" r="286" customHeight="1" ht="12.75">
      <c r="A286" s="5" t="s">
        <v>167</v>
      </c>
      <c r="B286" s="3" t="s">
        <v>1100</v>
      </c>
      <c r="C286" s="3" t="s">
        <v>863</v>
      </c>
      <c r="D286" s="3"/>
      <c r="E286" s="3" t="s">
        <v>855</v>
      </c>
      <c r="F286" s="3" t="s">
        <v>1421</v>
      </c>
      <c r="G286" s="3" t="s">
        <v>1423</v>
      </c>
      <c r="H286" s="6">
        <f>1.378+0.107</f>
      </c>
      <c r="I286" s="6">
        <f>(1.72*1.378+0.88*0.107)/$H286</f>
      </c>
      <c r="J286" s="6">
        <f>(5.7*1.378+4.21*0.107)/$H286</f>
      </c>
      <c r="K286" s="31">
        <f>(516*1.378+313*0.107)/$H286</f>
      </c>
      <c r="L286" s="6"/>
      <c r="M286" s="6">
        <f>(0.42*1.378+0.27*0.107)/$H286</f>
      </c>
      <c r="N286" s="7"/>
      <c r="O286" s="23"/>
      <c r="P286" s="6"/>
      <c r="Q286" s="6"/>
      <c r="R286" s="31"/>
      <c r="S286" s="6"/>
      <c r="T286" s="31"/>
      <c r="U286" s="6"/>
      <c r="V286" s="23"/>
      <c r="W286" s="6"/>
      <c r="X286" s="6"/>
      <c r="Y286" s="5"/>
      <c r="Z286" s="3"/>
      <c r="AA286" s="6">
        <f>H286*I286/100</f>
      </c>
      <c r="AB286" s="6">
        <f>H286*J286/100</f>
      </c>
      <c r="AC286" s="7">
        <f>H286*K286</f>
      </c>
      <c r="AD286" s="7">
        <f>H286*M286</f>
      </c>
      <c r="AE286" s="6">
        <f>H286*L286/100</f>
      </c>
      <c r="AF286" s="6">
        <f>AA286+AB286+AE286</f>
      </c>
      <c r="AG286" s="6">
        <f>I286+J286+L286</f>
      </c>
      <c r="AH286" s="53">
        <f>$H286*I286</f>
      </c>
      <c r="AI286" s="53">
        <f>$H286*J286</f>
      </c>
      <c r="AJ286" s="53">
        <f>$H286*K286</f>
      </c>
      <c r="AK286" s="53">
        <f>$H286*L286</f>
      </c>
      <c r="AL286" s="53">
        <f>$H286*M286</f>
      </c>
      <c r="AM286" s="3"/>
      <c r="AN286" s="5"/>
      <c r="AO286" s="5"/>
      <c r="AP286" s="5"/>
      <c r="AQ286" s="3"/>
    </row>
    <row x14ac:dyDescent="0.25" r="287" customHeight="1" ht="12.75">
      <c r="A287" s="5" t="s">
        <v>75</v>
      </c>
      <c r="B287" s="3" t="s">
        <v>1100</v>
      </c>
      <c r="C287" s="3" t="s">
        <v>863</v>
      </c>
      <c r="D287" s="3"/>
      <c r="E287" s="3" t="s">
        <v>855</v>
      </c>
      <c r="F287" s="3" t="s">
        <v>1421</v>
      </c>
      <c r="G287" s="3" t="s">
        <v>1422</v>
      </c>
      <c r="H287" s="6">
        <f>0.124+0.15</f>
      </c>
      <c r="I287" s="6">
        <f>(2.57*0.124+1.37*0.15)/$H287</f>
      </c>
      <c r="J287" s="6">
        <f>(1.72*0.124+0.92*0.15)/$H287</f>
      </c>
      <c r="K287" s="31">
        <f>(1227*0.124+571*0.15)/$H287</f>
      </c>
      <c r="L287" s="6"/>
      <c r="M287" s="6">
        <f>(0.17*0.124+0.16*0.15)/$H287</f>
      </c>
      <c r="N287" s="7"/>
      <c r="O287" s="23"/>
      <c r="P287" s="6"/>
      <c r="Q287" s="6"/>
      <c r="R287" s="31"/>
      <c r="S287" s="6"/>
      <c r="T287" s="31"/>
      <c r="U287" s="6"/>
      <c r="V287" s="23"/>
      <c r="W287" s="6"/>
      <c r="X287" s="6"/>
      <c r="Y287" s="5"/>
      <c r="Z287" s="3"/>
      <c r="AA287" s="6">
        <f>H287*I287/100</f>
      </c>
      <c r="AB287" s="6">
        <f>H287*J287/100</f>
      </c>
      <c r="AC287" s="7">
        <f>H287*K287</f>
      </c>
      <c r="AD287" s="7">
        <f>H287*M287</f>
      </c>
      <c r="AE287" s="6">
        <f>H287*L287/100</f>
      </c>
      <c r="AF287" s="6">
        <f>AA287+AB287+AE287</f>
      </c>
      <c r="AG287" s="6">
        <f>I287+J287+L287</f>
      </c>
      <c r="AH287" s="53">
        <f>$H287*I287</f>
      </c>
      <c r="AI287" s="53">
        <f>$H287*J287</f>
      </c>
      <c r="AJ287" s="53">
        <f>$H287*K287</f>
      </c>
      <c r="AK287" s="53">
        <f>$H287*L287</f>
      </c>
      <c r="AL287" s="53">
        <f>$H287*M287</f>
      </c>
      <c r="AM287" s="3"/>
      <c r="AN287" s="5"/>
      <c r="AO287" s="5"/>
      <c r="AP287" s="5"/>
      <c r="AQ287" s="3"/>
    </row>
    <row x14ac:dyDescent="0.25" r="288" customHeight="1" ht="12.75">
      <c r="A288" s="5" t="s">
        <v>159</v>
      </c>
      <c r="B288" s="3" t="s">
        <v>1100</v>
      </c>
      <c r="C288" s="3" t="s">
        <v>863</v>
      </c>
      <c r="D288" s="3"/>
      <c r="E288" s="3" t="s">
        <v>855</v>
      </c>
      <c r="F288" s="3" t="s">
        <v>1421</v>
      </c>
      <c r="G288" s="3" t="s">
        <v>1424</v>
      </c>
      <c r="H288" s="6">
        <f>0.585+0.236</f>
      </c>
      <c r="I288" s="6">
        <f>(1.23*0.585+1.05*0.236)/$H288</f>
      </c>
      <c r="J288" s="6">
        <f>(13.74*0.585+11.52*0.236)/$H288</f>
      </c>
      <c r="K288" s="31">
        <f>(194*0.585+203*0.236)/$H288</f>
      </c>
      <c r="L288" s="6"/>
      <c r="M288" s="6">
        <f>(0.65*0.585+0.43*0.236)/$H288</f>
      </c>
      <c r="N288" s="7"/>
      <c r="O288" s="23"/>
      <c r="P288" s="6"/>
      <c r="Q288" s="6"/>
      <c r="R288" s="31"/>
      <c r="S288" s="6"/>
      <c r="T288" s="31"/>
      <c r="U288" s="6"/>
      <c r="V288" s="23"/>
      <c r="W288" s="6"/>
      <c r="X288" s="6"/>
      <c r="Y288" s="5"/>
      <c r="Z288" s="3"/>
      <c r="AA288" s="6">
        <f>H288*I288/100</f>
      </c>
      <c r="AB288" s="6">
        <f>H288*J288/100</f>
      </c>
      <c r="AC288" s="7">
        <f>H288*K288</f>
      </c>
      <c r="AD288" s="7">
        <f>H288*M288</f>
      </c>
      <c r="AE288" s="6">
        <f>H288*L288/100</f>
      </c>
      <c r="AF288" s="6">
        <f>AA288+AB288+AE288</f>
      </c>
      <c r="AG288" s="6">
        <f>I288+J288+L288</f>
      </c>
      <c r="AH288" s="53">
        <f>$H288*I288</f>
      </c>
      <c r="AI288" s="53">
        <f>$H288*J288</f>
      </c>
      <c r="AJ288" s="53">
        <f>$H288*K288</f>
      </c>
      <c r="AK288" s="53">
        <f>$H288*L288</f>
      </c>
      <c r="AL288" s="53">
        <f>$H288*M288</f>
      </c>
      <c r="AM288" s="3"/>
      <c r="AN288" s="5"/>
      <c r="AO288" s="5"/>
      <c r="AP288" s="5"/>
      <c r="AQ288" s="3"/>
    </row>
    <row x14ac:dyDescent="0.25" r="289" customHeight="1" ht="12.75">
      <c r="A289" s="5" t="s">
        <v>293</v>
      </c>
      <c r="B289" s="3" t="s">
        <v>1100</v>
      </c>
      <c r="C289" s="3" t="s">
        <v>870</v>
      </c>
      <c r="D289" s="3"/>
      <c r="E289" s="3" t="s">
        <v>855</v>
      </c>
      <c r="F289" s="3" t="s">
        <v>1180</v>
      </c>
      <c r="G289" s="3" t="s">
        <v>1181</v>
      </c>
      <c r="H289" s="6">
        <f>17.3+0.77+3.4</f>
      </c>
      <c r="I289" s="6"/>
      <c r="J289" s="6">
        <f>(4.49*17.3+5.6*0.77+7*3.4)/$H289</f>
      </c>
      <c r="K289" s="31">
        <f>(52*17.3+36*0.77+60*3.4)/$H289</f>
      </c>
      <c r="L289" s="6">
        <f>(2.08*17.3+1.2*0.77+2*3.4)/$H289</f>
      </c>
      <c r="M289" s="6"/>
      <c r="N289" s="7"/>
      <c r="O289" s="23"/>
      <c r="P289" s="6"/>
      <c r="Q289" s="6"/>
      <c r="R289" s="31"/>
      <c r="S289" s="6"/>
      <c r="T289" s="31"/>
      <c r="U289" s="6"/>
      <c r="V289" s="23"/>
      <c r="W289" s="6"/>
      <c r="X289" s="6"/>
      <c r="Y289" s="5"/>
      <c r="Z289" s="3"/>
      <c r="AA289" s="6">
        <f>H289*I289/100</f>
      </c>
      <c r="AB289" s="6">
        <f>H289*J289/100</f>
      </c>
      <c r="AC289" s="7">
        <f>H289*K289</f>
      </c>
      <c r="AD289" s="7">
        <f>H289*M289</f>
      </c>
      <c r="AE289" s="6">
        <f>H289*L289/100</f>
      </c>
      <c r="AF289" s="6">
        <f>AA289+AB289+AE289</f>
      </c>
      <c r="AG289" s="6">
        <f>I289+J289+L289</f>
      </c>
      <c r="AH289" s="53">
        <f>$H289*I289</f>
      </c>
      <c r="AI289" s="53">
        <f>$H289*J289</f>
      </c>
      <c r="AJ289" s="53">
        <f>$H289*K289</f>
      </c>
      <c r="AK289" s="53">
        <f>$H289*L289</f>
      </c>
      <c r="AL289" s="53">
        <f>$H289*M289</f>
      </c>
      <c r="AM289" s="3"/>
      <c r="AN289" s="5"/>
      <c r="AO289" s="5"/>
      <c r="AP289" s="5"/>
      <c r="AQ289" s="3"/>
    </row>
    <row x14ac:dyDescent="0.25" r="290" customHeight="1" ht="12.75">
      <c r="A290" s="5" t="s">
        <v>181</v>
      </c>
      <c r="B290" s="3" t="s">
        <v>1100</v>
      </c>
      <c r="C290" s="3" t="s">
        <v>865</v>
      </c>
      <c r="D290" s="3" t="s">
        <v>982</v>
      </c>
      <c r="E290" s="3" t="s">
        <v>855</v>
      </c>
      <c r="F290" s="3" t="s">
        <v>1425</v>
      </c>
      <c r="G290" s="3" t="s">
        <v>1426</v>
      </c>
      <c r="H290" s="6">
        <f>321.8+317.8</f>
      </c>
      <c r="I290" s="23">
        <f>(0.0236*321.8+0.0237*317.8)/$H290</f>
      </c>
      <c r="J290" s="6"/>
      <c r="K290" s="7">
        <f>(4.8*321.8+4.6*317.8)/$H290</f>
      </c>
      <c r="L290" s="6"/>
      <c r="M290" s="6"/>
      <c r="N290" s="7"/>
      <c r="O290" s="23"/>
      <c r="P290" s="6"/>
      <c r="Q290" s="6"/>
      <c r="R290" s="31"/>
      <c r="S290" s="23">
        <f>(0.071*321.8+0.041*317.8)/$H290</f>
      </c>
      <c r="T290" s="31"/>
      <c r="U290" s="6"/>
      <c r="V290" s="23"/>
      <c r="W290" s="6"/>
      <c r="X290" s="6"/>
      <c r="Y290" s="5"/>
      <c r="Z290" s="3"/>
      <c r="AA290" s="6">
        <f>H290*I290/100</f>
      </c>
      <c r="AB290" s="6">
        <f>H290*J290/100</f>
      </c>
      <c r="AC290" s="7">
        <f>H290*K290</f>
      </c>
      <c r="AD290" s="7">
        <f>H290*M290</f>
      </c>
      <c r="AE290" s="6">
        <f>H290*L290/100</f>
      </c>
      <c r="AF290" s="6">
        <f>AA290+AB290+AE290</f>
      </c>
      <c r="AG290" s="6">
        <f>I290+J290+L290</f>
      </c>
      <c r="AH290" s="53">
        <f>$H290*I290</f>
      </c>
      <c r="AI290" s="53">
        <f>$H290*J290</f>
      </c>
      <c r="AJ290" s="53">
        <f>$H290*K290</f>
      </c>
      <c r="AK290" s="53">
        <f>$H290*L290</f>
      </c>
      <c r="AL290" s="53">
        <f>$H290*M290</f>
      </c>
      <c r="AM290" s="3"/>
      <c r="AN290" s="5"/>
      <c r="AO290" s="5"/>
      <c r="AP290" s="5"/>
      <c r="AQ290" s="3"/>
    </row>
    <row x14ac:dyDescent="0.25" r="291" customHeight="1" ht="12.75">
      <c r="A291" s="5" t="s">
        <v>662</v>
      </c>
      <c r="B291" s="3" t="s">
        <v>1100</v>
      </c>
      <c r="C291" s="3" t="s">
        <v>865</v>
      </c>
      <c r="D291" s="3" t="s">
        <v>982</v>
      </c>
      <c r="E291" s="38" t="s">
        <v>859</v>
      </c>
      <c r="F291" s="3" t="s">
        <v>1171</v>
      </c>
      <c r="G291" s="3" t="s">
        <v>1342</v>
      </c>
      <c r="H291" s="23">
        <v>0.786285</v>
      </c>
      <c r="I291" s="6">
        <v>0.42</v>
      </c>
      <c r="J291" s="6">
        <v>0.5</v>
      </c>
      <c r="K291" s="6">
        <v>311.9</v>
      </c>
      <c r="L291" s="6"/>
      <c r="M291" s="6"/>
      <c r="N291" s="7"/>
      <c r="O291" s="23"/>
      <c r="P291" s="6"/>
      <c r="Q291" s="6"/>
      <c r="R291" s="31"/>
      <c r="S291" s="6"/>
      <c r="T291" s="31"/>
      <c r="U291" s="6"/>
      <c r="V291" s="23"/>
      <c r="W291" s="6"/>
      <c r="X291" s="6"/>
      <c r="Y291" s="5"/>
      <c r="Z291" s="3"/>
      <c r="AA291" s="6">
        <f>H291*I291/100</f>
      </c>
      <c r="AB291" s="6">
        <f>H291*J291/100</f>
      </c>
      <c r="AC291" s="7">
        <f>H291*K291</f>
      </c>
      <c r="AD291" s="7">
        <f>H291*M291</f>
      </c>
      <c r="AE291" s="6">
        <f>H291*L291/100</f>
      </c>
      <c r="AF291" s="6">
        <f>AA291+AB291+AE291</f>
      </c>
      <c r="AG291" s="6">
        <f>I291+J291+L291</f>
      </c>
      <c r="AH291" s="53">
        <f>$H291*I291</f>
      </c>
      <c r="AI291" s="53">
        <f>$H291*J291</f>
      </c>
      <c r="AJ291" s="53">
        <f>$H291*K291</f>
      </c>
      <c r="AK291" s="53">
        <f>$H291*L291</f>
      </c>
      <c r="AL291" s="53">
        <f>$H291*M291</f>
      </c>
      <c r="AM291" s="3"/>
      <c r="AN291" s="5"/>
      <c r="AO291" s="5"/>
      <c r="AP291" s="5"/>
      <c r="AQ291" s="3"/>
    </row>
    <row x14ac:dyDescent="0.25" r="292" customHeight="1" ht="12.75">
      <c r="A292" s="5" t="s">
        <v>630</v>
      </c>
      <c r="B292" s="3" t="s">
        <v>1100</v>
      </c>
      <c r="C292" s="3" t="s">
        <v>865</v>
      </c>
      <c r="D292" s="3" t="s">
        <v>982</v>
      </c>
      <c r="E292" s="38" t="s">
        <v>859</v>
      </c>
      <c r="F292" s="3" t="s">
        <v>1171</v>
      </c>
      <c r="G292" s="3" t="s">
        <v>1342</v>
      </c>
      <c r="H292" s="23">
        <v>0.485324</v>
      </c>
      <c r="I292" s="6">
        <v>0.59</v>
      </c>
      <c r="J292" s="6">
        <v>0.12</v>
      </c>
      <c r="K292" s="5">
        <v>336</v>
      </c>
      <c r="L292" s="6"/>
      <c r="M292" s="6"/>
      <c r="N292" s="7"/>
      <c r="O292" s="23"/>
      <c r="P292" s="6"/>
      <c r="Q292" s="6"/>
      <c r="R292" s="31"/>
      <c r="S292" s="6"/>
      <c r="T292" s="31"/>
      <c r="U292" s="6"/>
      <c r="V292" s="23"/>
      <c r="W292" s="6"/>
      <c r="X292" s="6"/>
      <c r="Y292" s="5"/>
      <c r="Z292" s="3"/>
      <c r="AA292" s="6">
        <f>H292*I292/100</f>
      </c>
      <c r="AB292" s="6">
        <f>H292*J292/100</f>
      </c>
      <c r="AC292" s="7">
        <f>H292*K292</f>
      </c>
      <c r="AD292" s="7">
        <f>H292*M292</f>
      </c>
      <c r="AE292" s="6">
        <f>H292*L292/100</f>
      </c>
      <c r="AF292" s="6">
        <f>AA292+AB292+AE292</f>
      </c>
      <c r="AG292" s="6">
        <f>I292+J292+L292</f>
      </c>
      <c r="AH292" s="53">
        <f>$H292*I292</f>
      </c>
      <c r="AI292" s="53">
        <f>$H292*J292</f>
      </c>
      <c r="AJ292" s="53">
        <f>$H292*K292</f>
      </c>
      <c r="AK292" s="53">
        <f>$H292*L292</f>
      </c>
      <c r="AL292" s="53">
        <f>$H292*M292</f>
      </c>
      <c r="AM292" s="3"/>
      <c r="AN292" s="5"/>
      <c r="AO292" s="5"/>
      <c r="AP292" s="5"/>
      <c r="AQ292" s="3"/>
    </row>
    <row x14ac:dyDescent="0.25" r="293" customHeight="1" ht="12.75">
      <c r="A293" s="5" t="s">
        <v>575</v>
      </c>
      <c r="B293" s="3" t="s">
        <v>1100</v>
      </c>
      <c r="C293" s="3" t="s">
        <v>856</v>
      </c>
      <c r="D293" s="3" t="s">
        <v>928</v>
      </c>
      <c r="E293" s="3" t="s">
        <v>855</v>
      </c>
      <c r="F293" s="3" t="s">
        <v>1427</v>
      </c>
      <c r="G293" s="3" t="s">
        <v>1428</v>
      </c>
      <c r="H293" s="6">
        <v>9.06</v>
      </c>
      <c r="I293" s="6">
        <v>0.69</v>
      </c>
      <c r="J293" s="6">
        <v>0.84</v>
      </c>
      <c r="K293" s="6">
        <v>84.78</v>
      </c>
      <c r="L293" s="6">
        <v>0.09</v>
      </c>
      <c r="M293" s="6">
        <v>3.54</v>
      </c>
      <c r="N293" s="7"/>
      <c r="O293" s="23"/>
      <c r="P293" s="6"/>
      <c r="Q293" s="6"/>
      <c r="R293" s="31"/>
      <c r="S293" s="6"/>
      <c r="T293" s="31"/>
      <c r="U293" s="6"/>
      <c r="V293" s="23"/>
      <c r="W293" s="6"/>
      <c r="X293" s="6"/>
      <c r="Y293" s="5"/>
      <c r="Z293" s="3"/>
      <c r="AA293" s="6">
        <f>H293*I293/100</f>
      </c>
      <c r="AB293" s="6">
        <f>H293*J293/100</f>
      </c>
      <c r="AC293" s="7">
        <f>H293*K293</f>
      </c>
      <c r="AD293" s="7">
        <f>H293*M293</f>
      </c>
      <c r="AE293" s="6">
        <f>H293*L293/100</f>
      </c>
      <c r="AF293" s="6">
        <f>AA293+AB293+AE293</f>
      </c>
      <c r="AG293" s="6">
        <f>I293+J293+L293</f>
      </c>
      <c r="AH293" s="53">
        <f>$H293*I293</f>
      </c>
      <c r="AI293" s="53">
        <f>$H293*J293</f>
      </c>
      <c r="AJ293" s="53">
        <f>$H293*K293</f>
      </c>
      <c r="AK293" s="53">
        <f>$H293*L293</f>
      </c>
      <c r="AL293" s="53">
        <f>$H293*M293</f>
      </c>
      <c r="AM293" s="3"/>
      <c r="AN293" s="5"/>
      <c r="AO293" s="5"/>
      <c r="AP293" s="5"/>
      <c r="AQ293" s="3"/>
    </row>
    <row x14ac:dyDescent="0.25" r="294" customHeight="1" ht="12.75">
      <c r="A294" s="5" t="s">
        <v>31</v>
      </c>
      <c r="B294" s="3" t="s">
        <v>1100</v>
      </c>
      <c r="C294" s="3" t="s">
        <v>1014</v>
      </c>
      <c r="D294" s="3"/>
      <c r="E294" s="38" t="s">
        <v>859</v>
      </c>
      <c r="F294" s="3" t="s">
        <v>1171</v>
      </c>
      <c r="G294" s="3" t="s">
        <v>1342</v>
      </c>
      <c r="H294" s="23">
        <v>0.017935</v>
      </c>
      <c r="I294" s="6">
        <v>8.2</v>
      </c>
      <c r="J294" s="5">
        <v>8</v>
      </c>
      <c r="K294" s="5">
        <v>240</v>
      </c>
      <c r="L294" s="6"/>
      <c r="M294" s="6">
        <v>9.26</v>
      </c>
      <c r="N294" s="7"/>
      <c r="O294" s="23"/>
      <c r="P294" s="6"/>
      <c r="Q294" s="6"/>
      <c r="R294" s="31"/>
      <c r="S294" s="6"/>
      <c r="T294" s="31"/>
      <c r="U294" s="6"/>
      <c r="V294" s="23"/>
      <c r="W294" s="6"/>
      <c r="X294" s="6"/>
      <c r="Y294" s="5"/>
      <c r="Z294" s="3"/>
      <c r="AA294" s="6">
        <f>H294*I294/100</f>
      </c>
      <c r="AB294" s="6">
        <f>H294*J294/100</f>
      </c>
      <c r="AC294" s="7">
        <f>H294*K294</f>
      </c>
      <c r="AD294" s="7">
        <f>H294*M294</f>
      </c>
      <c r="AE294" s="6">
        <f>H294*L294/100</f>
      </c>
      <c r="AF294" s="6">
        <f>AA294+AB294+AE294</f>
      </c>
      <c r="AG294" s="6">
        <f>I294+J294+L294</f>
      </c>
      <c r="AH294" s="53">
        <f>$H294*I294</f>
      </c>
      <c r="AI294" s="53">
        <f>$H294*J294</f>
      </c>
      <c r="AJ294" s="53">
        <f>$H294*K294</f>
      </c>
      <c r="AK294" s="53">
        <f>$H294*L294</f>
      </c>
      <c r="AL294" s="53">
        <f>$H294*M294</f>
      </c>
      <c r="AM294" s="3"/>
      <c r="AN294" s="5"/>
      <c r="AO294" s="5"/>
      <c r="AP294" s="5"/>
      <c r="AQ294" s="3"/>
    </row>
    <row x14ac:dyDescent="0.25" r="295" customHeight="1" ht="12.75">
      <c r="A295" s="5" t="s">
        <v>59</v>
      </c>
      <c r="B295" s="3" t="s">
        <v>1100</v>
      </c>
      <c r="C295" s="3" t="s">
        <v>866</v>
      </c>
      <c r="D295" s="3" t="s">
        <v>988</v>
      </c>
      <c r="E295" s="38" t="s">
        <v>859</v>
      </c>
      <c r="F295" s="3" t="s">
        <v>1171</v>
      </c>
      <c r="G295" s="3" t="s">
        <v>1173</v>
      </c>
      <c r="H295" s="6">
        <v>0.01</v>
      </c>
      <c r="I295" s="6">
        <v>5.36</v>
      </c>
      <c r="J295" s="6">
        <v>15.6</v>
      </c>
      <c r="K295" s="6">
        <v>66.5</v>
      </c>
      <c r="L295" s="6"/>
      <c r="M295" s="6"/>
      <c r="N295" s="7"/>
      <c r="O295" s="23"/>
      <c r="P295" s="6"/>
      <c r="Q295" s="6"/>
      <c r="R295" s="31"/>
      <c r="S295" s="6"/>
      <c r="T295" s="31"/>
      <c r="U295" s="6"/>
      <c r="V295" s="23"/>
      <c r="W295" s="6"/>
      <c r="X295" s="6"/>
      <c r="Y295" s="5"/>
      <c r="Z295" s="3"/>
      <c r="AA295" s="6">
        <f>H295*I295/100</f>
      </c>
      <c r="AB295" s="6">
        <f>H295*J295/100</f>
      </c>
      <c r="AC295" s="7">
        <f>H295*K295</f>
      </c>
      <c r="AD295" s="7">
        <f>H295*M295</f>
      </c>
      <c r="AE295" s="6">
        <f>H295*L295/100</f>
      </c>
      <c r="AF295" s="6">
        <f>AA295+AB295+AE295</f>
      </c>
      <c r="AG295" s="6">
        <f>I295+J295+L295</f>
      </c>
      <c r="AH295" s="53">
        <f>$H295*I295</f>
      </c>
      <c r="AI295" s="53">
        <f>$H295*J295</f>
      </c>
      <c r="AJ295" s="53">
        <f>$H295*K295</f>
      </c>
      <c r="AK295" s="53">
        <f>$H295*L295</f>
      </c>
      <c r="AL295" s="53">
        <f>$H295*M295</f>
      </c>
      <c r="AM295" s="3"/>
      <c r="AN295" s="5"/>
      <c r="AO295" s="5"/>
      <c r="AP295" s="5"/>
      <c r="AQ295" s="3"/>
    </row>
    <row x14ac:dyDescent="0.25" r="296" customHeight="1" ht="12.75">
      <c r="A296" s="5" t="s">
        <v>302</v>
      </c>
      <c r="B296" s="3" t="s">
        <v>1100</v>
      </c>
      <c r="C296" s="3" t="s">
        <v>870</v>
      </c>
      <c r="D296" s="3"/>
      <c r="E296" s="3" t="s">
        <v>855</v>
      </c>
      <c r="F296" s="3" t="s">
        <v>1380</v>
      </c>
      <c r="G296" s="3" t="s">
        <v>1429</v>
      </c>
      <c r="H296" s="6">
        <f>11.3+1.5</f>
      </c>
      <c r="I296" s="7">
        <f>(1.5*11.3+3.1*1.5)/$H296</f>
      </c>
      <c r="J296" s="7">
        <f>(5.9*11.3+6.4*1.5)/$H296</f>
      </c>
      <c r="K296" s="5">
        <v>138</v>
      </c>
      <c r="L296" s="6">
        <f>(0.9*11.3+0.14*1.5)/$H296</f>
      </c>
      <c r="M296" s="6">
        <f>(1.3*11.3+2*1.5)/$H296</f>
      </c>
      <c r="N296" s="7"/>
      <c r="O296" s="23"/>
      <c r="P296" s="6"/>
      <c r="Q296" s="6"/>
      <c r="R296" s="31"/>
      <c r="S296" s="6"/>
      <c r="T296" s="31"/>
      <c r="U296" s="6"/>
      <c r="V296" s="23"/>
      <c r="W296" s="6"/>
      <c r="X296" s="6"/>
      <c r="Y296" s="5"/>
      <c r="Z296" s="3"/>
      <c r="AA296" s="6">
        <f>H296*I296/100</f>
      </c>
      <c r="AB296" s="6">
        <f>H296*J296/100</f>
      </c>
      <c r="AC296" s="7">
        <f>H296*K296</f>
      </c>
      <c r="AD296" s="7">
        <f>H296*M296</f>
      </c>
      <c r="AE296" s="6">
        <f>H296*L296/100</f>
      </c>
      <c r="AF296" s="6">
        <f>AA296+AB296+AE296</f>
      </c>
      <c r="AG296" s="6">
        <f>I296+J296+L296</f>
      </c>
      <c r="AH296" s="53">
        <f>$H296*I296</f>
      </c>
      <c r="AI296" s="53">
        <f>$H296*J296</f>
      </c>
      <c r="AJ296" s="53">
        <f>$H296*K296</f>
      </c>
      <c r="AK296" s="53">
        <f>$H296*L296</f>
      </c>
      <c r="AL296" s="53">
        <f>$H296*M296</f>
      </c>
      <c r="AM296" s="3"/>
      <c r="AN296" s="5"/>
      <c r="AO296" s="5"/>
      <c r="AP296" s="5"/>
      <c r="AQ296" s="3"/>
    </row>
    <row x14ac:dyDescent="0.25" r="297" customHeight="1" ht="12.75">
      <c r="A297" s="5" t="s">
        <v>464</v>
      </c>
      <c r="B297" s="3" t="s">
        <v>1100</v>
      </c>
      <c r="C297" s="3" t="s">
        <v>870</v>
      </c>
      <c r="D297" s="3"/>
      <c r="E297" s="3" t="s">
        <v>855</v>
      </c>
      <c r="F297" s="3" t="s">
        <v>1430</v>
      </c>
      <c r="G297" s="3" t="s">
        <v>1402</v>
      </c>
      <c r="H297" s="6">
        <f>5.421+5.859+1.09</f>
      </c>
      <c r="I297" s="6"/>
      <c r="J297" s="6">
        <f>(2.86*5.421+3.67*5.859+2.04*1.09)/$H297</f>
      </c>
      <c r="K297" s="7">
        <f>(31.4*5.421+41.6*5.859+30.7*1.09)/$H297</f>
      </c>
      <c r="L297" s="6">
        <f>(2.15*5.421+2.24*5.859+1.74*1.09)/$H297</f>
      </c>
      <c r="M297" s="6">
        <f>(0.34*5.421+0.45*5.859+0.35*1.09)/$H297</f>
      </c>
      <c r="N297" s="7"/>
      <c r="O297" s="23"/>
      <c r="P297" s="6"/>
      <c r="Q297" s="6"/>
      <c r="R297" s="31"/>
      <c r="S297" s="6"/>
      <c r="T297" s="31"/>
      <c r="U297" s="6"/>
      <c r="V297" s="23"/>
      <c r="W297" s="6"/>
      <c r="X297" s="6"/>
      <c r="Y297" s="5"/>
      <c r="Z297" s="3"/>
      <c r="AA297" s="6">
        <f>H297*I297/100</f>
      </c>
      <c r="AB297" s="6">
        <f>H297*J297/100</f>
      </c>
      <c r="AC297" s="7">
        <f>H297*K297</f>
      </c>
      <c r="AD297" s="7">
        <f>H297*M297</f>
      </c>
      <c r="AE297" s="6">
        <f>H297*L297/100</f>
      </c>
      <c r="AF297" s="6">
        <f>AA297+AB297+AE297</f>
      </c>
      <c r="AG297" s="6">
        <f>I297+J297+L297</f>
      </c>
      <c r="AH297" s="53">
        <f>$H297*I297</f>
      </c>
      <c r="AI297" s="53">
        <f>$H297*J297</f>
      </c>
      <c r="AJ297" s="53">
        <f>$H297*K297</f>
      </c>
      <c r="AK297" s="53">
        <f>$H297*L297</f>
      </c>
      <c r="AL297" s="53">
        <f>$H297*M297</f>
      </c>
      <c r="AM297" s="3"/>
      <c r="AN297" s="5"/>
      <c r="AO297" s="5"/>
      <c r="AP297" s="5"/>
      <c r="AQ297" s="3"/>
    </row>
    <row x14ac:dyDescent="0.25" r="298" customHeight="1" ht="12.75">
      <c r="A298" s="5" t="s">
        <v>208</v>
      </c>
      <c r="B298" s="3" t="s">
        <v>1100</v>
      </c>
      <c r="C298" s="3" t="s">
        <v>870</v>
      </c>
      <c r="D298" s="3"/>
      <c r="E298" s="3" t="s">
        <v>855</v>
      </c>
      <c r="F298" s="3" t="s">
        <v>1431</v>
      </c>
      <c r="G298" s="3" t="s">
        <v>1181</v>
      </c>
      <c r="H298" s="6">
        <f>5.978+18.149+4.242+10.536</f>
      </c>
      <c r="I298" s="6">
        <f>(0.07*5.978+0.03*18.149+0.16*4.242+0.05*10.536)/$H298</f>
      </c>
      <c r="J298" s="6">
        <f>(0.6*5.978+0.69*18.149+1.61*4.242+0.55*10.536)/$H298</f>
      </c>
      <c r="K298" s="7">
        <f>(23.27*5.978+18.37*18.149+32.53*4.242+14.72*10.536)/$H298</f>
      </c>
      <c r="L298" s="6">
        <f>(0.31*5.978+0.23*18.149+0.16*4.242+0.27*10.536)/$H298</f>
      </c>
      <c r="M298" s="6">
        <f>(3.48*5.978+5.5*18.149+2.12*4.242+4.61*10.536)/$H298</f>
      </c>
      <c r="N298" s="7"/>
      <c r="O298" s="23"/>
      <c r="P298" s="6"/>
      <c r="Q298" s="6"/>
      <c r="R298" s="31"/>
      <c r="S298" s="6"/>
      <c r="T298" s="31"/>
      <c r="U298" s="6"/>
      <c r="V298" s="23"/>
      <c r="W298" s="6"/>
      <c r="X298" s="6"/>
      <c r="Y298" s="5"/>
      <c r="Z298" s="3"/>
      <c r="AA298" s="6">
        <f>H298*I298/100</f>
      </c>
      <c r="AB298" s="6">
        <f>H298*J298/100</f>
      </c>
      <c r="AC298" s="7">
        <f>H298*K298</f>
      </c>
      <c r="AD298" s="7">
        <f>H298*M298</f>
      </c>
      <c r="AE298" s="6">
        <f>H298*L298/100</f>
      </c>
      <c r="AF298" s="6">
        <f>AA298+AB298+AE298</f>
      </c>
      <c r="AG298" s="6">
        <f>I298+J298+L298</f>
      </c>
      <c r="AH298" s="53">
        <f>$H298*I298</f>
      </c>
      <c r="AI298" s="53">
        <f>$H298*J298</f>
      </c>
      <c r="AJ298" s="53">
        <f>$H298*K298</f>
      </c>
      <c r="AK298" s="53">
        <f>$H298*L298</f>
      </c>
      <c r="AL298" s="53">
        <f>$H298*M298</f>
      </c>
      <c r="AM298" s="3"/>
      <c r="AN298" s="5"/>
      <c r="AO298" s="5"/>
      <c r="AP298" s="5"/>
      <c r="AQ298" s="3"/>
    </row>
    <row x14ac:dyDescent="0.25" r="299" customHeight="1" ht="12.75">
      <c r="A299" s="5" t="s">
        <v>224</v>
      </c>
      <c r="B299" s="3" t="s">
        <v>1100</v>
      </c>
      <c r="C299" s="3" t="s">
        <v>866</v>
      </c>
      <c r="D299" s="3" t="s">
        <v>988</v>
      </c>
      <c r="E299" s="38" t="s">
        <v>859</v>
      </c>
      <c r="F299" s="3" t="s">
        <v>1171</v>
      </c>
      <c r="G299" s="3" t="s">
        <v>1350</v>
      </c>
      <c r="H299" s="6">
        <v>0.03</v>
      </c>
      <c r="I299" s="6"/>
      <c r="J299" s="6">
        <v>12.03</v>
      </c>
      <c r="K299" s="5"/>
      <c r="L299" s="6"/>
      <c r="M299" s="6"/>
      <c r="N299" s="7"/>
      <c r="O299" s="23"/>
      <c r="P299" s="6"/>
      <c r="Q299" s="6"/>
      <c r="R299" s="31"/>
      <c r="S299" s="6"/>
      <c r="T299" s="31"/>
      <c r="U299" s="6"/>
      <c r="V299" s="23"/>
      <c r="W299" s="6"/>
      <c r="X299" s="6"/>
      <c r="Y299" s="5"/>
      <c r="Z299" s="3"/>
      <c r="AA299" s="6">
        <f>H299*I299/100</f>
      </c>
      <c r="AB299" s="6">
        <f>H299*J299/100</f>
      </c>
      <c r="AC299" s="7">
        <f>H299*K299</f>
      </c>
      <c r="AD299" s="7">
        <f>H299*M299</f>
      </c>
      <c r="AE299" s="6">
        <f>H299*L299/100</f>
      </c>
      <c r="AF299" s="6">
        <f>AA299+AB299+AE299</f>
      </c>
      <c r="AG299" s="6">
        <f>I299+J299+L299</f>
      </c>
      <c r="AH299" s="53">
        <f>$H299*I299</f>
      </c>
      <c r="AI299" s="53">
        <f>$H299*J299</f>
      </c>
      <c r="AJ299" s="53">
        <f>$H299*K299</f>
      </c>
      <c r="AK299" s="53">
        <f>$H299*L299</f>
      </c>
      <c r="AL299" s="53">
        <f>$H299*M299</f>
      </c>
      <c r="AM299" s="3"/>
      <c r="AN299" s="5"/>
      <c r="AO299" s="5"/>
      <c r="AP299" s="5"/>
      <c r="AQ299" s="3"/>
    </row>
    <row x14ac:dyDescent="0.25" r="300" customHeight="1" ht="12.75">
      <c r="A300" s="5" t="s">
        <v>296</v>
      </c>
      <c r="B300" s="3" t="s">
        <v>1100</v>
      </c>
      <c r="C300" s="3" t="s">
        <v>870</v>
      </c>
      <c r="D300" s="3"/>
      <c r="E300" s="3" t="s">
        <v>855</v>
      </c>
      <c r="F300" s="3" t="s">
        <v>1432</v>
      </c>
      <c r="G300" s="3" t="s">
        <v>1181</v>
      </c>
      <c r="H300" s="6">
        <f>2.54+2.31+0.86</f>
      </c>
      <c r="I300" s="6">
        <f>(0.24*2.54+0.26*2.31+0.19*0.86)/$H300</f>
      </c>
      <c r="J300" s="6">
        <f>(10.71*2.54+9.93*2.31+7.19*0.86)/$H300</f>
      </c>
      <c r="K300" s="7">
        <f>(51.65*2.54+51.74*2.31+43.12*0.86)/$H300</f>
      </c>
      <c r="L300" s="6">
        <f>(0.66*2.54+0.66*2.31+0.38*0.86)/$H300</f>
      </c>
      <c r="M300" s="6">
        <f>(0.04*2.54+0.1*2.31+0.07*0.86)/$H300</f>
      </c>
      <c r="N300" s="7"/>
      <c r="O300" s="23"/>
      <c r="P300" s="6"/>
      <c r="Q300" s="6"/>
      <c r="R300" s="31"/>
      <c r="S300" s="6"/>
      <c r="T300" s="31"/>
      <c r="U300" s="6"/>
      <c r="V300" s="23"/>
      <c r="W300" s="6"/>
      <c r="X300" s="6"/>
      <c r="Y300" s="5"/>
      <c r="Z300" s="3"/>
      <c r="AA300" s="6">
        <f>H300*I300/100</f>
      </c>
      <c r="AB300" s="6">
        <f>H300*J300/100</f>
      </c>
      <c r="AC300" s="7">
        <f>H300*K300</f>
      </c>
      <c r="AD300" s="7">
        <f>H300*M300</f>
      </c>
      <c r="AE300" s="6">
        <f>H300*L300/100</f>
      </c>
      <c r="AF300" s="6">
        <f>AA300+AB300+AE300</f>
      </c>
      <c r="AG300" s="6">
        <f>I300+J300+L300</f>
      </c>
      <c r="AH300" s="53">
        <f>$H300*I300</f>
      </c>
      <c r="AI300" s="53">
        <f>$H300*J300</f>
      </c>
      <c r="AJ300" s="53">
        <f>$H300*K300</f>
      </c>
      <c r="AK300" s="53">
        <f>$H300*L300</f>
      </c>
      <c r="AL300" s="53">
        <f>$H300*M300</f>
      </c>
      <c r="AM300" s="3"/>
      <c r="AN300" s="5"/>
      <c r="AO300" s="5"/>
      <c r="AP300" s="5"/>
      <c r="AQ300" s="3"/>
    </row>
    <row x14ac:dyDescent="0.25" r="301" customHeight="1" ht="12.75">
      <c r="A301" s="5" t="s">
        <v>582</v>
      </c>
      <c r="B301" s="3" t="s">
        <v>1100</v>
      </c>
      <c r="C301" s="3" t="s">
        <v>870</v>
      </c>
      <c r="D301" s="3"/>
      <c r="E301" s="3" t="s">
        <v>855</v>
      </c>
      <c r="F301" s="3" t="s">
        <v>1433</v>
      </c>
      <c r="G301" s="3" t="s">
        <v>1415</v>
      </c>
      <c r="H301" s="23">
        <f>1.1467+0.6696</f>
      </c>
      <c r="I301" s="6">
        <f>(0.58*1.1467+0.44*0.6696)/$H301</f>
      </c>
      <c r="J301" s="6">
        <f>(3.01*1.1467+2.26*0.6696)/$H301</f>
      </c>
      <c r="K301" s="7">
        <f>(32.97*1.1467+32.99*0.6696)/$H301</f>
      </c>
      <c r="L301" s="6">
        <f>(1.05*1.1467+0.9*0.6696)/$H301</f>
      </c>
      <c r="M301" s="6">
        <f>(1.97*1.1467+1.9*0.6696)/$H301</f>
      </c>
      <c r="N301" s="7"/>
      <c r="O301" s="23"/>
      <c r="P301" s="6"/>
      <c r="Q301" s="6"/>
      <c r="R301" s="31"/>
      <c r="S301" s="6"/>
      <c r="T301" s="31"/>
      <c r="U301" s="6"/>
      <c r="V301" s="23"/>
      <c r="W301" s="6"/>
      <c r="X301" s="6"/>
      <c r="Y301" s="5"/>
      <c r="Z301" s="3"/>
      <c r="AA301" s="6">
        <f>H301*I301/100</f>
      </c>
      <c r="AB301" s="6">
        <f>H301*J301/100</f>
      </c>
      <c r="AC301" s="7">
        <f>H301*K301</f>
      </c>
      <c r="AD301" s="7">
        <f>H301*M301</f>
      </c>
      <c r="AE301" s="6">
        <f>H301*L301/100</f>
      </c>
      <c r="AF301" s="6">
        <f>AA301+AB301+AE301</f>
      </c>
      <c r="AG301" s="6">
        <f>I301+J301+L301</f>
      </c>
      <c r="AH301" s="53">
        <f>$H301*I301</f>
      </c>
      <c r="AI301" s="53">
        <f>$H301*J301</f>
      </c>
      <c r="AJ301" s="53">
        <f>$H301*K301</f>
      </c>
      <c r="AK301" s="53">
        <f>$H301*L301</f>
      </c>
      <c r="AL301" s="53">
        <f>$H301*M301</f>
      </c>
      <c r="AM301" s="3"/>
      <c r="AN301" s="5"/>
      <c r="AO301" s="5"/>
      <c r="AP301" s="5"/>
      <c r="AQ301" s="3"/>
    </row>
    <row x14ac:dyDescent="0.25" r="302" customHeight="1" ht="12.75">
      <c r="A302" s="5" t="s">
        <v>475</v>
      </c>
      <c r="B302" s="3" t="s">
        <v>1100</v>
      </c>
      <c r="C302" s="3" t="s">
        <v>866</v>
      </c>
      <c r="D302" s="3" t="s">
        <v>988</v>
      </c>
      <c r="E302" s="38" t="s">
        <v>859</v>
      </c>
      <c r="F302" s="3" t="s">
        <v>1171</v>
      </c>
      <c r="G302" s="3" t="s">
        <v>1360</v>
      </c>
      <c r="H302" s="6">
        <v>0.127</v>
      </c>
      <c r="I302" s="6"/>
      <c r="J302" s="7">
        <v>8</v>
      </c>
      <c r="K302" s="5"/>
      <c r="L302" s="6"/>
      <c r="M302" s="6"/>
      <c r="N302" s="7"/>
      <c r="O302" s="23"/>
      <c r="P302" s="6"/>
      <c r="Q302" s="6"/>
      <c r="R302" s="31"/>
      <c r="S302" s="6"/>
      <c r="T302" s="31"/>
      <c r="U302" s="6"/>
      <c r="V302" s="23"/>
      <c r="W302" s="6"/>
      <c r="X302" s="6"/>
      <c r="Y302" s="5"/>
      <c r="Z302" s="3"/>
      <c r="AA302" s="6">
        <f>H302*I302/100</f>
      </c>
      <c r="AB302" s="6">
        <f>H302*J302/100</f>
      </c>
      <c r="AC302" s="7">
        <f>H302*K302</f>
      </c>
      <c r="AD302" s="7">
        <f>H302*M302</f>
      </c>
      <c r="AE302" s="6">
        <f>H302*L302/100</f>
      </c>
      <c r="AF302" s="6">
        <f>AA302+AB302+AE302</f>
      </c>
      <c r="AG302" s="6">
        <f>I302+J302+L302</f>
      </c>
      <c r="AH302" s="53">
        <f>$H302*I302</f>
      </c>
      <c r="AI302" s="53">
        <f>$H302*J302</f>
      </c>
      <c r="AJ302" s="53">
        <f>$H302*K302</f>
      </c>
      <c r="AK302" s="53">
        <f>$H302*L302</f>
      </c>
      <c r="AL302" s="53">
        <f>$H302*M302</f>
      </c>
      <c r="AM302" s="3"/>
      <c r="AN302" s="5"/>
      <c r="AO302" s="5"/>
      <c r="AP302" s="5"/>
      <c r="AQ302" s="3"/>
    </row>
    <row x14ac:dyDescent="0.25" r="303" customHeight="1" ht="12.75">
      <c r="A303" s="5" t="s">
        <v>704</v>
      </c>
      <c r="B303" s="3" t="s">
        <v>1100</v>
      </c>
      <c r="C303" s="3" t="s">
        <v>870</v>
      </c>
      <c r="D303" s="3"/>
      <c r="E303" s="3" t="s">
        <v>855</v>
      </c>
      <c r="F303" s="3" t="s">
        <v>1356</v>
      </c>
      <c r="G303" s="3" t="s">
        <v>1434</v>
      </c>
      <c r="H303" s="6">
        <f>1.52+2.27</f>
      </c>
      <c r="I303" s="6">
        <f>(1.07*1.52+0.74*2.27)/$H303</f>
      </c>
      <c r="J303" s="6">
        <f>(4.87*1.52+3.18*2.27)/$H303</f>
      </c>
      <c r="K303" s="7">
        <f>(51.1*1.52+36.53*2.27)/$H303</f>
      </c>
      <c r="L303" s="6">
        <f>(0.52*1.52+0.36*2.27)/$H303</f>
      </c>
      <c r="M303" s="6">
        <f>(0.92*1.52+0.77*2.27)/$H303</f>
      </c>
      <c r="N303" s="7"/>
      <c r="O303" s="23"/>
      <c r="P303" s="6"/>
      <c r="Q303" s="6"/>
      <c r="R303" s="31"/>
      <c r="S303" s="6"/>
      <c r="T303" s="31"/>
      <c r="U303" s="6"/>
      <c r="V303" s="23"/>
      <c r="W303" s="6"/>
      <c r="X303" s="6"/>
      <c r="Y303" s="5"/>
      <c r="Z303" s="3"/>
      <c r="AA303" s="6">
        <f>H303*I303/100</f>
      </c>
      <c r="AB303" s="6">
        <f>H303*J303/100</f>
      </c>
      <c r="AC303" s="7">
        <f>H303*K303</f>
      </c>
      <c r="AD303" s="7">
        <f>H303*M303</f>
      </c>
      <c r="AE303" s="6">
        <f>H303*L303/100</f>
      </c>
      <c r="AF303" s="6">
        <f>AA303+AB303+AE303</f>
      </c>
      <c r="AG303" s="6">
        <f>I303+J303+L303</f>
      </c>
      <c r="AH303" s="53">
        <f>$H303*I303</f>
      </c>
      <c r="AI303" s="53">
        <f>$H303*J303</f>
      </c>
      <c r="AJ303" s="53">
        <f>$H303*K303</f>
      </c>
      <c r="AK303" s="53">
        <f>$H303*L303</f>
      </c>
      <c r="AL303" s="53">
        <f>$H303*M303</f>
      </c>
      <c r="AM303" s="3"/>
      <c r="AN303" s="5"/>
      <c r="AO303" s="5"/>
      <c r="AP303" s="5"/>
      <c r="AQ303" s="3"/>
    </row>
    <row x14ac:dyDescent="0.25" r="304" customHeight="1" ht="12.75">
      <c r="A304" s="5" t="s">
        <v>121</v>
      </c>
      <c r="B304" s="3" t="s">
        <v>1100</v>
      </c>
      <c r="C304" s="3" t="s">
        <v>870</v>
      </c>
      <c r="D304" s="3"/>
      <c r="E304" s="38" t="s">
        <v>859</v>
      </c>
      <c r="F304" s="3" t="s">
        <v>1171</v>
      </c>
      <c r="G304" s="3" t="s">
        <v>1342</v>
      </c>
      <c r="H304" s="23">
        <v>0.317485</v>
      </c>
      <c r="I304" s="6">
        <v>0.65</v>
      </c>
      <c r="J304" s="6">
        <v>6.6</v>
      </c>
      <c r="K304" s="7">
        <v>140.54</v>
      </c>
      <c r="L304" s="6">
        <v>1.6</v>
      </c>
      <c r="M304" s="6">
        <v>4.11</v>
      </c>
      <c r="N304" s="7"/>
      <c r="O304" s="23"/>
      <c r="P304" s="6"/>
      <c r="Q304" s="6"/>
      <c r="R304" s="31"/>
      <c r="S304" s="6"/>
      <c r="T304" s="31"/>
      <c r="U304" s="6"/>
      <c r="V304" s="23"/>
      <c r="W304" s="6"/>
      <c r="X304" s="6"/>
      <c r="Y304" s="5"/>
      <c r="Z304" s="3"/>
      <c r="AA304" s="6">
        <f>H304*I304/100</f>
      </c>
      <c r="AB304" s="6">
        <f>H304*J304/100</f>
      </c>
      <c r="AC304" s="7">
        <f>H304*K304</f>
      </c>
      <c r="AD304" s="7">
        <f>H304*M304</f>
      </c>
      <c r="AE304" s="6">
        <f>H304*L304/100</f>
      </c>
      <c r="AF304" s="6">
        <f>AA304+AB304+AE304</f>
      </c>
      <c r="AG304" s="6">
        <f>I304+J304+L304</f>
      </c>
      <c r="AH304" s="53">
        <f>$H304*I304</f>
      </c>
      <c r="AI304" s="53">
        <f>$H304*J304</f>
      </c>
      <c r="AJ304" s="53">
        <f>$H304*K304</f>
      </c>
      <c r="AK304" s="53">
        <f>$H304*L304</f>
      </c>
      <c r="AL304" s="53">
        <f>$H304*M304</f>
      </c>
      <c r="AM304" s="3"/>
      <c r="AN304" s="5"/>
      <c r="AO304" s="5"/>
      <c r="AP304" s="5"/>
      <c r="AQ304" s="3"/>
    </row>
    <row x14ac:dyDescent="0.25" r="305" customHeight="1" ht="12.75">
      <c r="A305" s="5" t="s">
        <v>511</v>
      </c>
      <c r="B305" s="3" t="s">
        <v>1100</v>
      </c>
      <c r="C305" s="3" t="s">
        <v>870</v>
      </c>
      <c r="D305" s="3"/>
      <c r="E305" s="3" t="s">
        <v>855</v>
      </c>
      <c r="F305" s="3" t="s">
        <v>1435</v>
      </c>
      <c r="G305" s="3" t="s">
        <v>1388</v>
      </c>
      <c r="H305" s="6">
        <v>0.74</v>
      </c>
      <c r="I305" s="6"/>
      <c r="J305" s="6">
        <v>3.5</v>
      </c>
      <c r="K305" s="6">
        <v>38.62</v>
      </c>
      <c r="L305" s="6">
        <v>1.88</v>
      </c>
      <c r="M305" s="6">
        <v>0.84</v>
      </c>
      <c r="N305" s="7"/>
      <c r="O305" s="23"/>
      <c r="P305" s="6"/>
      <c r="Q305" s="6"/>
      <c r="R305" s="31"/>
      <c r="S305" s="6"/>
      <c r="T305" s="31"/>
      <c r="U305" s="6"/>
      <c r="V305" s="23"/>
      <c r="W305" s="6"/>
      <c r="X305" s="6"/>
      <c r="Y305" s="5"/>
      <c r="Z305" s="3"/>
      <c r="AA305" s="6">
        <f>H305*I305/100</f>
      </c>
      <c r="AB305" s="6">
        <f>H305*J305/100</f>
      </c>
      <c r="AC305" s="7">
        <f>H305*K305</f>
      </c>
      <c r="AD305" s="7">
        <f>H305*M305</f>
      </c>
      <c r="AE305" s="6">
        <f>H305*L305/100</f>
      </c>
      <c r="AF305" s="6">
        <f>AA305+AB305+AE305</f>
      </c>
      <c r="AG305" s="6">
        <f>I305+J305+L305</f>
      </c>
      <c r="AH305" s="53">
        <f>$H305*I305</f>
      </c>
      <c r="AI305" s="53">
        <f>$H305*J305</f>
      </c>
      <c r="AJ305" s="53">
        <f>$H305*K305</f>
      </c>
      <c r="AK305" s="53">
        <f>$H305*L305</f>
      </c>
      <c r="AL305" s="53">
        <f>$H305*M305</f>
      </c>
      <c r="AM305" s="3"/>
      <c r="AN305" s="5"/>
      <c r="AO305" s="5"/>
      <c r="AP305" s="5"/>
      <c r="AQ305" s="3"/>
    </row>
    <row x14ac:dyDescent="0.25" r="306" customHeight="1" ht="12.75">
      <c r="A306" s="5" t="s">
        <v>706</v>
      </c>
      <c r="B306" s="3" t="s">
        <v>1100</v>
      </c>
      <c r="C306" s="3" t="s">
        <v>870</v>
      </c>
      <c r="D306" s="3"/>
      <c r="E306" s="38" t="s">
        <v>859</v>
      </c>
      <c r="F306" s="3" t="s">
        <v>1436</v>
      </c>
      <c r="G306" s="3" t="s">
        <v>1195</v>
      </c>
      <c r="H306" s="6">
        <v>11.8</v>
      </c>
      <c r="I306" s="6"/>
      <c r="J306" s="6">
        <v>0.8</v>
      </c>
      <c r="K306" s="6">
        <v>10.3</v>
      </c>
      <c r="L306" s="6">
        <v>0.3</v>
      </c>
      <c r="M306" s="6">
        <v>0.9</v>
      </c>
      <c r="N306" s="7"/>
      <c r="O306" s="23"/>
      <c r="P306" s="6"/>
      <c r="Q306" s="6"/>
      <c r="R306" s="31"/>
      <c r="S306" s="6"/>
      <c r="T306" s="31"/>
      <c r="U306" s="6"/>
      <c r="V306" s="23"/>
      <c r="W306" s="6"/>
      <c r="X306" s="6"/>
      <c r="Y306" s="5"/>
      <c r="Z306" s="3"/>
      <c r="AA306" s="6">
        <f>H306*I306/100</f>
      </c>
      <c r="AB306" s="6">
        <f>H306*J306/100</f>
      </c>
      <c r="AC306" s="7">
        <f>H306*K306</f>
      </c>
      <c r="AD306" s="7">
        <f>H306*M306</f>
      </c>
      <c r="AE306" s="6">
        <f>H306*L306/100</f>
      </c>
      <c r="AF306" s="6">
        <f>AA306+AB306+AE306</f>
      </c>
      <c r="AG306" s="6">
        <f>I306+J306+L306</f>
      </c>
      <c r="AH306" s="53">
        <f>$H306*I306</f>
      </c>
      <c r="AI306" s="53">
        <f>$H306*J306</f>
      </c>
      <c r="AJ306" s="53">
        <f>$H306*K306</f>
      </c>
      <c r="AK306" s="53">
        <f>$H306*L306</f>
      </c>
      <c r="AL306" s="53">
        <f>$H306*M306</f>
      </c>
      <c r="AM306" s="3"/>
      <c r="AN306" s="5"/>
      <c r="AO306" s="5"/>
      <c r="AP306" s="5"/>
      <c r="AQ306" s="3"/>
    </row>
    <row x14ac:dyDescent="0.25" r="307" customHeight="1" ht="12.75">
      <c r="A307" s="5" t="s">
        <v>520</v>
      </c>
      <c r="B307" s="3" t="s">
        <v>1100</v>
      </c>
      <c r="C307" s="3" t="s">
        <v>856</v>
      </c>
      <c r="D307" s="3"/>
      <c r="E307" s="3" t="s">
        <v>855</v>
      </c>
      <c r="F307" s="3" t="s">
        <v>1437</v>
      </c>
      <c r="G307" s="3" t="s">
        <v>1438</v>
      </c>
      <c r="H307" s="6">
        <v>13.08</v>
      </c>
      <c r="I307" s="6"/>
      <c r="J307" s="6">
        <v>5.1</v>
      </c>
      <c r="K307" s="6">
        <v>23.7</v>
      </c>
      <c r="L307" s="6"/>
      <c r="M307" s="6"/>
      <c r="N307" s="7"/>
      <c r="O307" s="23"/>
      <c r="P307" s="6"/>
      <c r="Q307" s="6"/>
      <c r="R307" s="31"/>
      <c r="S307" s="6"/>
      <c r="T307" s="31"/>
      <c r="U307" s="6"/>
      <c r="V307" s="23"/>
      <c r="W307" s="6"/>
      <c r="X307" s="6"/>
      <c r="Y307" s="5"/>
      <c r="Z307" s="3"/>
      <c r="AA307" s="6">
        <f>H307*I307/100</f>
      </c>
      <c r="AB307" s="6">
        <f>H307*J307/100</f>
      </c>
      <c r="AC307" s="7">
        <f>H307*K307</f>
      </c>
      <c r="AD307" s="7">
        <f>H307*M307</f>
      </c>
      <c r="AE307" s="6">
        <f>H307*L307/100</f>
      </c>
      <c r="AF307" s="6">
        <f>AA307+AB307+AE307</f>
      </c>
      <c r="AG307" s="6">
        <f>I307+J307+L307</f>
      </c>
      <c r="AH307" s="53">
        <f>$H307*I307</f>
      </c>
      <c r="AI307" s="53">
        <f>$H307*J307</f>
      </c>
      <c r="AJ307" s="53">
        <f>$H307*K307</f>
      </c>
      <c r="AK307" s="53">
        <f>$H307*L307</f>
      </c>
      <c r="AL307" s="53">
        <f>$H307*M307</f>
      </c>
      <c r="AM307" s="3"/>
      <c r="AN307" s="5"/>
      <c r="AO307" s="5"/>
      <c r="AP307" s="5"/>
      <c r="AQ307" s="3"/>
    </row>
    <row x14ac:dyDescent="0.25" r="308" customHeight="1" ht="12.75">
      <c r="A308" s="5" t="s">
        <v>347</v>
      </c>
      <c r="B308" s="3" t="s">
        <v>1100</v>
      </c>
      <c r="C308" s="3" t="s">
        <v>866</v>
      </c>
      <c r="D308" s="3"/>
      <c r="E308" s="3" t="s">
        <v>855</v>
      </c>
      <c r="F308" s="3" t="s">
        <v>1356</v>
      </c>
      <c r="G308" s="3" t="s">
        <v>1434</v>
      </c>
      <c r="H308" s="6">
        <f>0.407+0.078</f>
      </c>
      <c r="I308" s="6">
        <f>(1.58*0.407+1.24*0.078)/$H308</f>
      </c>
      <c r="J308" s="6">
        <f>(7.82*0.407+5.77*0.078)/$H308</f>
      </c>
      <c r="K308" s="31">
        <f>(49*0.407+34*0.078)/$H308</f>
      </c>
      <c r="L308" s="6">
        <f>(0.97*0.407+0.7*0.078)/$H308</f>
      </c>
      <c r="M308" s="6">
        <f>(0.57*0.407+0.48*0.078)/$H308</f>
      </c>
      <c r="N308" s="7"/>
      <c r="O308" s="23"/>
      <c r="P308" s="6"/>
      <c r="Q308" s="6"/>
      <c r="R308" s="31"/>
      <c r="S308" s="6"/>
      <c r="T308" s="31"/>
      <c r="U308" s="6"/>
      <c r="V308" s="23"/>
      <c r="W308" s="6"/>
      <c r="X308" s="6"/>
      <c r="Y308" s="5"/>
      <c r="Z308" s="3"/>
      <c r="AA308" s="6">
        <f>H308*I308/100</f>
      </c>
      <c r="AB308" s="6">
        <f>H308*J308/100</f>
      </c>
      <c r="AC308" s="7">
        <f>H308*K308</f>
      </c>
      <c r="AD308" s="7">
        <f>H308*M308</f>
      </c>
      <c r="AE308" s="6">
        <f>H308*L308/100</f>
      </c>
      <c r="AF308" s="6">
        <f>AA308+AB308+AE308</f>
      </c>
      <c r="AG308" s="6">
        <f>I308+J308+L308</f>
      </c>
      <c r="AH308" s="53">
        <f>$H308*I308</f>
      </c>
      <c r="AI308" s="53">
        <f>$H308*J308</f>
      </c>
      <c r="AJ308" s="53">
        <f>$H308*K308</f>
      </c>
      <c r="AK308" s="53">
        <f>$H308*L308</f>
      </c>
      <c r="AL308" s="53">
        <f>$H308*M308</f>
      </c>
      <c r="AM308" s="3"/>
      <c r="AN308" s="5"/>
      <c r="AO308" s="5"/>
      <c r="AP308" s="5"/>
      <c r="AQ308" s="3"/>
    </row>
    <row x14ac:dyDescent="0.25" r="309" customHeight="1" ht="12.75">
      <c r="A309" s="5" t="s">
        <v>509</v>
      </c>
      <c r="B309" s="3" t="s">
        <v>1100</v>
      </c>
      <c r="C309" s="3" t="s">
        <v>870</v>
      </c>
      <c r="D309" s="3"/>
      <c r="E309" s="3" t="s">
        <v>855</v>
      </c>
      <c r="F309" s="3" t="s">
        <v>1439</v>
      </c>
      <c r="G309" s="3" t="s">
        <v>1227</v>
      </c>
      <c r="H309" s="6">
        <f>23.44+4.31+0.89</f>
      </c>
      <c r="I309" s="6">
        <f>(0.6*23.44+0.54*4.31+0.95*0.89)/$H309</f>
      </c>
      <c r="J309" s="6">
        <f>(1.41*23.44+1.29*4.31+2.37*0.89)/$H309</f>
      </c>
      <c r="K309" s="6">
        <f>(5.31*23.44+4.47*4.31+11.29*0.89)/$H309</f>
      </c>
      <c r="L309" s="6">
        <f>(0.35*23.44+0.27*4.31+0.96*0.89)/$H309</f>
      </c>
      <c r="M309" s="6">
        <f>(0.07*23.44+0.08*4.31+0.15*0.89)/$H309</f>
      </c>
      <c r="N309" s="7"/>
      <c r="O309" s="23"/>
      <c r="P309" s="6"/>
      <c r="Q309" s="6"/>
      <c r="R309" s="31"/>
      <c r="S309" s="6"/>
      <c r="T309" s="31"/>
      <c r="U309" s="6"/>
      <c r="V309" s="23"/>
      <c r="W309" s="6"/>
      <c r="X309" s="6"/>
      <c r="Y309" s="5"/>
      <c r="Z309" s="3"/>
      <c r="AA309" s="6">
        <f>H309*I309/100</f>
      </c>
      <c r="AB309" s="6">
        <f>H309*J309/100</f>
      </c>
      <c r="AC309" s="7">
        <f>H309*K309</f>
      </c>
      <c r="AD309" s="7">
        <f>H309*M309</f>
      </c>
      <c r="AE309" s="6">
        <f>H309*L309/100</f>
      </c>
      <c r="AF309" s="6">
        <f>AA309+AB309+AE309</f>
      </c>
      <c r="AG309" s="6">
        <f>I309+J309+L309</f>
      </c>
      <c r="AH309" s="53">
        <f>$H309*I309</f>
      </c>
      <c r="AI309" s="53">
        <f>$H309*J309</f>
      </c>
      <c r="AJ309" s="53">
        <f>$H309*K309</f>
      </c>
      <c r="AK309" s="53">
        <f>$H309*L309</f>
      </c>
      <c r="AL309" s="53">
        <f>$H309*M309</f>
      </c>
      <c r="AM309" s="3"/>
      <c r="AN309" s="5"/>
      <c r="AO309" s="5"/>
      <c r="AP309" s="5"/>
      <c r="AQ309" s="3"/>
    </row>
    <row x14ac:dyDescent="0.25" r="310" customHeight="1" ht="12.75">
      <c r="A310" s="5" t="s">
        <v>675</v>
      </c>
      <c r="B310" s="3" t="s">
        <v>1100</v>
      </c>
      <c r="C310" s="3" t="s">
        <v>869</v>
      </c>
      <c r="D310" s="3"/>
      <c r="E310" s="38" t="s">
        <v>859</v>
      </c>
      <c r="F310" s="3" t="s">
        <v>1440</v>
      </c>
      <c r="G310" s="3" t="s">
        <v>1342</v>
      </c>
      <c r="H310" s="23">
        <f>0.233124+0.07411</f>
      </c>
      <c r="I310" s="6"/>
      <c r="J310" s="7">
        <f>(1.5*0.233124+6.6*0.07411)/$H310</f>
      </c>
      <c r="K310" s="7">
        <f>(63.1*0.233124+27.7*0.07411)/$H310</f>
      </c>
      <c r="L310" s="6"/>
      <c r="M310" s="7">
        <f>(2.4*0.233124+3.2*0.07411)/$H310</f>
      </c>
      <c r="N310" s="7"/>
      <c r="O310" s="23"/>
      <c r="P310" s="6"/>
      <c r="Q310" s="6"/>
      <c r="R310" s="31"/>
      <c r="S310" s="6"/>
      <c r="T310" s="31"/>
      <c r="U310" s="6"/>
      <c r="V310" s="23"/>
      <c r="W310" s="6"/>
      <c r="X310" s="6"/>
      <c r="Y310" s="5"/>
      <c r="Z310" s="3"/>
      <c r="AA310" s="6">
        <f>H310*I310/100</f>
      </c>
      <c r="AB310" s="6">
        <f>H310*J310/100</f>
      </c>
      <c r="AC310" s="7">
        <f>H310*K310</f>
      </c>
      <c r="AD310" s="7">
        <f>H310*M310</f>
      </c>
      <c r="AE310" s="6">
        <f>H310*L310/100</f>
      </c>
      <c r="AF310" s="6">
        <f>AA310+AB310+AE310</f>
      </c>
      <c r="AG310" s="6">
        <f>I310+J310+L310</f>
      </c>
      <c r="AH310" s="53">
        <f>$H310*I310</f>
      </c>
      <c r="AI310" s="53">
        <f>$H310*J310</f>
      </c>
      <c r="AJ310" s="53">
        <f>$H310*K310</f>
      </c>
      <c r="AK310" s="53">
        <f>$H310*L310</f>
      </c>
      <c r="AL310" s="53">
        <f>$H310*M310</f>
      </c>
      <c r="AM310" s="3"/>
      <c r="AN310" s="5"/>
      <c r="AO310" s="5"/>
      <c r="AP310" s="5"/>
      <c r="AQ310" s="3"/>
    </row>
    <row x14ac:dyDescent="0.25" r="311" customHeight="1" ht="12.75">
      <c r="A311" s="5" t="s">
        <v>405</v>
      </c>
      <c r="B311" s="3" t="s">
        <v>1100</v>
      </c>
      <c r="C311" s="3" t="s">
        <v>870</v>
      </c>
      <c r="D311" s="3"/>
      <c r="E311" s="3" t="s">
        <v>855</v>
      </c>
      <c r="F311" s="3" t="s">
        <v>1441</v>
      </c>
      <c r="G311" s="3" t="s">
        <v>1434</v>
      </c>
      <c r="H311" s="6">
        <f>1.309+0.355</f>
      </c>
      <c r="I311" s="6"/>
      <c r="J311" s="6">
        <f>(4.12*1.309+0.39*0.355)/$H311</f>
      </c>
      <c r="K311" s="7">
        <f>(42.8*1.309+24.2*0.355)/$H311</f>
      </c>
      <c r="L311" s="6">
        <f>(1.99*1.309+3.41*0.355)/$H311</f>
      </c>
      <c r="M311" s="6">
        <f>(1.27*1.309+0.26*0.355)/$H311</f>
      </c>
      <c r="N311" s="7"/>
      <c r="O311" s="23"/>
      <c r="P311" s="6"/>
      <c r="Q311" s="6"/>
      <c r="R311" s="31"/>
      <c r="S311" s="6"/>
      <c r="T311" s="31"/>
      <c r="U311" s="6"/>
      <c r="V311" s="23"/>
      <c r="W311" s="6"/>
      <c r="X311" s="6"/>
      <c r="Y311" s="5"/>
      <c r="Z311" s="3"/>
      <c r="AA311" s="6">
        <f>H311*I311/100</f>
      </c>
      <c r="AB311" s="6">
        <f>H311*J311/100</f>
      </c>
      <c r="AC311" s="7">
        <f>H311*K311</f>
      </c>
      <c r="AD311" s="7">
        <f>H311*M311</f>
      </c>
      <c r="AE311" s="6">
        <f>H311*L311/100</f>
      </c>
      <c r="AF311" s="6">
        <f>AA311+AB311+AE311</f>
      </c>
      <c r="AG311" s="6">
        <f>I311+J311+L311</f>
      </c>
      <c r="AH311" s="53">
        <f>$H311*I311</f>
      </c>
      <c r="AI311" s="53">
        <f>$H311*J311</f>
      </c>
      <c r="AJ311" s="53">
        <f>$H311*K311</f>
      </c>
      <c r="AK311" s="53">
        <f>$H311*L311</f>
      </c>
      <c r="AL311" s="53">
        <f>$H311*M311</f>
      </c>
      <c r="AM311" s="3"/>
      <c r="AN311" s="5"/>
      <c r="AO311" s="5"/>
      <c r="AP311" s="5"/>
      <c r="AQ311" s="3"/>
    </row>
    <row x14ac:dyDescent="0.25" r="312" customHeight="1" ht="12.75">
      <c r="A312" s="5" t="s">
        <v>484</v>
      </c>
      <c r="B312" s="3" t="s">
        <v>1100</v>
      </c>
      <c r="C312" s="3" t="s">
        <v>870</v>
      </c>
      <c r="D312" s="3"/>
      <c r="E312" s="3" t="s">
        <v>855</v>
      </c>
      <c r="F312" s="3" t="s">
        <v>1368</v>
      </c>
      <c r="G312" s="3" t="s">
        <v>1442</v>
      </c>
      <c r="H312" s="6">
        <f>4.57+9.78</f>
      </c>
      <c r="I312" s="6">
        <f>(1.76*4.57+1.21*9.78)/$H312</f>
      </c>
      <c r="J312" s="6">
        <f>(3.54*4.57+2.54*9.78)/$H312</f>
      </c>
      <c r="K312" s="7">
        <f>(45.36*4.57+31.04*9.78)/$H312</f>
      </c>
      <c r="L312" s="6">
        <f>(1.41*4.57+0.96*9.78)/$H312</f>
      </c>
      <c r="M312" s="6">
        <f>(0.74*4.57+0.47*9.78)/$H312</f>
      </c>
      <c r="N312" s="7"/>
      <c r="O312" s="23"/>
      <c r="P312" s="6"/>
      <c r="Q312" s="6"/>
      <c r="R312" s="31"/>
      <c r="S312" s="6"/>
      <c r="T312" s="31"/>
      <c r="U312" s="6"/>
      <c r="V312" s="23"/>
      <c r="W312" s="6"/>
      <c r="X312" s="6"/>
      <c r="Y312" s="5"/>
      <c r="Z312" s="3"/>
      <c r="AA312" s="6">
        <f>H312*I312/100</f>
      </c>
      <c r="AB312" s="6">
        <f>H312*J312/100</f>
      </c>
      <c r="AC312" s="7">
        <f>H312*K312</f>
      </c>
      <c r="AD312" s="7">
        <f>H312*M312</f>
      </c>
      <c r="AE312" s="6">
        <f>H312*L312/100</f>
      </c>
      <c r="AF312" s="6">
        <f>AA312+AB312+AE312</f>
      </c>
      <c r="AG312" s="6">
        <f>I312+J312+L312</f>
      </c>
      <c r="AH312" s="53">
        <f>$H312*I312</f>
      </c>
      <c r="AI312" s="53">
        <f>$H312*J312</f>
      </c>
      <c r="AJ312" s="53">
        <f>$H312*K312</f>
      </c>
      <c r="AK312" s="53">
        <f>$H312*L312</f>
      </c>
      <c r="AL312" s="53">
        <f>$H312*M312</f>
      </c>
      <c r="AM312" s="3"/>
      <c r="AN312" s="5"/>
      <c r="AO312" s="5"/>
      <c r="AP312" s="5"/>
      <c r="AQ312" s="3"/>
    </row>
    <row x14ac:dyDescent="0.25" r="313" customHeight="1" ht="12.75">
      <c r="A313" s="5" t="s">
        <v>300</v>
      </c>
      <c r="B313" s="3" t="s">
        <v>1100</v>
      </c>
      <c r="C313" s="3" t="s">
        <v>870</v>
      </c>
      <c r="D313" s="3"/>
      <c r="E313" s="38" t="s">
        <v>859</v>
      </c>
      <c r="F313" s="3" t="s">
        <v>1418</v>
      </c>
      <c r="G313" s="3" t="s">
        <v>1443</v>
      </c>
      <c r="H313" s="23">
        <v>0.53343</v>
      </c>
      <c r="I313" s="6">
        <v>6.1</v>
      </c>
      <c r="J313" s="6">
        <v>4.6</v>
      </c>
      <c r="K313" s="6">
        <v>102.86</v>
      </c>
      <c r="L313" s="6"/>
      <c r="M313" s="6"/>
      <c r="N313" s="7"/>
      <c r="O313" s="23"/>
      <c r="P313" s="6"/>
      <c r="Q313" s="6"/>
      <c r="R313" s="31"/>
      <c r="S313" s="6"/>
      <c r="T313" s="31"/>
      <c r="U313" s="6"/>
      <c r="V313" s="23"/>
      <c r="W313" s="6"/>
      <c r="X313" s="6"/>
      <c r="Y313" s="5"/>
      <c r="Z313" s="3"/>
      <c r="AA313" s="6">
        <f>H313*I313/100</f>
      </c>
      <c r="AB313" s="6">
        <f>H313*J313/100</f>
      </c>
      <c r="AC313" s="7">
        <f>H313*K313</f>
      </c>
      <c r="AD313" s="7">
        <f>H313*M313</f>
      </c>
      <c r="AE313" s="6">
        <f>H313*L313/100</f>
      </c>
      <c r="AF313" s="6">
        <f>AA313+AB313+AE313</f>
      </c>
      <c r="AG313" s="6">
        <f>I313+J313+L313</f>
      </c>
      <c r="AH313" s="53">
        <f>$H313*I313</f>
      </c>
      <c r="AI313" s="53">
        <f>$H313*J313</f>
      </c>
      <c r="AJ313" s="53">
        <f>$H313*K313</f>
      </c>
      <c r="AK313" s="53">
        <f>$H313*L313</f>
      </c>
      <c r="AL313" s="53">
        <f>$H313*M313</f>
      </c>
      <c r="AM313" s="3"/>
      <c r="AN313" s="5"/>
      <c r="AO313" s="5"/>
      <c r="AP313" s="5"/>
      <c r="AQ313" s="3"/>
    </row>
    <row x14ac:dyDescent="0.25" r="314" customHeight="1" ht="12.75">
      <c r="A314" s="5" t="s">
        <v>368</v>
      </c>
      <c r="B314" s="3" t="s">
        <v>1100</v>
      </c>
      <c r="C314" s="3" t="s">
        <v>870</v>
      </c>
      <c r="D314" s="3"/>
      <c r="E314" s="3" t="s">
        <v>855</v>
      </c>
      <c r="F314" s="3" t="s">
        <v>1444</v>
      </c>
      <c r="G314" s="3" t="s">
        <v>1445</v>
      </c>
      <c r="H314" s="6">
        <f>13.9+11.311</f>
      </c>
      <c r="I314" s="6"/>
      <c r="J314" s="6">
        <f>(2.67*13.9+2.97*11.311)/$H314</f>
      </c>
      <c r="K314" s="31">
        <f>(17*13.9+17*11.311)/$H314</f>
      </c>
      <c r="L314" s="6">
        <f>(1.28*13.9+1.32*11.311)/$H314</f>
      </c>
      <c r="M314" s="6">
        <f>(0.49*13.9+0.43*11.311)/$H314</f>
      </c>
      <c r="N314" s="7"/>
      <c r="O314" s="23"/>
      <c r="P314" s="6"/>
      <c r="Q314" s="6"/>
      <c r="R314" s="31"/>
      <c r="S314" s="6"/>
      <c r="T314" s="31"/>
      <c r="U314" s="6"/>
      <c r="V314" s="23"/>
      <c r="W314" s="6"/>
      <c r="X314" s="6"/>
      <c r="Y314" s="5"/>
      <c r="Z314" s="3"/>
      <c r="AA314" s="6">
        <f>H314*I314/100</f>
      </c>
      <c r="AB314" s="6">
        <f>H314*J314/100</f>
      </c>
      <c r="AC314" s="7">
        <f>H314*K314</f>
      </c>
      <c r="AD314" s="7">
        <f>H314*M314</f>
      </c>
      <c r="AE314" s="6">
        <f>H314*L314/100</f>
      </c>
      <c r="AF314" s="6">
        <f>AA314+AB314+AE314</f>
      </c>
      <c r="AG314" s="6">
        <f>I314+J314+L314</f>
      </c>
      <c r="AH314" s="53">
        <f>$H314*I314</f>
      </c>
      <c r="AI314" s="53">
        <f>$H314*J314</f>
      </c>
      <c r="AJ314" s="53">
        <f>$H314*K314</f>
      </c>
      <c r="AK314" s="53">
        <f>$H314*L314</f>
      </c>
      <c r="AL314" s="53">
        <f>$H314*M314</f>
      </c>
      <c r="AM314" s="3"/>
      <c r="AN314" s="5"/>
      <c r="AO314" s="5"/>
      <c r="AP314" s="5"/>
      <c r="AQ314" s="3"/>
    </row>
    <row x14ac:dyDescent="0.25" r="315" customHeight="1" ht="12.75">
      <c r="A315" s="5" t="s">
        <v>227</v>
      </c>
      <c r="B315" s="3" t="s">
        <v>1100</v>
      </c>
      <c r="C315" s="38" t="s">
        <v>869</v>
      </c>
      <c r="D315" s="3"/>
      <c r="E315" s="38" t="s">
        <v>859</v>
      </c>
      <c r="F315" s="3" t="s">
        <v>1374</v>
      </c>
      <c r="G315" s="3" t="s">
        <v>1367</v>
      </c>
      <c r="H315" s="6">
        <f>1.1+0.4</f>
      </c>
      <c r="I315" s="7">
        <f>(4.1*1.1+9.3*0.4)/$H315</f>
      </c>
      <c r="J315" s="7">
        <f>(8.3*1.1+1.7*0.4)/$H315</f>
      </c>
      <c r="K315" s="31">
        <f>(62*1.1+214*0.4)/$H315</f>
      </c>
      <c r="L315" s="6"/>
      <c r="M315" s="6"/>
      <c r="N315" s="7"/>
      <c r="O315" s="23"/>
      <c r="P315" s="6"/>
      <c r="Q315" s="6"/>
      <c r="R315" s="31"/>
      <c r="S315" s="6"/>
      <c r="T315" s="31"/>
      <c r="U315" s="6"/>
      <c r="V315" s="23"/>
      <c r="W315" s="6"/>
      <c r="X315" s="6"/>
      <c r="Y315" s="5"/>
      <c r="Z315" s="3"/>
      <c r="AA315" s="6">
        <f>H315*I315/100</f>
      </c>
      <c r="AB315" s="6">
        <f>H315*J315/100</f>
      </c>
      <c r="AC315" s="7">
        <f>H315*K315</f>
      </c>
      <c r="AD315" s="7">
        <f>H315*M315</f>
      </c>
      <c r="AE315" s="6">
        <f>H315*L315/100</f>
      </c>
      <c r="AF315" s="6">
        <f>AA315+AB315+AE315</f>
      </c>
      <c r="AG315" s="6">
        <f>I315+J315+L315</f>
      </c>
      <c r="AH315" s="53">
        <f>$H315*I315</f>
      </c>
      <c r="AI315" s="53">
        <f>$H315*J315</f>
      </c>
      <c r="AJ315" s="53">
        <f>$H315*K315</f>
      </c>
      <c r="AK315" s="53">
        <f>$H315*L315</f>
      </c>
      <c r="AL315" s="53">
        <f>$H315*M315</f>
      </c>
      <c r="AM315" s="3"/>
      <c r="AN315" s="5"/>
      <c r="AO315" s="5"/>
      <c r="AP315" s="5"/>
      <c r="AQ315" s="3"/>
    </row>
    <row x14ac:dyDescent="0.25" r="316" customHeight="1" ht="12.75">
      <c r="A316" s="5" t="s">
        <v>457</v>
      </c>
      <c r="B316" s="3" t="s">
        <v>1100</v>
      </c>
      <c r="C316" s="3" t="s">
        <v>866</v>
      </c>
      <c r="D316" s="3" t="s">
        <v>988</v>
      </c>
      <c r="E316" s="38" t="s">
        <v>859</v>
      </c>
      <c r="F316" s="3" t="s">
        <v>1418</v>
      </c>
      <c r="G316" s="3" t="s">
        <v>1446</v>
      </c>
      <c r="H316" s="6">
        <v>5.62</v>
      </c>
      <c r="I316" s="6">
        <v>1.82</v>
      </c>
      <c r="J316" s="6">
        <v>6.31</v>
      </c>
      <c r="K316" s="5"/>
      <c r="L316" s="6"/>
      <c r="M316" s="6"/>
      <c r="N316" s="6">
        <f>44.21*(137.327/(137.327+96.06))</f>
      </c>
      <c r="O316" s="23"/>
      <c r="P316" s="6"/>
      <c r="Q316" s="6"/>
      <c r="R316" s="31"/>
      <c r="S316" s="6"/>
      <c r="T316" s="31"/>
      <c r="U316" s="6"/>
      <c r="V316" s="23"/>
      <c r="W316" s="6"/>
      <c r="X316" s="6"/>
      <c r="Y316" s="5"/>
      <c r="Z316" s="3"/>
      <c r="AA316" s="6">
        <f>H316*I316/100</f>
      </c>
      <c r="AB316" s="6">
        <f>H316*J316/100</f>
      </c>
      <c r="AC316" s="7">
        <f>H316*K316</f>
      </c>
      <c r="AD316" s="7">
        <f>H316*M316</f>
      </c>
      <c r="AE316" s="6">
        <f>H316*L316/100</f>
      </c>
      <c r="AF316" s="6">
        <f>AA316+AB316+AE316</f>
      </c>
      <c r="AG316" s="6">
        <f>I316+J316+L316</f>
      </c>
      <c r="AH316" s="53">
        <f>$H316*I316</f>
      </c>
      <c r="AI316" s="53">
        <f>$H316*J316</f>
      </c>
      <c r="AJ316" s="53">
        <f>$H316*K316</f>
      </c>
      <c r="AK316" s="53">
        <f>$H316*L316</f>
      </c>
      <c r="AL316" s="53">
        <f>$H316*M316</f>
      </c>
      <c r="AM316" s="3"/>
      <c r="AN316" s="5"/>
      <c r="AO316" s="5"/>
      <c r="AP316" s="5"/>
      <c r="AQ316" s="3"/>
    </row>
    <row x14ac:dyDescent="0.25" r="317" customHeight="1" ht="12.75">
      <c r="A317" s="5" t="s">
        <v>652</v>
      </c>
      <c r="B317" s="3" t="s">
        <v>1100</v>
      </c>
      <c r="C317" s="3" t="s">
        <v>866</v>
      </c>
      <c r="D317" s="3" t="s">
        <v>988</v>
      </c>
      <c r="E317" s="38" t="s">
        <v>859</v>
      </c>
      <c r="F317" s="3" t="s">
        <v>1171</v>
      </c>
      <c r="G317" s="3" t="s">
        <v>1173</v>
      </c>
      <c r="H317" s="6">
        <v>2.1</v>
      </c>
      <c r="I317" s="6">
        <v>1.76</v>
      </c>
      <c r="J317" s="6">
        <v>4.12</v>
      </c>
      <c r="K317" s="6">
        <v>24.8</v>
      </c>
      <c r="L317" s="6"/>
      <c r="M317" s="6"/>
      <c r="N317" s="7"/>
      <c r="O317" s="23"/>
      <c r="P317" s="6"/>
      <c r="Q317" s="6"/>
      <c r="R317" s="31"/>
      <c r="S317" s="6"/>
      <c r="T317" s="31"/>
      <c r="U317" s="6"/>
      <c r="V317" s="23"/>
      <c r="W317" s="6"/>
      <c r="X317" s="6"/>
      <c r="Y317" s="5"/>
      <c r="Z317" s="3"/>
      <c r="AA317" s="6">
        <f>H317*I317/100</f>
      </c>
      <c r="AB317" s="6">
        <f>H317*J317/100</f>
      </c>
      <c r="AC317" s="7">
        <f>H317*K317</f>
      </c>
      <c r="AD317" s="7">
        <f>H317*M317</f>
      </c>
      <c r="AE317" s="6">
        <f>H317*L317/100</f>
      </c>
      <c r="AF317" s="6">
        <f>AA317+AB317+AE317</f>
      </c>
      <c r="AG317" s="6">
        <f>I317+J317+L317</f>
      </c>
      <c r="AH317" s="53">
        <f>$H317*I317</f>
      </c>
      <c r="AI317" s="53">
        <f>$H317*J317</f>
      </c>
      <c r="AJ317" s="53">
        <f>$H317*K317</f>
      </c>
      <c r="AK317" s="53">
        <f>$H317*L317</f>
      </c>
      <c r="AL317" s="53">
        <f>$H317*M317</f>
      </c>
      <c r="AM317" s="3"/>
      <c r="AN317" s="5"/>
      <c r="AO317" s="5"/>
      <c r="AP317" s="5"/>
      <c r="AQ317" s="3"/>
    </row>
    <row x14ac:dyDescent="0.25" r="318" customHeight="1" ht="12.75">
      <c r="A318" s="5" t="s">
        <v>305</v>
      </c>
      <c r="B318" s="3" t="s">
        <v>1100</v>
      </c>
      <c r="C318" s="3" t="s">
        <v>870</v>
      </c>
      <c r="D318" s="3" t="s">
        <v>1447</v>
      </c>
      <c r="E318" s="3" t="s">
        <v>855</v>
      </c>
      <c r="F318" s="3" t="s">
        <v>1448</v>
      </c>
      <c r="G318" s="3" t="s">
        <v>1449</v>
      </c>
      <c r="H318" s="6">
        <f>45.298+23.324+15.011</f>
      </c>
      <c r="I318" s="6"/>
      <c r="J318" s="6">
        <f>(0.02*45.298+0.02*23.324+0.01*15.011)/H318</f>
      </c>
      <c r="K318" s="6">
        <f>(0.99*45.298+0.96*23.324+0.81*15.011)/H318</f>
      </c>
      <c r="L318" s="6">
        <f>(0.98*45.298+0.91*23.324+0.79*15.011)/H318</f>
      </c>
      <c r="M318" s="6">
        <f>(0.09*45.298+0.09*23.324+0.08*15.011)/H318</f>
      </c>
      <c r="N318" s="6"/>
      <c r="O318" s="23"/>
      <c r="P318" s="6"/>
      <c r="Q318" s="6"/>
      <c r="R318" s="31"/>
      <c r="S318" s="6"/>
      <c r="T318" s="31"/>
      <c r="U318" s="6"/>
      <c r="V318" s="23"/>
      <c r="W318" s="6"/>
      <c r="X318" s="6"/>
      <c r="Y318" s="5"/>
      <c r="Z318" s="3"/>
      <c r="AA318" s="6">
        <f>H318*I318/100</f>
      </c>
      <c r="AB318" s="6">
        <f>H318*J318/100</f>
      </c>
      <c r="AC318" s="7">
        <f>H318*K318</f>
      </c>
      <c r="AD318" s="7">
        <f>H318*M318</f>
      </c>
      <c r="AE318" s="6">
        <f>H318*L318/100</f>
      </c>
      <c r="AF318" s="6">
        <f>AA318+AB318+AE318</f>
      </c>
      <c r="AG318" s="6">
        <f>I318+J318+L318</f>
      </c>
      <c r="AH318" s="53">
        <f>$H318*I318</f>
      </c>
      <c r="AI318" s="53">
        <f>$H318*J318</f>
      </c>
      <c r="AJ318" s="53">
        <f>$H318*K318</f>
      </c>
      <c r="AK318" s="53">
        <f>$H318*L318</f>
      </c>
      <c r="AL318" s="53">
        <f>$H318*M318</f>
      </c>
      <c r="AM318" s="3"/>
      <c r="AN318" s="5"/>
      <c r="AO318" s="5"/>
      <c r="AP318" s="5"/>
      <c r="AQ318" s="3"/>
    </row>
    <row x14ac:dyDescent="0.25" r="319" customHeight="1" ht="12.75">
      <c r="A319" s="5" t="s">
        <v>78</v>
      </c>
      <c r="B319" s="3" t="s">
        <v>1100</v>
      </c>
      <c r="C319" s="3" t="s">
        <v>856</v>
      </c>
      <c r="D319" s="3"/>
      <c r="E319" s="38" t="s">
        <v>859</v>
      </c>
      <c r="F319" s="3" t="s">
        <v>1171</v>
      </c>
      <c r="G319" s="3" t="s">
        <v>1342</v>
      </c>
      <c r="H319" s="23">
        <v>0.0408</v>
      </c>
      <c r="I319" s="6">
        <v>6.23</v>
      </c>
      <c r="J319" s="6">
        <v>9.49</v>
      </c>
      <c r="K319" s="5">
        <v>355</v>
      </c>
      <c r="L319" s="6"/>
      <c r="M319" s="6">
        <v>1.13</v>
      </c>
      <c r="N319" s="7"/>
      <c r="O319" s="23"/>
      <c r="P319" s="6"/>
      <c r="Q319" s="6"/>
      <c r="R319" s="31"/>
      <c r="S319" s="6"/>
      <c r="T319" s="31"/>
      <c r="U319" s="6"/>
      <c r="V319" s="23"/>
      <c r="W319" s="6"/>
      <c r="X319" s="6"/>
      <c r="Y319" s="5"/>
      <c r="Z319" s="3"/>
      <c r="AA319" s="6">
        <f>H319*I319/100</f>
      </c>
      <c r="AB319" s="6">
        <f>H319*J319/100</f>
      </c>
      <c r="AC319" s="7">
        <f>H319*K319</f>
      </c>
      <c r="AD319" s="7">
        <f>H319*M319</f>
      </c>
      <c r="AE319" s="6">
        <f>H319*L319/100</f>
      </c>
      <c r="AF319" s="6">
        <f>AA319+AB319+AE319</f>
      </c>
      <c r="AG319" s="6">
        <f>I319+J319+L319</f>
      </c>
      <c r="AH319" s="53">
        <f>$H319*I319</f>
      </c>
      <c r="AI319" s="53">
        <f>$H319*J319</f>
      </c>
      <c r="AJ319" s="53">
        <f>$H319*K319</f>
      </c>
      <c r="AK319" s="53">
        <f>$H319*L319</f>
      </c>
      <c r="AL319" s="53">
        <f>$H319*M319</f>
      </c>
      <c r="AM319" s="3"/>
      <c r="AN319" s="5"/>
      <c r="AO319" s="5"/>
      <c r="AP319" s="5"/>
      <c r="AQ319" s="3"/>
    </row>
    <row x14ac:dyDescent="0.25" r="320" customHeight="1" ht="12.75">
      <c r="A320" s="5" t="s">
        <v>106</v>
      </c>
      <c r="B320" s="3" t="s">
        <v>1100</v>
      </c>
      <c r="C320" s="3" t="s">
        <v>866</v>
      </c>
      <c r="D320" s="3" t="s">
        <v>989</v>
      </c>
      <c r="E320" s="38" t="s">
        <v>859</v>
      </c>
      <c r="F320" s="3" t="s">
        <v>1171</v>
      </c>
      <c r="G320" s="3" t="s">
        <v>1173</v>
      </c>
      <c r="H320" s="6">
        <v>0.76</v>
      </c>
      <c r="I320" s="5">
        <v>10</v>
      </c>
      <c r="J320" s="5">
        <v>7</v>
      </c>
      <c r="K320" s="6">
        <v>1.2</v>
      </c>
      <c r="L320" s="6"/>
      <c r="M320" s="6"/>
      <c r="N320" s="7"/>
      <c r="O320" s="23"/>
      <c r="P320" s="6"/>
      <c r="Q320" s="6"/>
      <c r="R320" s="31"/>
      <c r="S320" s="6"/>
      <c r="T320" s="31"/>
      <c r="U320" s="6"/>
      <c r="V320" s="23"/>
      <c r="W320" s="6"/>
      <c r="X320" s="6"/>
      <c r="Y320" s="5"/>
      <c r="Z320" s="3"/>
      <c r="AA320" s="6">
        <f>H320*I320/100</f>
      </c>
      <c r="AB320" s="6">
        <f>H320*J320/100</f>
      </c>
      <c r="AC320" s="7">
        <f>H320*K320</f>
      </c>
      <c r="AD320" s="7">
        <f>H320*M320</f>
      </c>
      <c r="AE320" s="6">
        <f>H320*L320/100</f>
      </c>
      <c r="AF320" s="6">
        <f>AA320+AB320+AE320</f>
      </c>
      <c r="AG320" s="6">
        <f>I320+J320+L320</f>
      </c>
      <c r="AH320" s="53">
        <f>$H320*I320</f>
      </c>
      <c r="AI320" s="53">
        <f>$H320*J320</f>
      </c>
      <c r="AJ320" s="53">
        <f>$H320*K320</f>
      </c>
      <c r="AK320" s="53">
        <f>$H320*L320</f>
      </c>
      <c r="AL320" s="53">
        <f>$H320*M320</f>
      </c>
      <c r="AM320" s="3"/>
      <c r="AN320" s="5"/>
      <c r="AO320" s="5"/>
      <c r="AP320" s="5"/>
      <c r="AQ320" s="3"/>
    </row>
    <row x14ac:dyDescent="0.25" r="321" customHeight="1" ht="12.75">
      <c r="A321" s="5" t="s">
        <v>508</v>
      </c>
      <c r="B321" s="3" t="s">
        <v>1100</v>
      </c>
      <c r="C321" s="3" t="s">
        <v>865</v>
      </c>
      <c r="D321" s="3" t="s">
        <v>983</v>
      </c>
      <c r="E321" s="3" t="s">
        <v>855</v>
      </c>
      <c r="F321" s="3" t="s">
        <v>1450</v>
      </c>
      <c r="G321" s="3" t="s">
        <v>1183</v>
      </c>
      <c r="H321" s="6">
        <f>10.882+7.603</f>
      </c>
      <c r="I321" s="6"/>
      <c r="J321" s="6">
        <f>(0.67*10.882+0.99*7.603)/$H321</f>
      </c>
      <c r="K321" s="5"/>
      <c r="L321" s="6">
        <f>(0.11*10.882+0.09*7.603)/$H321</f>
      </c>
      <c r="M321" s="6"/>
      <c r="N321" s="7"/>
      <c r="O321" s="23"/>
      <c r="P321" s="6"/>
      <c r="Q321" s="6">
        <f>(0.43*10.882+0.22*7.603)/$H321</f>
      </c>
      <c r="R321" s="7">
        <f>(64*10.882+72.3*7.603)/$H321</f>
      </c>
      <c r="S321" s="6">
        <f>((0.06*10.882+0.05*7.603)/$H321)*(95.95/(95.95+2*16))</f>
      </c>
      <c r="T321" s="31"/>
      <c r="U321" s="6">
        <f>(0.09*10.882+0.08*7.603)/$H321</f>
      </c>
      <c r="V321" s="23"/>
      <c r="W321" s="6">
        <f>(0.98*10.882+0.8*7.603)/$H322</f>
      </c>
      <c r="X321" s="6"/>
      <c r="Y321" s="6">
        <f>(0.08*10.882+0.05*7.603)/$H322</f>
      </c>
      <c r="Z321" s="3" t="s">
        <v>980</v>
      </c>
      <c r="AA321" s="6">
        <f>H321*I321/100</f>
      </c>
      <c r="AB321" s="6">
        <f>H321*J321/100</f>
      </c>
      <c r="AC321" s="7">
        <f>H321*K321</f>
      </c>
      <c r="AD321" s="7">
        <f>H321*M321</f>
      </c>
      <c r="AE321" s="6">
        <f>H321*L321/100</f>
      </c>
      <c r="AF321" s="6">
        <f>AA321+AB321+AE321</f>
      </c>
      <c r="AG321" s="6">
        <f>I321+J321+L321</f>
      </c>
      <c r="AH321" s="53">
        <f>$H321*I321</f>
      </c>
      <c r="AI321" s="53">
        <f>$H321*J321</f>
      </c>
      <c r="AJ321" s="53">
        <f>$H321*K321</f>
      </c>
      <c r="AK321" s="53">
        <f>$H321*L321</f>
      </c>
      <c r="AL321" s="53">
        <f>$H321*M321</f>
      </c>
      <c r="AM321" s="3"/>
      <c r="AN321" s="5"/>
      <c r="AO321" s="5"/>
      <c r="AP321" s="5"/>
      <c r="AQ321" s="3"/>
    </row>
    <row x14ac:dyDescent="0.25" r="322" customHeight="1" ht="12.75">
      <c r="A322" s="5" t="s">
        <v>471</v>
      </c>
      <c r="B322" s="3" t="s">
        <v>1100</v>
      </c>
      <c r="C322" s="3" t="s">
        <v>870</v>
      </c>
      <c r="D322" s="3"/>
      <c r="E322" s="3" t="s">
        <v>855</v>
      </c>
      <c r="F322" s="3" t="s">
        <v>1451</v>
      </c>
      <c r="G322" s="3" t="s">
        <v>1414</v>
      </c>
      <c r="H322" s="6">
        <f>0.621+17.063+3.021</f>
      </c>
      <c r="I322" s="6">
        <f>(1.19*0.621+0.93*17.063+0.75*3.021)/$H322</f>
      </c>
      <c r="J322" s="6">
        <f>(3.53*0.621+2.52*17.063+1.83*3.021)/$H322</f>
      </c>
      <c r="K322" s="7">
        <f>(44.1*0.621+38.8*17.063+35*3.021)/$H322</f>
      </c>
      <c r="L322" s="6">
        <f>(0.27*0.621+0.43*17.063+0.62*3.021)/$H322</f>
      </c>
      <c r="M322" s="6">
        <f>(0.5*0.621+0.51*17.063+0.75*3.021)/$H322</f>
      </c>
      <c r="N322" s="7"/>
      <c r="O322" s="23"/>
      <c r="P322" s="6"/>
      <c r="Q322" s="6"/>
      <c r="R322" s="31"/>
      <c r="S322" s="6"/>
      <c r="T322" s="31"/>
      <c r="U322" s="6"/>
      <c r="V322" s="23"/>
      <c r="W322" s="6"/>
      <c r="X322" s="6"/>
      <c r="Y322" s="5"/>
      <c r="Z322" s="3"/>
      <c r="AA322" s="6">
        <f>H322*I322/100</f>
      </c>
      <c r="AB322" s="6">
        <f>H322*J322/100</f>
      </c>
      <c r="AC322" s="7">
        <f>H322*K322</f>
      </c>
      <c r="AD322" s="7">
        <f>H322*M322</f>
      </c>
      <c r="AE322" s="6">
        <f>H322*L322/100</f>
      </c>
      <c r="AF322" s="6">
        <f>AA322+AB322+AE322</f>
      </c>
      <c r="AG322" s="6">
        <f>I322+J322+L322</f>
      </c>
      <c r="AH322" s="53">
        <f>$H322*I322</f>
      </c>
      <c r="AI322" s="53">
        <f>$H322*J322</f>
      </c>
      <c r="AJ322" s="53">
        <f>$H322*K322</f>
      </c>
      <c r="AK322" s="53">
        <f>$H322*L322</f>
      </c>
      <c r="AL322" s="53">
        <f>$H322*M322</f>
      </c>
      <c r="AM322" s="3"/>
      <c r="AN322" s="5"/>
      <c r="AO322" s="5"/>
      <c r="AP322" s="5"/>
      <c r="AQ322" s="3"/>
    </row>
    <row x14ac:dyDescent="0.25" r="323" customHeight="1" ht="12.75">
      <c r="A323" s="5" t="s">
        <v>345</v>
      </c>
      <c r="B323" s="3" t="s">
        <v>1100</v>
      </c>
      <c r="C323" s="3" t="s">
        <v>870</v>
      </c>
      <c r="D323" s="3"/>
      <c r="E323" s="3" t="s">
        <v>855</v>
      </c>
      <c r="F323" s="3" t="s">
        <v>1432</v>
      </c>
      <c r="G323" s="3" t="s">
        <v>1181</v>
      </c>
      <c r="H323" s="6">
        <f>5.53+1.28+2.34</f>
      </c>
      <c r="I323" s="6">
        <f>(0.63*5.53+0.86*1.28+0.66*2.34)/$H323</f>
      </c>
      <c r="J323" s="6">
        <f>(6.02*5.53+7.75*1.28+5.86*2.34)/$H323</f>
      </c>
      <c r="K323" s="7">
        <f>(61.79*5.53+87.04*1.28+101.09*2.34)/$H323</f>
      </c>
      <c r="L323" s="6">
        <f>(0.9*5.53+1.27*1.28+0.55*2.34)/$H323</f>
      </c>
      <c r="M323" s="6">
        <f>(1.63*5.53+2.21*1.28+2.04*2.34)/$H323</f>
      </c>
      <c r="N323" s="7"/>
      <c r="O323" s="23"/>
      <c r="P323" s="6"/>
      <c r="Q323" s="6"/>
      <c r="R323" s="31"/>
      <c r="S323" s="6"/>
      <c r="T323" s="31"/>
      <c r="U323" s="6"/>
      <c r="V323" s="23"/>
      <c r="W323" s="6"/>
      <c r="X323" s="6"/>
      <c r="Y323" s="5"/>
      <c r="Z323" s="3"/>
      <c r="AA323" s="6">
        <f>H323*I323/100</f>
      </c>
      <c r="AB323" s="6">
        <f>H323*J323/100</f>
      </c>
      <c r="AC323" s="7">
        <f>H323*K323</f>
      </c>
      <c r="AD323" s="7">
        <f>H323*M323</f>
      </c>
      <c r="AE323" s="6">
        <f>H323*L323/100</f>
      </c>
      <c r="AF323" s="6">
        <f>AA323+AB323+AE323</f>
      </c>
      <c r="AG323" s="6">
        <f>I323+J323+L323</f>
      </c>
      <c r="AH323" s="53">
        <f>$H323*I323</f>
      </c>
      <c r="AI323" s="53">
        <f>$H323*J323</f>
      </c>
      <c r="AJ323" s="53">
        <f>$H323*K323</f>
      </c>
      <c r="AK323" s="53">
        <f>$H323*L323</f>
      </c>
      <c r="AL323" s="53">
        <f>$H323*M323</f>
      </c>
      <c r="AM323" s="3"/>
      <c r="AN323" s="5"/>
      <c r="AO323" s="5"/>
      <c r="AP323" s="5"/>
      <c r="AQ323" s="3"/>
    </row>
    <row x14ac:dyDescent="0.25" r="324" customHeight="1" ht="12.75">
      <c r="A324" s="5" t="s">
        <v>721</v>
      </c>
      <c r="B324" s="3" t="s">
        <v>1100</v>
      </c>
      <c r="C324" s="3" t="s">
        <v>866</v>
      </c>
      <c r="D324" s="3" t="s">
        <v>989</v>
      </c>
      <c r="E324" s="38" t="s">
        <v>859</v>
      </c>
      <c r="F324" s="3" t="s">
        <v>1171</v>
      </c>
      <c r="G324" s="3" t="s">
        <v>1386</v>
      </c>
      <c r="H324" s="6">
        <f>25.204383-17.924383</f>
      </c>
      <c r="I324" s="17">
        <v>0.34</v>
      </c>
      <c r="J324" s="6">
        <f>(7.2*25.204383-9*17.924383)/$H324</f>
      </c>
      <c r="K324" s="36">
        <v>35</v>
      </c>
      <c r="L324" s="6"/>
      <c r="M324" s="6"/>
      <c r="N324" s="7"/>
      <c r="O324" s="23"/>
      <c r="P324" s="6"/>
      <c r="Q324" s="6"/>
      <c r="R324" s="31"/>
      <c r="S324" s="6"/>
      <c r="T324" s="31"/>
      <c r="U324" s="6"/>
      <c r="V324" s="23"/>
      <c r="W324" s="6"/>
      <c r="X324" s="6"/>
      <c r="Y324" s="5"/>
      <c r="Z324" s="3"/>
      <c r="AA324" s="6">
        <f>H324*I324/100</f>
      </c>
      <c r="AB324" s="6">
        <f>H324*J324/100</f>
      </c>
      <c r="AC324" s="7">
        <f>H324*K324</f>
      </c>
      <c r="AD324" s="7">
        <f>H324*M324</f>
      </c>
      <c r="AE324" s="6">
        <f>H324*L324/100</f>
      </c>
      <c r="AF324" s="6">
        <f>AA324+AB324+AE324</f>
      </c>
      <c r="AG324" s="6">
        <f>I324+J324+L324</f>
      </c>
      <c r="AH324" s="53">
        <f>$H324*I324</f>
      </c>
      <c r="AI324" s="53">
        <f>$H324*J324</f>
      </c>
      <c r="AJ324" s="53">
        <f>$H324*K324</f>
      </c>
      <c r="AK324" s="53">
        <f>$H324*L324</f>
      </c>
      <c r="AL324" s="53">
        <f>$H324*M324</f>
      </c>
      <c r="AM324" s="3"/>
      <c r="AN324" s="5"/>
      <c r="AO324" s="5"/>
      <c r="AP324" s="5"/>
      <c r="AQ324" s="3"/>
    </row>
    <row x14ac:dyDescent="0.25" r="325" customHeight="1" ht="12.75">
      <c r="A325" s="5" t="s">
        <v>684</v>
      </c>
      <c r="B325" s="3" t="s">
        <v>1100</v>
      </c>
      <c r="C325" s="3" t="s">
        <v>870</v>
      </c>
      <c r="D325" s="3"/>
      <c r="E325" s="3" t="s">
        <v>855</v>
      </c>
      <c r="F325" s="3" t="s">
        <v>1452</v>
      </c>
      <c r="G325" s="3" t="s">
        <v>1417</v>
      </c>
      <c r="H325" s="23">
        <f>7.8079+1.2117</f>
      </c>
      <c r="I325" s="6">
        <f>(0.55*7.8079+0.52*1.2117)/$H325</f>
      </c>
      <c r="J325" s="6">
        <f>(2.72*7.8079+2.66*1.2117)/$H325</f>
      </c>
      <c r="K325" s="7">
        <f>(18.262*7.8079+18*1.2117)/$H325</f>
      </c>
      <c r="L325" s="6"/>
      <c r="M325" s="6"/>
      <c r="N325" s="7"/>
      <c r="O325" s="23"/>
      <c r="P325" s="6"/>
      <c r="Q325" s="6"/>
      <c r="R325" s="31"/>
      <c r="S325" s="6"/>
      <c r="T325" s="31"/>
      <c r="U325" s="6"/>
      <c r="V325" s="23"/>
      <c r="W325" s="6"/>
      <c r="X325" s="6"/>
      <c r="Y325" s="5"/>
      <c r="Z325" s="3"/>
      <c r="AA325" s="6">
        <f>H325*I325/100</f>
      </c>
      <c r="AB325" s="6">
        <f>H325*J325/100</f>
      </c>
      <c r="AC325" s="7">
        <f>H325*K325</f>
      </c>
      <c r="AD325" s="7">
        <f>H325*M325</f>
      </c>
      <c r="AE325" s="6">
        <f>H325*L325/100</f>
      </c>
      <c r="AF325" s="6">
        <f>AA325+AB325+AE325</f>
      </c>
      <c r="AG325" s="6">
        <f>I325+J325+L325</f>
      </c>
      <c r="AH325" s="53">
        <f>$H325*I325</f>
      </c>
      <c r="AI325" s="53">
        <f>$H325*J325</f>
      </c>
      <c r="AJ325" s="53">
        <f>$H325*K325</f>
      </c>
      <c r="AK325" s="53">
        <f>$H325*L325</f>
      </c>
      <c r="AL325" s="53">
        <f>$H325*M325</f>
      </c>
      <c r="AM325" s="3"/>
      <c r="AN325" s="5"/>
      <c r="AO325" s="5"/>
      <c r="AP325" s="5"/>
      <c r="AQ325" s="3"/>
    </row>
    <row x14ac:dyDescent="0.25" r="326" customHeight="1" ht="12.75">
      <c r="A326" s="5" t="s">
        <v>760</v>
      </c>
      <c r="B326" s="3" t="s">
        <v>1100</v>
      </c>
      <c r="C326" s="3" t="s">
        <v>870</v>
      </c>
      <c r="D326" s="3"/>
      <c r="E326" s="3" t="s">
        <v>855</v>
      </c>
      <c r="F326" s="3" t="s">
        <v>1452</v>
      </c>
      <c r="G326" s="3" t="s">
        <v>1453</v>
      </c>
      <c r="H326" s="23">
        <v>7.560272</v>
      </c>
      <c r="I326" s="6">
        <v>0.381</v>
      </c>
      <c r="J326" s="6">
        <v>1.522</v>
      </c>
      <c r="K326" s="7">
        <v>15.311</v>
      </c>
      <c r="L326" s="6">
        <v>0.146</v>
      </c>
      <c r="M326" s="6"/>
      <c r="N326" s="7"/>
      <c r="O326" s="23"/>
      <c r="P326" s="6"/>
      <c r="Q326" s="6"/>
      <c r="R326" s="31"/>
      <c r="S326" s="6"/>
      <c r="T326" s="31"/>
      <c r="U326" s="6"/>
      <c r="V326" s="23"/>
      <c r="W326" s="6"/>
      <c r="X326" s="6"/>
      <c r="Y326" s="5"/>
      <c r="Z326" s="3"/>
      <c r="AA326" s="6">
        <f>H326*I326/100</f>
      </c>
      <c r="AB326" s="6">
        <f>H326*J326/100</f>
      </c>
      <c r="AC326" s="7">
        <f>H326*K326</f>
      </c>
      <c r="AD326" s="7">
        <f>H326*M326</f>
      </c>
      <c r="AE326" s="6">
        <f>H326*L326/100</f>
      </c>
      <c r="AF326" s="6">
        <f>AA326+AB326+AE326</f>
      </c>
      <c r="AG326" s="6">
        <f>I326+J326+L326</f>
      </c>
      <c r="AH326" s="53">
        <f>$H326*I326</f>
      </c>
      <c r="AI326" s="53">
        <f>$H326*J326</f>
      </c>
      <c r="AJ326" s="53">
        <f>$H326*K326</f>
      </c>
      <c r="AK326" s="53">
        <f>$H326*L326</f>
      </c>
      <c r="AL326" s="53">
        <f>$H326*M326</f>
      </c>
      <c r="AM326" s="3"/>
      <c r="AN326" s="5"/>
      <c r="AO326" s="5"/>
      <c r="AP326" s="5"/>
      <c r="AQ326" s="3"/>
    </row>
    <row x14ac:dyDescent="0.25" r="327" customHeight="1" ht="12.75">
      <c r="A327" s="5" t="s">
        <v>521</v>
      </c>
      <c r="B327" s="3" t="s">
        <v>1100</v>
      </c>
      <c r="C327" s="3" t="s">
        <v>856</v>
      </c>
      <c r="D327" s="3" t="s">
        <v>928</v>
      </c>
      <c r="E327" s="38" t="s">
        <v>859</v>
      </c>
      <c r="F327" s="3" t="s">
        <v>1454</v>
      </c>
      <c r="G327" s="3" t="s">
        <v>1342</v>
      </c>
      <c r="H327" s="23">
        <v>0.688712</v>
      </c>
      <c r="I327" s="6">
        <v>1.82</v>
      </c>
      <c r="J327" s="6">
        <v>5.51</v>
      </c>
      <c r="K327" s="6">
        <v>58.6</v>
      </c>
      <c r="L327" s="6"/>
      <c r="M327" s="6">
        <v>0.99</v>
      </c>
      <c r="N327" s="7"/>
      <c r="O327" s="23"/>
      <c r="P327" s="6"/>
      <c r="Q327" s="6"/>
      <c r="R327" s="31"/>
      <c r="S327" s="6"/>
      <c r="T327" s="31"/>
      <c r="U327" s="6"/>
      <c r="V327" s="23"/>
      <c r="W327" s="6"/>
      <c r="X327" s="6"/>
      <c r="Y327" s="5"/>
      <c r="Z327" s="3"/>
      <c r="AA327" s="6">
        <f>H327*I327/100</f>
      </c>
      <c r="AB327" s="6">
        <f>H327*J327/100</f>
      </c>
      <c r="AC327" s="7">
        <f>H327*K327</f>
      </c>
      <c r="AD327" s="7">
        <f>H327*M327</f>
      </c>
      <c r="AE327" s="6">
        <f>H327*L327/100</f>
      </c>
      <c r="AF327" s="6">
        <f>AA327+AB327+AE327</f>
      </c>
      <c r="AG327" s="6">
        <f>I327+J327+L327</f>
      </c>
      <c r="AH327" s="53">
        <f>$H327*I327</f>
      </c>
      <c r="AI327" s="53">
        <f>$H327*J327</f>
      </c>
      <c r="AJ327" s="53">
        <f>$H327*K327</f>
      </c>
      <c r="AK327" s="53">
        <f>$H327*L327</f>
      </c>
      <c r="AL327" s="53">
        <f>$H327*M327</f>
      </c>
      <c r="AM327" s="3"/>
      <c r="AN327" s="5"/>
      <c r="AO327" s="5"/>
      <c r="AP327" s="5"/>
      <c r="AQ327" s="3"/>
    </row>
    <row x14ac:dyDescent="0.25" r="328" customHeight="1" ht="12.75">
      <c r="A328" s="5" t="s">
        <v>221</v>
      </c>
      <c r="B328" s="3" t="s">
        <v>1100</v>
      </c>
      <c r="C328" s="3" t="s">
        <v>856</v>
      </c>
      <c r="D328" s="3"/>
      <c r="E328" s="38" t="s">
        <v>859</v>
      </c>
      <c r="F328" s="3" t="s">
        <v>1171</v>
      </c>
      <c r="G328" s="3" t="s">
        <v>1342</v>
      </c>
      <c r="H328" s="23">
        <f>0.196087+0.020735</f>
      </c>
      <c r="I328" s="6">
        <v>2.85</v>
      </c>
      <c r="J328" s="6">
        <v>4.63</v>
      </c>
      <c r="K328" s="6">
        <v>411.3</v>
      </c>
      <c r="L328" s="6"/>
      <c r="M328" s="6">
        <v>0.47</v>
      </c>
      <c r="N328" s="7"/>
      <c r="O328" s="23"/>
      <c r="P328" s="6"/>
      <c r="Q328" s="6"/>
      <c r="R328" s="31"/>
      <c r="S328" s="6"/>
      <c r="T328" s="31"/>
      <c r="U328" s="6"/>
      <c r="V328" s="23"/>
      <c r="W328" s="6"/>
      <c r="X328" s="6"/>
      <c r="Y328" s="5"/>
      <c r="Z328" s="3"/>
      <c r="AA328" s="6">
        <f>H328*I328/100</f>
      </c>
      <c r="AB328" s="6">
        <f>H328*J328/100</f>
      </c>
      <c r="AC328" s="7">
        <f>H328*K328</f>
      </c>
      <c r="AD328" s="7">
        <f>H328*M328</f>
      </c>
      <c r="AE328" s="6">
        <f>H328*L328/100</f>
      </c>
      <c r="AF328" s="6">
        <f>AA328+AB328+AE328</f>
      </c>
      <c r="AG328" s="6">
        <f>I328+J328+L328</f>
      </c>
      <c r="AH328" s="53">
        <f>$H328*I328</f>
      </c>
      <c r="AI328" s="53">
        <f>$H328*J328</f>
      </c>
      <c r="AJ328" s="53">
        <f>$H328*K328</f>
      </c>
      <c r="AK328" s="53">
        <f>$H328*L328</f>
      </c>
      <c r="AL328" s="53">
        <f>$H328*M328</f>
      </c>
      <c r="AM328" s="3"/>
      <c r="AN328" s="5"/>
      <c r="AO328" s="5"/>
      <c r="AP328" s="5"/>
      <c r="AQ328" s="3"/>
    </row>
    <row x14ac:dyDescent="0.25" r="329" customHeight="1" ht="12.75">
      <c r="A329" s="5" t="s">
        <v>838</v>
      </c>
      <c r="B329" s="3" t="s">
        <v>1100</v>
      </c>
      <c r="C329" s="3" t="s">
        <v>870</v>
      </c>
      <c r="D329" s="3"/>
      <c r="E329" s="38" t="s">
        <v>859</v>
      </c>
      <c r="F329" s="3" t="s">
        <v>1171</v>
      </c>
      <c r="G329" s="3" t="s">
        <v>1342</v>
      </c>
      <c r="H329" s="6">
        <v>2.7</v>
      </c>
      <c r="I329" s="6">
        <v>0.01</v>
      </c>
      <c r="J329" s="6">
        <v>0.2</v>
      </c>
      <c r="K329" s="5">
        <v>34</v>
      </c>
      <c r="L329" s="6">
        <v>0.5</v>
      </c>
      <c r="M329" s="6">
        <v>0.3</v>
      </c>
      <c r="N329" s="7"/>
      <c r="O329" s="23"/>
      <c r="P329" s="6"/>
      <c r="Q329" s="6"/>
      <c r="R329" s="31"/>
      <c r="S329" s="6"/>
      <c r="T329" s="31"/>
      <c r="U329" s="6"/>
      <c r="V329" s="23"/>
      <c r="W329" s="6"/>
      <c r="X329" s="6"/>
      <c r="Y329" s="5"/>
      <c r="Z329" s="3"/>
      <c r="AA329" s="6">
        <f>H329*I329/100</f>
      </c>
      <c r="AB329" s="6">
        <f>H329*J329/100</f>
      </c>
      <c r="AC329" s="7">
        <f>H329*K329</f>
      </c>
      <c r="AD329" s="7">
        <f>H329*M329</f>
      </c>
      <c r="AE329" s="6">
        <f>H329*L329/100</f>
      </c>
      <c r="AF329" s="6">
        <f>AA329+AB329+AE329</f>
      </c>
      <c r="AG329" s="6">
        <f>I329+J329+L329</f>
      </c>
      <c r="AH329" s="53">
        <f>$H329*I329</f>
      </c>
      <c r="AI329" s="53">
        <f>$H329*J329</f>
      </c>
      <c r="AJ329" s="53">
        <f>$H329*K329</f>
      </c>
      <c r="AK329" s="53">
        <f>$H329*L329</f>
      </c>
      <c r="AL329" s="53">
        <f>$H329*M329</f>
      </c>
      <c r="AM329" s="3"/>
      <c r="AN329" s="5"/>
      <c r="AO329" s="5"/>
      <c r="AP329" s="5"/>
      <c r="AQ329" s="3"/>
    </row>
    <row x14ac:dyDescent="0.25" r="330" customHeight="1" ht="12.75">
      <c r="A330" s="5" t="s">
        <v>657</v>
      </c>
      <c r="B330" s="3" t="s">
        <v>1100</v>
      </c>
      <c r="C330" s="3" t="s">
        <v>870</v>
      </c>
      <c r="D330" s="3"/>
      <c r="E330" s="3" t="s">
        <v>855</v>
      </c>
      <c r="F330" s="3" t="s">
        <v>1180</v>
      </c>
      <c r="G330" s="3" t="s">
        <v>1181</v>
      </c>
      <c r="H330" s="6">
        <f>0.55+1</f>
      </c>
      <c r="I330" s="6"/>
      <c r="J330" s="6">
        <f>(4.22*0.55+5*1)/$H330</f>
      </c>
      <c r="K330" s="31">
        <f>(19.7*0.55+20*1)/$H330</f>
      </c>
      <c r="L330" s="7">
        <f>(0.82*0.55+1.3*1)/$H330</f>
      </c>
      <c r="M330" s="6">
        <f>(0.13*0.55+0*1)/$H330</f>
      </c>
      <c r="N330" s="7"/>
      <c r="O330" s="23"/>
      <c r="P330" s="6"/>
      <c r="Q330" s="6"/>
      <c r="R330" s="31"/>
      <c r="S330" s="6"/>
      <c r="T330" s="31"/>
      <c r="U330" s="6"/>
      <c r="V330" s="23"/>
      <c r="W330" s="6"/>
      <c r="X330" s="6"/>
      <c r="Y330" s="5"/>
      <c r="Z330" s="3"/>
      <c r="AA330" s="6">
        <f>H330*I330/100</f>
      </c>
      <c r="AB330" s="6">
        <f>H330*J330/100</f>
      </c>
      <c r="AC330" s="7">
        <f>H330*K330</f>
      </c>
      <c r="AD330" s="7">
        <f>H330*M330</f>
      </c>
      <c r="AE330" s="6">
        <f>H330*L330/100</f>
      </c>
      <c r="AF330" s="6">
        <f>AA330+AB330+AE330</f>
      </c>
      <c r="AG330" s="6">
        <f>I330+J330+L330</f>
      </c>
      <c r="AH330" s="53">
        <f>$H330*I330</f>
      </c>
      <c r="AI330" s="53">
        <f>$H330*J330</f>
      </c>
      <c r="AJ330" s="53">
        <f>$H330*K330</f>
      </c>
      <c r="AK330" s="53">
        <f>$H330*L330</f>
      </c>
      <c r="AL330" s="53">
        <f>$H330*M330</f>
      </c>
      <c r="AM330" s="3"/>
      <c r="AN330" s="5"/>
      <c r="AO330" s="5"/>
      <c r="AP330" s="5"/>
      <c r="AQ330" s="3"/>
    </row>
    <row x14ac:dyDescent="0.25" r="331" customHeight="1" ht="12.75">
      <c r="A331" s="5" t="s">
        <v>22</v>
      </c>
      <c r="B331" s="3" t="s">
        <v>1100</v>
      </c>
      <c r="C331" s="3" t="s">
        <v>856</v>
      </c>
      <c r="D331" s="3"/>
      <c r="E331" s="3" t="s">
        <v>855</v>
      </c>
      <c r="F331" s="3" t="s">
        <v>1455</v>
      </c>
      <c r="G331" s="3" t="s">
        <v>1415</v>
      </c>
      <c r="H331" s="23">
        <v>0.00263</v>
      </c>
      <c r="I331" s="5">
        <v>14</v>
      </c>
      <c r="J331" s="6"/>
      <c r="K331" s="5">
        <v>411</v>
      </c>
      <c r="L331" s="5">
        <v>5</v>
      </c>
      <c r="M331" s="6">
        <v>2.4</v>
      </c>
      <c r="N331" s="7"/>
      <c r="O331" s="23"/>
      <c r="P331" s="6"/>
      <c r="Q331" s="6"/>
      <c r="R331" s="31"/>
      <c r="S331" s="6"/>
      <c r="T331" s="31"/>
      <c r="U331" s="6"/>
      <c r="V331" s="23"/>
      <c r="W331" s="6"/>
      <c r="X331" s="6"/>
      <c r="Y331" s="5"/>
      <c r="Z331" s="3"/>
      <c r="AA331" s="6">
        <f>H331*I331/100</f>
      </c>
      <c r="AB331" s="6">
        <f>H331*J331/100</f>
      </c>
      <c r="AC331" s="7">
        <f>H331*K331</f>
      </c>
      <c r="AD331" s="7">
        <f>H331*M331</f>
      </c>
      <c r="AE331" s="6">
        <f>H331*L331/100</f>
      </c>
      <c r="AF331" s="6">
        <f>AA331+AB331+AE331</f>
      </c>
      <c r="AG331" s="6">
        <f>I331+J331+L331</f>
      </c>
      <c r="AH331" s="53">
        <f>$H331*I331</f>
      </c>
      <c r="AI331" s="53">
        <f>$H331*J331</f>
      </c>
      <c r="AJ331" s="53">
        <f>$H331*K331</f>
      </c>
      <c r="AK331" s="53">
        <f>$H331*L331</f>
      </c>
      <c r="AL331" s="53">
        <f>$H331*M331</f>
      </c>
      <c r="AM331" s="3"/>
      <c r="AN331" s="5"/>
      <c r="AO331" s="5"/>
      <c r="AP331" s="5"/>
      <c r="AQ331" s="3"/>
    </row>
    <row x14ac:dyDescent="0.25" r="332" customHeight="1" ht="12.75">
      <c r="A332" s="5" t="s">
        <v>514</v>
      </c>
      <c r="B332" s="3" t="s">
        <v>1100</v>
      </c>
      <c r="C332" s="3" t="s">
        <v>964</v>
      </c>
      <c r="D332" s="3"/>
      <c r="E332" s="38" t="s">
        <v>859</v>
      </c>
      <c r="F332" s="3" t="s">
        <v>1456</v>
      </c>
      <c r="G332" s="3" t="s">
        <v>1367</v>
      </c>
      <c r="H332" s="23">
        <v>0.139371</v>
      </c>
      <c r="I332" s="6">
        <v>3.7</v>
      </c>
      <c r="J332" s="6"/>
      <c r="K332" s="5">
        <v>316</v>
      </c>
      <c r="L332" s="6"/>
      <c r="M332" s="6"/>
      <c r="N332" s="7"/>
      <c r="O332" s="23"/>
      <c r="P332" s="6"/>
      <c r="Q332" s="6"/>
      <c r="R332" s="31"/>
      <c r="S332" s="6"/>
      <c r="T332" s="31"/>
      <c r="U332" s="6"/>
      <c r="V332" s="23"/>
      <c r="W332" s="6"/>
      <c r="X332" s="6"/>
      <c r="Y332" s="5"/>
      <c r="Z332" s="3"/>
      <c r="AA332" s="6">
        <f>H332*I332/100</f>
      </c>
      <c r="AB332" s="6">
        <f>H332*J332/100</f>
      </c>
      <c r="AC332" s="7">
        <f>H332*K332</f>
      </c>
      <c r="AD332" s="7">
        <f>H332*M332</f>
      </c>
      <c r="AE332" s="6">
        <f>H332*L332/100</f>
      </c>
      <c r="AF332" s="6">
        <f>AA332+AB332+AE332</f>
      </c>
      <c r="AG332" s="6">
        <f>I332+J332+L332</f>
      </c>
      <c r="AH332" s="53">
        <f>$H332*I332</f>
      </c>
      <c r="AI332" s="53">
        <f>$H332*J332</f>
      </c>
      <c r="AJ332" s="53">
        <f>$H332*K332</f>
      </c>
      <c r="AK332" s="53">
        <f>$H332*L332</f>
      </c>
      <c r="AL332" s="53">
        <f>$H332*M332</f>
      </c>
      <c r="AM332" s="3"/>
      <c r="AN332" s="5"/>
      <c r="AO332" s="5"/>
      <c r="AP332" s="5"/>
      <c r="AQ332" s="3"/>
    </row>
    <row x14ac:dyDescent="0.25" r="333" customHeight="1" ht="12.75">
      <c r="A333" s="5" t="s">
        <v>125</v>
      </c>
      <c r="B333" s="3" t="s">
        <v>1100</v>
      </c>
      <c r="C333" s="3" t="s">
        <v>870</v>
      </c>
      <c r="D333" s="3"/>
      <c r="E333" s="3" t="s">
        <v>855</v>
      </c>
      <c r="F333" s="3" t="s">
        <v>1457</v>
      </c>
      <c r="G333" s="3" t="s">
        <v>1458</v>
      </c>
      <c r="H333" s="6">
        <f>1.46-0.173</f>
      </c>
      <c r="I333" s="6"/>
      <c r="J333" s="6">
        <v>15.06</v>
      </c>
      <c r="K333" s="6">
        <v>36.8</v>
      </c>
      <c r="L333" s="6">
        <v>0.84</v>
      </c>
      <c r="M333" s="6">
        <v>0.49</v>
      </c>
      <c r="N333" s="7"/>
      <c r="O333" s="23"/>
      <c r="P333" s="6"/>
      <c r="Q333" s="6"/>
      <c r="R333" s="31"/>
      <c r="S333" s="6"/>
      <c r="T333" s="31"/>
      <c r="U333" s="6"/>
      <c r="V333" s="23"/>
      <c r="W333" s="6"/>
      <c r="X333" s="6"/>
      <c r="Y333" s="5"/>
      <c r="Z333" s="3"/>
      <c r="AA333" s="6">
        <f>H333*I333/100</f>
      </c>
      <c r="AB333" s="6">
        <f>H333*J333/100</f>
      </c>
      <c r="AC333" s="7">
        <f>H333*K333</f>
      </c>
      <c r="AD333" s="7">
        <f>H333*M333</f>
      </c>
      <c r="AE333" s="6">
        <f>H333*L333/100</f>
      </c>
      <c r="AF333" s="6">
        <f>AA333+AB333+AE333</f>
      </c>
      <c r="AG333" s="6">
        <f>I333+J333+L333</f>
      </c>
      <c r="AH333" s="53">
        <f>$H333*I333</f>
      </c>
      <c r="AI333" s="53">
        <f>$H333*J333</f>
      </c>
      <c r="AJ333" s="53">
        <f>$H333*K333</f>
      </c>
      <c r="AK333" s="53">
        <f>$H333*L333</f>
      </c>
      <c r="AL333" s="53">
        <f>$H333*M333</f>
      </c>
      <c r="AM333" s="3"/>
      <c r="AN333" s="5"/>
      <c r="AO333" s="5"/>
      <c r="AP333" s="5"/>
      <c r="AQ333" s="3"/>
    </row>
    <row x14ac:dyDescent="0.25" r="334" customHeight="1" ht="12.75">
      <c r="A334" s="5" t="s">
        <v>456</v>
      </c>
      <c r="B334" s="3" t="s">
        <v>1100</v>
      </c>
      <c r="C334" s="3" t="s">
        <v>866</v>
      </c>
      <c r="D334" s="3" t="s">
        <v>989</v>
      </c>
      <c r="E334" s="3" t="s">
        <v>855</v>
      </c>
      <c r="F334" s="3" t="s">
        <v>1459</v>
      </c>
      <c r="G334" s="3" t="s">
        <v>1426</v>
      </c>
      <c r="H334" s="6">
        <f>0.472+1.144+0.043+0.531+0.138+0.664+2.195+1.026+0.113+0.292+0.394+1.018+0.319+0.519+0.627+1.873+0.331+0.459+2.599+0.656+3.494+0.251+3.302+0.193+2.343+0.282</f>
      </c>
      <c r="I334" s="6">
        <f>(1.84*0.472+1.18*1.144+0.84*0.043+0.76*0.531+1.86*0.138+1.32*0.664+0.98*2.195+0.67*1.026+0.8*0.113+0.96*0.292+2.08*0.394+1.24*1.018+1.08*0.319+0.94*0.519+0.88*0.627+0.54*1.873+0.84*0.331+1.52*0.459+0.9*2.599+0.7*0.656+0.8*3.494+0.7*0.251+0.7*3.302+0.6*0.193+0.6*2.343+0.6*0.282)/$H334</f>
      </c>
      <c r="J334" s="6">
        <f>(2.68*0.472+2.74*1.144+2.12*0.043+1.87*0.531+1.88*0.138+1.92*0.664+2.37*2.195+2.46*1.026+1.69*0.113+1.9*0.292+2.14*0.394+1.76*1.018+2.86*0.319+2.62*0.519+1.97*0.627+2.52*1.873+2.18*0.331+1.74*0.459+3.1*2.599+2.6*0.656+3.1*3.494+2.5*0.251+2.8*3.302+2.3*0.193+2.4*2.343+2.2*0.282)/$H334</f>
      </c>
      <c r="K334" s="5"/>
      <c r="L334" s="6"/>
      <c r="M334" s="6"/>
      <c r="N334" s="7"/>
      <c r="O334" s="23"/>
      <c r="P334" s="6"/>
      <c r="Q334" s="6"/>
      <c r="R334" s="31"/>
      <c r="S334" s="6"/>
      <c r="T334" s="31"/>
      <c r="U334" s="6"/>
      <c r="V334" s="23"/>
      <c r="W334" s="6"/>
      <c r="X334" s="6"/>
      <c r="Y334" s="5"/>
      <c r="Z334" s="3"/>
      <c r="AA334" s="6">
        <f>H334*I334/100</f>
      </c>
      <c r="AB334" s="6">
        <f>H334*J334/100</f>
      </c>
      <c r="AC334" s="7">
        <f>H334*K334</f>
      </c>
      <c r="AD334" s="7">
        <f>H334*M334</f>
      </c>
      <c r="AE334" s="6">
        <f>H334*L334/100</f>
      </c>
      <c r="AF334" s="6">
        <f>AA334+AB334+AE334</f>
      </c>
      <c r="AG334" s="6">
        <f>I334+J334+L334</f>
      </c>
      <c r="AH334" s="53">
        <f>$H334*I334</f>
      </c>
      <c r="AI334" s="53">
        <f>$H334*J334</f>
      </c>
      <c r="AJ334" s="53">
        <f>$H334*K334</f>
      </c>
      <c r="AK334" s="53">
        <f>$H334*L334</f>
      </c>
      <c r="AL334" s="53">
        <f>$H334*M334</f>
      </c>
      <c r="AM334" s="3"/>
      <c r="AN334" s="5"/>
      <c r="AO334" s="5"/>
      <c r="AP334" s="5"/>
      <c r="AQ334" s="3"/>
    </row>
    <row x14ac:dyDescent="0.25" r="335" customHeight="1" ht="12.75">
      <c r="A335" s="5" t="s">
        <v>152</v>
      </c>
      <c r="B335" s="3" t="s">
        <v>1100</v>
      </c>
      <c r="C335" s="3" t="s">
        <v>856</v>
      </c>
      <c r="D335" s="3"/>
      <c r="E335" s="38" t="s">
        <v>859</v>
      </c>
      <c r="F335" s="3" t="s">
        <v>1427</v>
      </c>
      <c r="G335" s="3" t="s">
        <v>1406</v>
      </c>
      <c r="H335" s="6">
        <v>0.312</v>
      </c>
      <c r="I335" s="6">
        <v>2.5</v>
      </c>
      <c r="J335" s="6">
        <v>2.5</v>
      </c>
      <c r="K335" s="6">
        <v>390.8</v>
      </c>
      <c r="L335" s="6"/>
      <c r="M335" s="6">
        <v>3.81</v>
      </c>
      <c r="N335" s="7"/>
      <c r="O335" s="23"/>
      <c r="P335" s="6"/>
      <c r="Q335" s="6"/>
      <c r="R335" s="31"/>
      <c r="S335" s="6"/>
      <c r="T335" s="31"/>
      <c r="U335" s="6"/>
      <c r="V335" s="23"/>
      <c r="W335" s="6"/>
      <c r="X335" s="6"/>
      <c r="Y335" s="5"/>
      <c r="Z335" s="3"/>
      <c r="AA335" s="6">
        <f>H335*I335/100</f>
      </c>
      <c r="AB335" s="6">
        <f>H335*J335/100</f>
      </c>
      <c r="AC335" s="7">
        <f>H335*K335</f>
      </c>
      <c r="AD335" s="7">
        <f>H335*M335</f>
      </c>
      <c r="AE335" s="6">
        <f>H335*L335/100</f>
      </c>
      <c r="AF335" s="6">
        <f>AA335+AB335+AE335</f>
      </c>
      <c r="AG335" s="6">
        <f>I335+J335+L335</f>
      </c>
      <c r="AH335" s="53">
        <f>$H335*I335</f>
      </c>
      <c r="AI335" s="53">
        <f>$H335*J335</f>
      </c>
      <c r="AJ335" s="53">
        <f>$H335*K335</f>
      </c>
      <c r="AK335" s="53">
        <f>$H335*L335</f>
      </c>
      <c r="AL335" s="53">
        <f>$H335*M335</f>
      </c>
      <c r="AM335" s="3"/>
      <c r="AN335" s="5"/>
      <c r="AO335" s="5"/>
      <c r="AP335" s="5"/>
      <c r="AQ335" s="3"/>
    </row>
    <row x14ac:dyDescent="0.25" r="336" customHeight="1" ht="12.75">
      <c r="A336" s="5" t="s">
        <v>573</v>
      </c>
      <c r="B336" s="3" t="s">
        <v>1100</v>
      </c>
      <c r="C336" s="3" t="s">
        <v>870</v>
      </c>
      <c r="D336" s="3"/>
      <c r="E336" s="3" t="s">
        <v>855</v>
      </c>
      <c r="F336" s="3" t="s">
        <v>1460</v>
      </c>
      <c r="G336" s="3" t="s">
        <v>1461</v>
      </c>
      <c r="H336" s="6">
        <v>19.367</v>
      </c>
      <c r="I336" s="6">
        <v>0.02</v>
      </c>
      <c r="J336" s="6">
        <v>1.63</v>
      </c>
      <c r="K336" s="6">
        <v>15.42</v>
      </c>
      <c r="L336" s="6">
        <v>0.37</v>
      </c>
      <c r="M336" s="6">
        <v>0.95</v>
      </c>
      <c r="N336" s="7"/>
      <c r="O336" s="23"/>
      <c r="P336" s="6"/>
      <c r="Q336" s="6"/>
      <c r="R336" s="31"/>
      <c r="S336" s="6"/>
      <c r="T336" s="31"/>
      <c r="U336" s="6"/>
      <c r="V336" s="23"/>
      <c r="W336" s="6"/>
      <c r="X336" s="6"/>
      <c r="Y336" s="5"/>
      <c r="Z336" s="3"/>
      <c r="AA336" s="6">
        <f>H336*I336/100</f>
      </c>
      <c r="AB336" s="6">
        <f>H336*J336/100</f>
      </c>
      <c r="AC336" s="7">
        <f>H336*K336</f>
      </c>
      <c r="AD336" s="7">
        <f>H336*M336</f>
      </c>
      <c r="AE336" s="6">
        <f>H336*L336/100</f>
      </c>
      <c r="AF336" s="6">
        <f>AA336+AB336+AE336</f>
      </c>
      <c r="AG336" s="6">
        <f>I336+J336+L336</f>
      </c>
      <c r="AH336" s="53">
        <f>$H336*I336</f>
      </c>
      <c r="AI336" s="53">
        <f>$H336*J336</f>
      </c>
      <c r="AJ336" s="53">
        <f>$H336*K336</f>
      </c>
      <c r="AK336" s="53">
        <f>$H336*L336</f>
      </c>
      <c r="AL336" s="53">
        <f>$H336*M336</f>
      </c>
      <c r="AM336" s="3"/>
      <c r="AN336" s="5"/>
      <c r="AO336" s="5"/>
      <c r="AP336" s="5"/>
      <c r="AQ336" s="3"/>
    </row>
    <row x14ac:dyDescent="0.25" r="337" customHeight="1" ht="12.75">
      <c r="A337" s="5" t="s">
        <v>67</v>
      </c>
      <c r="B337" s="3" t="s">
        <v>1100</v>
      </c>
      <c r="C337" s="3" t="s">
        <v>866</v>
      </c>
      <c r="D337" s="3" t="s">
        <v>989</v>
      </c>
      <c r="E337" s="38" t="s">
        <v>859</v>
      </c>
      <c r="F337" s="3" t="s">
        <v>1171</v>
      </c>
      <c r="G337" s="3" t="s">
        <v>1386</v>
      </c>
      <c r="H337" s="6">
        <f>26-20.1</f>
      </c>
      <c r="I337" s="7">
        <f>(3.7*26-3.6*20.1)/$H337</f>
      </c>
      <c r="J337" s="7">
        <f>(13.9*26-13.4*20.1)/$H337</f>
      </c>
      <c r="K337" s="5"/>
      <c r="L337" s="6"/>
      <c r="M337" s="6"/>
      <c r="N337" s="7"/>
      <c r="O337" s="23"/>
      <c r="P337" s="6"/>
      <c r="Q337" s="6"/>
      <c r="R337" s="31"/>
      <c r="S337" s="6"/>
      <c r="T337" s="31"/>
      <c r="U337" s="6"/>
      <c r="V337" s="23"/>
      <c r="W337" s="6"/>
      <c r="X337" s="6"/>
      <c r="Y337" s="5"/>
      <c r="Z337" s="3"/>
      <c r="AA337" s="6">
        <f>H337*I337/100</f>
      </c>
      <c r="AB337" s="6">
        <f>H337*J337/100</f>
      </c>
      <c r="AC337" s="7">
        <f>H337*K337</f>
      </c>
      <c r="AD337" s="7">
        <f>H337*M337</f>
      </c>
      <c r="AE337" s="6">
        <f>H337*L337/100</f>
      </c>
      <c r="AF337" s="6">
        <f>AA337+AB337+AE337</f>
      </c>
      <c r="AG337" s="6">
        <f>I337+J337+L337</f>
      </c>
      <c r="AH337" s="53">
        <f>$H337*I337</f>
      </c>
      <c r="AI337" s="53">
        <f>$H337*J337</f>
      </c>
      <c r="AJ337" s="53">
        <f>$H337*K337</f>
      </c>
      <c r="AK337" s="53">
        <f>$H337*L337</f>
      </c>
      <c r="AL337" s="53">
        <f>$H337*M337</f>
      </c>
      <c r="AM337" s="3"/>
      <c r="AN337" s="5"/>
      <c r="AO337" s="5"/>
      <c r="AP337" s="5"/>
      <c r="AQ337" s="3"/>
    </row>
    <row x14ac:dyDescent="0.25" r="338" customHeight="1" ht="12.75">
      <c r="A338" s="5" t="s">
        <v>74</v>
      </c>
      <c r="B338" s="3" t="s">
        <v>1100</v>
      </c>
      <c r="C338" s="3" t="s">
        <v>856</v>
      </c>
      <c r="D338" s="3"/>
      <c r="E338" s="38" t="s">
        <v>859</v>
      </c>
      <c r="F338" s="3" t="s">
        <v>1171</v>
      </c>
      <c r="G338" s="3" t="s">
        <v>1342</v>
      </c>
      <c r="H338" s="23">
        <v>0.8264</v>
      </c>
      <c r="I338" s="5">
        <v>5</v>
      </c>
      <c r="J338" s="5">
        <v>5</v>
      </c>
      <c r="K338" s="6">
        <v>668.5</v>
      </c>
      <c r="L338" s="6"/>
      <c r="M338" s="6"/>
      <c r="N338" s="7"/>
      <c r="O338" s="23"/>
      <c r="P338" s="6"/>
      <c r="Q338" s="6"/>
      <c r="R338" s="31"/>
      <c r="S338" s="6"/>
      <c r="T338" s="31"/>
      <c r="U338" s="6"/>
      <c r="V338" s="23"/>
      <c r="W338" s="6"/>
      <c r="X338" s="6"/>
      <c r="Y338" s="5"/>
      <c r="Z338" s="3"/>
      <c r="AA338" s="6">
        <f>H338*I338/100</f>
      </c>
      <c r="AB338" s="6">
        <f>H338*J338/100</f>
      </c>
      <c r="AC338" s="7">
        <f>H338*K338</f>
      </c>
      <c r="AD338" s="7">
        <f>H338*M338</f>
      </c>
      <c r="AE338" s="6">
        <f>H338*L338/100</f>
      </c>
      <c r="AF338" s="6">
        <f>AA338+AB338+AE338</f>
      </c>
      <c r="AG338" s="6">
        <f>I338+J338+L338</f>
      </c>
      <c r="AH338" s="53">
        <f>$H338*I338</f>
      </c>
      <c r="AI338" s="53">
        <f>$H338*J338</f>
      </c>
      <c r="AJ338" s="53">
        <f>$H338*K338</f>
      </c>
      <c r="AK338" s="53">
        <f>$H338*L338</f>
      </c>
      <c r="AL338" s="53">
        <f>$H338*M338</f>
      </c>
      <c r="AM338" s="3"/>
      <c r="AN338" s="5"/>
      <c r="AO338" s="5"/>
      <c r="AP338" s="5"/>
      <c r="AQ338" s="3"/>
    </row>
    <row x14ac:dyDescent="0.25" r="339" customHeight="1" ht="12.75">
      <c r="A339" s="5" t="s">
        <v>761</v>
      </c>
      <c r="B339" s="3" t="s">
        <v>1100</v>
      </c>
      <c r="C339" s="3" t="s">
        <v>856</v>
      </c>
      <c r="D339" s="3"/>
      <c r="E339" s="38" t="s">
        <v>859</v>
      </c>
      <c r="F339" s="3" t="s">
        <v>1171</v>
      </c>
      <c r="G339" s="3" t="s">
        <v>1342</v>
      </c>
      <c r="H339" s="23">
        <f>0.118+0.01116+0.018+0.000327</f>
      </c>
      <c r="I339" s="6">
        <f>(3*0.118+1.58*0.01116+2.1*0.018+0*0.000327)/$H339</f>
      </c>
      <c r="J339" s="6">
        <f>(0*0.118+1.87*0.01116+2.1*0.018+0*0.000327)/$H339</f>
      </c>
      <c r="K339" s="31">
        <f>(120*0.118+208*0.01116+31*0.018+2057*0.000327)/$H339</f>
      </c>
      <c r="L339" s="6"/>
      <c r="M339" s="6">
        <f>(0.69*0.118+2.23*0.01116+0.27*0.018+0*0.000327)/$H339</f>
      </c>
      <c r="N339" s="7"/>
      <c r="O339" s="23"/>
      <c r="P339" s="6"/>
      <c r="Q339" s="6"/>
      <c r="R339" s="31"/>
      <c r="S339" s="6"/>
      <c r="T339" s="31"/>
      <c r="U339" s="6"/>
      <c r="V339" s="23"/>
      <c r="W339" s="6"/>
      <c r="X339" s="6"/>
      <c r="Y339" s="5"/>
      <c r="Z339" s="3"/>
      <c r="AA339" s="6">
        <f>H339*I339/100</f>
      </c>
      <c r="AB339" s="6">
        <f>H339*J339/100</f>
      </c>
      <c r="AC339" s="7">
        <f>H339*K339</f>
      </c>
      <c r="AD339" s="7">
        <f>H339*M339</f>
      </c>
      <c r="AE339" s="6">
        <f>H339*L339/100</f>
      </c>
      <c r="AF339" s="6">
        <f>AA339+AB339+AE339</f>
      </c>
      <c r="AG339" s="6">
        <f>I339+J339+L339</f>
      </c>
      <c r="AH339" s="53">
        <f>$H339*I339</f>
      </c>
      <c r="AI339" s="53">
        <f>$H339*J339</f>
      </c>
      <c r="AJ339" s="53">
        <f>$H339*K339</f>
      </c>
      <c r="AK339" s="53">
        <f>$H339*L339</f>
      </c>
      <c r="AL339" s="53">
        <f>$H339*M339</f>
      </c>
      <c r="AM339" s="3"/>
      <c r="AN339" s="5"/>
      <c r="AO339" s="5"/>
      <c r="AP339" s="5"/>
      <c r="AQ339" s="3"/>
    </row>
    <row x14ac:dyDescent="0.25" r="340" customHeight="1" ht="12.75">
      <c r="A340" s="5" t="s">
        <v>27</v>
      </c>
      <c r="B340" s="3" t="s">
        <v>1100</v>
      </c>
      <c r="C340" s="3" t="s">
        <v>866</v>
      </c>
      <c r="D340" s="3" t="s">
        <v>989</v>
      </c>
      <c r="E340" s="3" t="s">
        <v>855</v>
      </c>
      <c r="F340" s="3" t="s">
        <v>1462</v>
      </c>
      <c r="G340" s="3" t="s">
        <v>1463</v>
      </c>
      <c r="H340" s="23">
        <f>1.7+3.731+6.239</f>
      </c>
      <c r="I340" s="7">
        <f>(9.7*1.7+10.5*3.731+11.5*6.239)/$H340</f>
      </c>
      <c r="J340" s="7">
        <f>(12.1*1.7+10.2*3.731+14.5*6.239)/$H340</f>
      </c>
      <c r="K340" s="31">
        <f>(155*1.7+162*3.731+229*6.239)/$H340</f>
      </c>
      <c r="L340" s="6">
        <f>(0.28*1.7+0.32*3.731+0.57*6.239)/$H340</f>
      </c>
      <c r="M340" s="6"/>
      <c r="N340" s="7"/>
      <c r="O340" s="23"/>
      <c r="P340" s="6"/>
      <c r="Q340" s="6"/>
      <c r="R340" s="31"/>
      <c r="S340" s="6"/>
      <c r="T340" s="31"/>
      <c r="U340" s="6"/>
      <c r="V340" s="23"/>
      <c r="W340" s="6"/>
      <c r="X340" s="6"/>
      <c r="Y340" s="5"/>
      <c r="Z340" s="3"/>
      <c r="AA340" s="6">
        <f>H340*I340/100</f>
      </c>
      <c r="AB340" s="6">
        <f>H340*J340/100</f>
      </c>
      <c r="AC340" s="7">
        <f>H340*K340</f>
      </c>
      <c r="AD340" s="7">
        <f>H340*M340</f>
      </c>
      <c r="AE340" s="6">
        <f>H340*L340/100</f>
      </c>
      <c r="AF340" s="6">
        <f>AA340+AB340+AE340</f>
      </c>
      <c r="AG340" s="6">
        <f>I340+J340+L340</f>
      </c>
      <c r="AH340" s="53">
        <f>$H340*I340</f>
      </c>
      <c r="AI340" s="53">
        <f>$H340*J340</f>
      </c>
      <c r="AJ340" s="53">
        <f>$H340*K340</f>
      </c>
      <c r="AK340" s="53">
        <f>$H340*L340</f>
      </c>
      <c r="AL340" s="53">
        <f>$H340*M340</f>
      </c>
      <c r="AM340" s="3"/>
      <c r="AN340" s="5"/>
      <c r="AO340" s="5"/>
      <c r="AP340" s="5"/>
      <c r="AQ340" s="3"/>
    </row>
    <row x14ac:dyDescent="0.25" r="341" customHeight="1" ht="12.75">
      <c r="A341" s="5" t="s">
        <v>614</v>
      </c>
      <c r="B341" s="3" t="s">
        <v>1100</v>
      </c>
      <c r="C341" s="3" t="s">
        <v>856</v>
      </c>
      <c r="D341" s="3"/>
      <c r="E341" s="38" t="s">
        <v>859</v>
      </c>
      <c r="F341" s="3" t="s">
        <v>1171</v>
      </c>
      <c r="G341" s="3" t="s">
        <v>1342</v>
      </c>
      <c r="H341" s="23">
        <f>0.347381+0.011295+0.000816</f>
      </c>
      <c r="I341" s="7">
        <f>(4.93*0.347381+1.8*0.011295+6.2*0.000816)/$H341</f>
      </c>
      <c r="J341" s="6"/>
      <c r="K341" s="7">
        <f>(39.42*0.347381+148.1*0.011295+970.3*0.000816)/$H341</f>
      </c>
      <c r="L341" s="7">
        <f>(1.5*0.347381+1.9*0.011295+4.2*0.000816)/$H341</f>
      </c>
      <c r="M341" s="6"/>
      <c r="N341" s="7"/>
      <c r="O341" s="23"/>
      <c r="P341" s="6"/>
      <c r="Q341" s="6"/>
      <c r="R341" s="31"/>
      <c r="S341" s="6"/>
      <c r="T341" s="31"/>
      <c r="U341" s="6"/>
      <c r="V341" s="23"/>
      <c r="W341" s="6"/>
      <c r="X341" s="6"/>
      <c r="Y341" s="5"/>
      <c r="Z341" s="3"/>
      <c r="AA341" s="6">
        <f>H341*I341/100</f>
      </c>
      <c r="AB341" s="6">
        <f>H341*J341/100</f>
      </c>
      <c r="AC341" s="7">
        <f>H341*K341</f>
      </c>
      <c r="AD341" s="7">
        <f>H341*M341</f>
      </c>
      <c r="AE341" s="6">
        <f>H341*L341/100</f>
      </c>
      <c r="AF341" s="6">
        <f>AA341+AB341+AE341</f>
      </c>
      <c r="AG341" s="6">
        <f>I341+J341+L341</f>
      </c>
      <c r="AH341" s="53">
        <f>$H341*I341</f>
      </c>
      <c r="AI341" s="53">
        <f>$H341*J341</f>
      </c>
      <c r="AJ341" s="53">
        <f>$H341*K341</f>
      </c>
      <c r="AK341" s="53">
        <f>$H341*L341</f>
      </c>
      <c r="AL341" s="53">
        <f>$H341*M341</f>
      </c>
      <c r="AM341" s="3"/>
      <c r="AN341" s="5"/>
      <c r="AO341" s="5"/>
      <c r="AP341" s="5"/>
      <c r="AQ341" s="3"/>
    </row>
    <row x14ac:dyDescent="0.25" r="342" customHeight="1" ht="12.75">
      <c r="A342" s="5" t="s">
        <v>192</v>
      </c>
      <c r="B342" s="3" t="s">
        <v>1100</v>
      </c>
      <c r="C342" s="3" t="s">
        <v>870</v>
      </c>
      <c r="D342" s="3"/>
      <c r="E342" s="38" t="s">
        <v>859</v>
      </c>
      <c r="F342" s="3" t="s">
        <v>1464</v>
      </c>
      <c r="G342" s="3" t="s">
        <v>1465</v>
      </c>
      <c r="H342" s="6">
        <v>0.375</v>
      </c>
      <c r="I342" s="6">
        <v>4.8</v>
      </c>
      <c r="J342" s="6">
        <v>6.1</v>
      </c>
      <c r="K342" s="5">
        <v>55</v>
      </c>
      <c r="L342" s="6">
        <v>0.5</v>
      </c>
      <c r="M342" s="7">
        <v>4</v>
      </c>
      <c r="N342" s="7"/>
      <c r="O342" s="23"/>
      <c r="P342" s="6"/>
      <c r="Q342" s="6"/>
      <c r="R342" s="31"/>
      <c r="S342" s="6"/>
      <c r="T342" s="31"/>
      <c r="U342" s="6"/>
      <c r="V342" s="23"/>
      <c r="W342" s="6"/>
      <c r="X342" s="6"/>
      <c r="Y342" s="5"/>
      <c r="Z342" s="3"/>
      <c r="AA342" s="6">
        <f>H342*I342/100</f>
      </c>
      <c r="AB342" s="6">
        <f>H342*J342/100</f>
      </c>
      <c r="AC342" s="7">
        <f>H342*K342</f>
      </c>
      <c r="AD342" s="7">
        <f>H342*M342</f>
      </c>
      <c r="AE342" s="6">
        <f>H342*L342/100</f>
      </c>
      <c r="AF342" s="6">
        <f>AA342+AB342+AE342</f>
      </c>
      <c r="AG342" s="6">
        <f>I342+J342+L342</f>
      </c>
      <c r="AH342" s="53">
        <f>$H342*I342</f>
      </c>
      <c r="AI342" s="53">
        <f>$H342*J342</f>
      </c>
      <c r="AJ342" s="53">
        <f>$H342*K342</f>
      </c>
      <c r="AK342" s="53">
        <f>$H342*L342</f>
      </c>
      <c r="AL342" s="53">
        <f>$H342*M342</f>
      </c>
      <c r="AM342" s="3"/>
      <c r="AN342" s="5"/>
      <c r="AO342" s="5"/>
      <c r="AP342" s="5"/>
      <c r="AQ342" s="3"/>
    </row>
    <row x14ac:dyDescent="0.25" r="343" customHeight="1" ht="12.75">
      <c r="A343" s="5" t="s">
        <v>21</v>
      </c>
      <c r="B343" s="3" t="s">
        <v>1100</v>
      </c>
      <c r="C343" s="3" t="s">
        <v>866</v>
      </c>
      <c r="D343" s="3" t="s">
        <v>989</v>
      </c>
      <c r="E343" s="38" t="s">
        <v>859</v>
      </c>
      <c r="F343" s="3" t="s">
        <v>1171</v>
      </c>
      <c r="G343" s="3" t="s">
        <v>1342</v>
      </c>
      <c r="H343" s="23">
        <v>2.17704</v>
      </c>
      <c r="I343" s="6">
        <v>6.5</v>
      </c>
      <c r="J343" s="7">
        <v>18.5</v>
      </c>
      <c r="K343" s="6">
        <v>68.5</v>
      </c>
      <c r="L343" s="6"/>
      <c r="M343" s="6"/>
      <c r="N343" s="7"/>
      <c r="O343" s="23"/>
      <c r="P343" s="6"/>
      <c r="Q343" s="6"/>
      <c r="R343" s="31"/>
      <c r="S343" s="6"/>
      <c r="T343" s="31"/>
      <c r="U343" s="6"/>
      <c r="V343" s="23"/>
      <c r="W343" s="6"/>
      <c r="X343" s="6"/>
      <c r="Y343" s="5"/>
      <c r="Z343" s="3"/>
      <c r="AA343" s="6">
        <f>H343*I343/100</f>
      </c>
      <c r="AB343" s="6">
        <f>H343*J343/100</f>
      </c>
      <c r="AC343" s="7">
        <f>H343*K343</f>
      </c>
      <c r="AD343" s="7">
        <f>H343*M343</f>
      </c>
      <c r="AE343" s="6">
        <f>H343*L343/100</f>
      </c>
      <c r="AF343" s="6">
        <f>AA343+AB343+AE343</f>
      </c>
      <c r="AG343" s="6">
        <f>I343+J343+L343</f>
      </c>
      <c r="AH343" s="53">
        <f>$H343*I343</f>
      </c>
      <c r="AI343" s="53">
        <f>$H343*J343</f>
      </c>
      <c r="AJ343" s="53">
        <f>$H343*K343</f>
      </c>
      <c r="AK343" s="53">
        <f>$H343*L343</f>
      </c>
      <c r="AL343" s="53">
        <f>$H343*M343</f>
      </c>
      <c r="AM343" s="3"/>
      <c r="AN343" s="5"/>
      <c r="AO343" s="5"/>
      <c r="AP343" s="5"/>
      <c r="AQ343" s="3"/>
    </row>
    <row x14ac:dyDescent="0.25" r="344" customHeight="1" ht="12.75">
      <c r="A344" s="5" t="s">
        <v>705</v>
      </c>
      <c r="B344" s="3" t="s">
        <v>1100</v>
      </c>
      <c r="C344" s="3" t="s">
        <v>866</v>
      </c>
      <c r="D344" s="3" t="s">
        <v>988</v>
      </c>
      <c r="E344" s="38" t="s">
        <v>859</v>
      </c>
      <c r="F344" s="3" t="s">
        <v>1171</v>
      </c>
      <c r="G344" s="3" t="s">
        <v>1173</v>
      </c>
      <c r="H344" s="6">
        <v>5.8</v>
      </c>
      <c r="I344" s="6">
        <v>0.98</v>
      </c>
      <c r="J344" s="6">
        <v>3.42</v>
      </c>
      <c r="K344" s="6">
        <v>3.4</v>
      </c>
      <c r="L344" s="6"/>
      <c r="M344" s="6"/>
      <c r="N344" s="7"/>
      <c r="O344" s="23"/>
      <c r="P344" s="6"/>
      <c r="Q344" s="6"/>
      <c r="R344" s="31"/>
      <c r="S344" s="6"/>
      <c r="T344" s="31"/>
      <c r="U344" s="6"/>
      <c r="V344" s="23"/>
      <c r="W344" s="6"/>
      <c r="X344" s="6"/>
      <c r="Y344" s="5"/>
      <c r="Z344" s="3"/>
      <c r="AA344" s="6">
        <f>H344*I344/100</f>
      </c>
      <c r="AB344" s="6">
        <f>H344*J344/100</f>
      </c>
      <c r="AC344" s="7">
        <f>H344*K344</f>
      </c>
      <c r="AD344" s="7">
        <f>H344*M344</f>
      </c>
      <c r="AE344" s="6">
        <f>H344*L344/100</f>
      </c>
      <c r="AF344" s="6">
        <f>AA344+AB344+AE344</f>
      </c>
      <c r="AG344" s="6">
        <f>I344+J344+L344</f>
      </c>
      <c r="AH344" s="53">
        <f>$H344*I344</f>
      </c>
      <c r="AI344" s="53">
        <f>$H344*J344</f>
      </c>
      <c r="AJ344" s="53">
        <f>$H344*K344</f>
      </c>
      <c r="AK344" s="53">
        <f>$H344*L344</f>
      </c>
      <c r="AL344" s="53">
        <f>$H344*M344</f>
      </c>
      <c r="AM344" s="3"/>
      <c r="AN344" s="5"/>
      <c r="AO344" s="5"/>
      <c r="AP344" s="5"/>
      <c r="AQ344" s="3"/>
    </row>
    <row x14ac:dyDescent="0.25" r="345" customHeight="1" ht="12.75">
      <c r="A345" s="5" t="s">
        <v>427</v>
      </c>
      <c r="B345" s="3" t="s">
        <v>1100</v>
      </c>
      <c r="C345" s="3" t="s">
        <v>870</v>
      </c>
      <c r="D345" s="3"/>
      <c r="E345" s="38" t="s">
        <v>859</v>
      </c>
      <c r="F345" s="3" t="s">
        <v>1399</v>
      </c>
      <c r="G345" s="3" t="s">
        <v>1415</v>
      </c>
      <c r="H345" s="6">
        <v>0.48</v>
      </c>
      <c r="I345" s="6"/>
      <c r="J345" s="6">
        <v>7.97</v>
      </c>
      <c r="K345" s="6">
        <v>23.3</v>
      </c>
      <c r="L345" s="6">
        <v>0.4</v>
      </c>
      <c r="M345" s="6">
        <v>1.9</v>
      </c>
      <c r="N345" s="7"/>
      <c r="O345" s="23"/>
      <c r="P345" s="6"/>
      <c r="Q345" s="6"/>
      <c r="R345" s="31"/>
      <c r="S345" s="6"/>
      <c r="T345" s="31"/>
      <c r="U345" s="6"/>
      <c r="V345" s="23"/>
      <c r="W345" s="6"/>
      <c r="X345" s="6"/>
      <c r="Y345" s="5"/>
      <c r="Z345" s="3"/>
      <c r="AA345" s="6">
        <f>H345*I345/100</f>
      </c>
      <c r="AB345" s="6">
        <f>H345*J345/100</f>
      </c>
      <c r="AC345" s="7">
        <f>H345*K345</f>
      </c>
      <c r="AD345" s="7">
        <f>H345*M345</f>
      </c>
      <c r="AE345" s="6">
        <f>H345*L345/100</f>
      </c>
      <c r="AF345" s="6">
        <f>AA345+AB345+AE345</f>
      </c>
      <c r="AG345" s="6">
        <f>I345+J345+L345</f>
      </c>
      <c r="AH345" s="53">
        <f>$H345*I345</f>
      </c>
      <c r="AI345" s="53">
        <f>$H345*J345</f>
      </c>
      <c r="AJ345" s="53">
        <f>$H345*K345</f>
      </c>
      <c r="AK345" s="53">
        <f>$H345*L345</f>
      </c>
      <c r="AL345" s="53">
        <f>$H345*M345</f>
      </c>
      <c r="AM345" s="3"/>
      <c r="AN345" s="5"/>
      <c r="AO345" s="5"/>
      <c r="AP345" s="5"/>
      <c r="AQ345" s="3"/>
    </row>
    <row x14ac:dyDescent="0.25" r="346" customHeight="1" ht="12.75">
      <c r="A346" s="5" t="s">
        <v>299</v>
      </c>
      <c r="B346" s="3" t="s">
        <v>1100</v>
      </c>
      <c r="C346" s="3" t="s">
        <v>866</v>
      </c>
      <c r="D346" s="3" t="s">
        <v>988</v>
      </c>
      <c r="E346" s="38" t="s">
        <v>859</v>
      </c>
      <c r="F346" s="3" t="s">
        <v>1466</v>
      </c>
      <c r="G346" s="3" t="s">
        <v>1342</v>
      </c>
      <c r="H346" s="23">
        <v>2.605826</v>
      </c>
      <c r="I346" s="6">
        <v>5.1</v>
      </c>
      <c r="J346" s="6">
        <v>5.6</v>
      </c>
      <c r="K346" s="6">
        <v>37.7</v>
      </c>
      <c r="L346" s="6"/>
      <c r="M346" s="6"/>
      <c r="N346" s="7"/>
      <c r="O346" s="23"/>
      <c r="P346" s="6"/>
      <c r="Q346" s="6"/>
      <c r="R346" s="31"/>
      <c r="S346" s="6"/>
      <c r="T346" s="31"/>
      <c r="U346" s="6"/>
      <c r="V346" s="23"/>
      <c r="W346" s="6"/>
      <c r="X346" s="6"/>
      <c r="Y346" s="5"/>
      <c r="Z346" s="3"/>
      <c r="AA346" s="6">
        <f>H346*I346/100</f>
      </c>
      <c r="AB346" s="6">
        <f>H346*J346/100</f>
      </c>
      <c r="AC346" s="7">
        <f>H346*K346</f>
      </c>
      <c r="AD346" s="7">
        <f>H346*M346</f>
      </c>
      <c r="AE346" s="6">
        <f>H346*L346/100</f>
      </c>
      <c r="AF346" s="6">
        <f>AA346+AB346+AE346</f>
      </c>
      <c r="AG346" s="6">
        <f>I346+J346+L346</f>
      </c>
      <c r="AH346" s="53">
        <f>$H346*I346</f>
      </c>
      <c r="AI346" s="53">
        <f>$H346*J346</f>
      </c>
      <c r="AJ346" s="53">
        <f>$H346*K346</f>
      </c>
      <c r="AK346" s="53">
        <f>$H346*L346</f>
      </c>
      <c r="AL346" s="53">
        <f>$H346*M346</f>
      </c>
      <c r="AM346" s="3"/>
      <c r="AN346" s="5"/>
      <c r="AO346" s="5"/>
      <c r="AP346" s="5"/>
      <c r="AQ346" s="3"/>
    </row>
    <row x14ac:dyDescent="0.25" r="347" customHeight="1" ht="12.75">
      <c r="A347" s="5" t="s">
        <v>431</v>
      </c>
      <c r="B347" s="3" t="s">
        <v>1100</v>
      </c>
      <c r="C347" s="3" t="s">
        <v>866</v>
      </c>
      <c r="D347" s="3" t="s">
        <v>989</v>
      </c>
      <c r="E347" s="38" t="s">
        <v>859</v>
      </c>
      <c r="F347" s="3" t="s">
        <v>1171</v>
      </c>
      <c r="G347" s="3" t="s">
        <v>1467</v>
      </c>
      <c r="H347" s="6">
        <v>20.13762</v>
      </c>
      <c r="I347" s="7">
        <f>5/3</f>
      </c>
      <c r="J347" s="7">
        <f>5*(2/3)</f>
      </c>
      <c r="K347" s="5"/>
      <c r="L347" s="6"/>
      <c r="M347" s="6"/>
      <c r="N347" s="7"/>
      <c r="O347" s="23"/>
      <c r="P347" s="6"/>
      <c r="Q347" s="6"/>
      <c r="R347" s="31"/>
      <c r="S347" s="6"/>
      <c r="T347" s="31"/>
      <c r="U347" s="6"/>
      <c r="V347" s="23"/>
      <c r="W347" s="6"/>
      <c r="X347" s="6"/>
      <c r="Y347" s="5"/>
      <c r="Z347" s="3"/>
      <c r="AA347" s="6">
        <f>H347*I347/100</f>
      </c>
      <c r="AB347" s="6">
        <f>H347*J347/100</f>
      </c>
      <c r="AC347" s="7">
        <f>H347*K347</f>
      </c>
      <c r="AD347" s="7">
        <f>H347*M347</f>
      </c>
      <c r="AE347" s="6">
        <f>H347*L347/100</f>
      </c>
      <c r="AF347" s="6">
        <f>AA347+AB347+AE347</f>
      </c>
      <c r="AG347" s="6">
        <f>I347+J347+L347</f>
      </c>
      <c r="AH347" s="53">
        <f>$H347*I347</f>
      </c>
      <c r="AI347" s="53">
        <f>$H347*J347</f>
      </c>
      <c r="AJ347" s="53">
        <f>$H347*K347</f>
      </c>
      <c r="AK347" s="53">
        <f>$H347*L347</f>
      </c>
      <c r="AL347" s="53">
        <f>$H347*M347</f>
      </c>
      <c r="AM347" s="3"/>
      <c r="AN347" s="5"/>
      <c r="AO347" s="5"/>
      <c r="AP347" s="5"/>
      <c r="AQ347" s="3"/>
    </row>
    <row x14ac:dyDescent="0.25" r="348" customHeight="1" ht="12.75">
      <c r="A348" s="5" t="s">
        <v>722</v>
      </c>
      <c r="B348" s="3" t="s">
        <v>1100</v>
      </c>
      <c r="C348" s="3" t="s">
        <v>870</v>
      </c>
      <c r="D348" s="3"/>
      <c r="E348" s="38" t="s">
        <v>859</v>
      </c>
      <c r="F348" s="3" t="s">
        <v>1410</v>
      </c>
      <c r="G348" s="3" t="s">
        <v>1411</v>
      </c>
      <c r="H348" s="7">
        <v>1</v>
      </c>
      <c r="I348" s="6"/>
      <c r="J348" s="6">
        <v>2.06</v>
      </c>
      <c r="K348" s="5"/>
      <c r="L348" s="6">
        <v>1.97</v>
      </c>
      <c r="M348" s="6"/>
      <c r="N348" s="7"/>
      <c r="O348" s="23"/>
      <c r="P348" s="6"/>
      <c r="Q348" s="6"/>
      <c r="R348" s="31"/>
      <c r="S348" s="6"/>
      <c r="T348" s="31"/>
      <c r="U348" s="6"/>
      <c r="V348" s="23"/>
      <c r="W348" s="6"/>
      <c r="X348" s="6"/>
      <c r="Y348" s="5"/>
      <c r="Z348" s="3"/>
      <c r="AA348" s="6">
        <f>H348*I348/100</f>
      </c>
      <c r="AB348" s="6">
        <f>H348*J348/100</f>
      </c>
      <c r="AC348" s="7">
        <f>H348*K348</f>
      </c>
      <c r="AD348" s="7">
        <f>H348*M348</f>
      </c>
      <c r="AE348" s="6">
        <f>H348*L348/100</f>
      </c>
      <c r="AF348" s="6">
        <f>AA348+AB348+AE348</f>
      </c>
      <c r="AG348" s="6">
        <f>I348+J348+L348</f>
      </c>
      <c r="AH348" s="53">
        <f>$H348*I348</f>
      </c>
      <c r="AI348" s="53">
        <f>$H348*J348</f>
      </c>
      <c r="AJ348" s="53">
        <f>$H348*K348</f>
      </c>
      <c r="AK348" s="53">
        <f>$H348*L348</f>
      </c>
      <c r="AL348" s="53">
        <f>$H348*M348</f>
      </c>
      <c r="AM348" s="3"/>
      <c r="AN348" s="5"/>
      <c r="AO348" s="5"/>
      <c r="AP348" s="5"/>
      <c r="AQ348" s="3"/>
    </row>
    <row x14ac:dyDescent="0.25" r="349" customHeight="1" ht="12.75">
      <c r="A349" s="5" t="s">
        <v>828</v>
      </c>
      <c r="B349" s="3" t="s">
        <v>1100</v>
      </c>
      <c r="C349" s="3" t="s">
        <v>870</v>
      </c>
      <c r="D349" s="3"/>
      <c r="E349" s="3" t="s">
        <v>855</v>
      </c>
      <c r="F349" s="3" t="s">
        <v>1468</v>
      </c>
      <c r="G349" s="3" t="s">
        <v>1469</v>
      </c>
      <c r="H349" s="23">
        <v>2.313918</v>
      </c>
      <c r="I349" s="6">
        <v>0.21</v>
      </c>
      <c r="J349" s="6">
        <v>0.88</v>
      </c>
      <c r="K349" s="6">
        <v>77.6</v>
      </c>
      <c r="L349" s="6">
        <v>0.21</v>
      </c>
      <c r="M349" s="6">
        <v>0.64</v>
      </c>
      <c r="N349" s="7"/>
      <c r="O349" s="23"/>
      <c r="P349" s="6"/>
      <c r="Q349" s="6"/>
      <c r="R349" s="31"/>
      <c r="S349" s="6"/>
      <c r="T349" s="31"/>
      <c r="U349" s="6"/>
      <c r="V349" s="23"/>
      <c r="W349" s="6"/>
      <c r="X349" s="6"/>
      <c r="Y349" s="5"/>
      <c r="Z349" s="3"/>
      <c r="AA349" s="6">
        <f>H349*I349/100</f>
      </c>
      <c r="AB349" s="6">
        <f>H349*J349/100</f>
      </c>
      <c r="AC349" s="7">
        <f>H349*K349</f>
      </c>
      <c r="AD349" s="7">
        <f>H349*M349</f>
      </c>
      <c r="AE349" s="6">
        <f>H349*L349/100</f>
      </c>
      <c r="AF349" s="6">
        <f>AA349+AB349+AE349</f>
      </c>
      <c r="AG349" s="6">
        <f>I349+J349+L349</f>
      </c>
      <c r="AH349" s="53">
        <f>$H349*I349</f>
      </c>
      <c r="AI349" s="53">
        <f>$H349*J349</f>
      </c>
      <c r="AJ349" s="53">
        <f>$H349*K349</f>
      </c>
      <c r="AK349" s="53">
        <f>$H349*L349</f>
      </c>
      <c r="AL349" s="53">
        <f>$H349*M349</f>
      </c>
      <c r="AM349" s="3"/>
      <c r="AN349" s="5"/>
      <c r="AO349" s="5"/>
      <c r="AP349" s="5"/>
      <c r="AQ349" s="3"/>
    </row>
    <row x14ac:dyDescent="0.25" r="350" customHeight="1" ht="12.75">
      <c r="A350" s="5" t="s">
        <v>718</v>
      </c>
      <c r="B350" s="3" t="s">
        <v>1100</v>
      </c>
      <c r="C350" s="3" t="s">
        <v>870</v>
      </c>
      <c r="D350" s="3"/>
      <c r="E350" s="38" t="s">
        <v>859</v>
      </c>
      <c r="F350" s="3" t="s">
        <v>1439</v>
      </c>
      <c r="G350" s="3" t="s">
        <v>1470</v>
      </c>
      <c r="H350" s="6">
        <f>0.279*0.9072</f>
      </c>
      <c r="I350" s="6"/>
      <c r="J350" s="6">
        <v>4.38</v>
      </c>
      <c r="K350" s="6">
        <v>42.16</v>
      </c>
      <c r="L350" s="6">
        <v>0.77</v>
      </c>
      <c r="M350" s="6"/>
      <c r="N350" s="7"/>
      <c r="O350" s="23"/>
      <c r="P350" s="6"/>
      <c r="Q350" s="6"/>
      <c r="R350" s="31"/>
      <c r="S350" s="6"/>
      <c r="T350" s="31"/>
      <c r="U350" s="6"/>
      <c r="V350" s="23"/>
      <c r="W350" s="6"/>
      <c r="X350" s="6"/>
      <c r="Y350" s="5"/>
      <c r="Z350" s="3"/>
      <c r="AA350" s="6">
        <f>H350*I350/100</f>
      </c>
      <c r="AB350" s="6">
        <f>H350*J350/100</f>
      </c>
      <c r="AC350" s="7">
        <f>H350*K350</f>
      </c>
      <c r="AD350" s="7">
        <f>H350*M350</f>
      </c>
      <c r="AE350" s="6">
        <f>H350*L350/100</f>
      </c>
      <c r="AF350" s="6">
        <f>AA350+AB350+AE350</f>
      </c>
      <c r="AG350" s="6">
        <f>I350+J350+L350</f>
      </c>
      <c r="AH350" s="53">
        <f>$H350*I350</f>
      </c>
      <c r="AI350" s="53">
        <f>$H350*J350</f>
      </c>
      <c r="AJ350" s="53">
        <f>$H350*K350</f>
      </c>
      <c r="AK350" s="53">
        <f>$H350*L350</f>
      </c>
      <c r="AL350" s="53">
        <f>$H350*M350</f>
      </c>
      <c r="AM350" s="3"/>
      <c r="AN350" s="5"/>
      <c r="AO350" s="5"/>
      <c r="AP350" s="5"/>
      <c r="AQ350" s="3"/>
    </row>
    <row x14ac:dyDescent="0.25" r="351" customHeight="1" ht="12.75">
      <c r="A351" s="5" t="s">
        <v>632</v>
      </c>
      <c r="B351" s="3" t="s">
        <v>1100</v>
      </c>
      <c r="C351" s="3" t="s">
        <v>870</v>
      </c>
      <c r="D351" s="3"/>
      <c r="E351" s="38" t="s">
        <v>859</v>
      </c>
      <c r="F351" s="3" t="s">
        <v>1439</v>
      </c>
      <c r="G351" s="3" t="s">
        <v>1470</v>
      </c>
      <c r="H351" s="6">
        <f>0.109*0.9072</f>
      </c>
      <c r="I351" s="6">
        <v>0.61</v>
      </c>
      <c r="J351" s="6">
        <v>5.2</v>
      </c>
      <c r="K351" s="5"/>
      <c r="L351" s="6">
        <v>0.26</v>
      </c>
      <c r="M351" s="6"/>
      <c r="N351" s="7"/>
      <c r="O351" s="23"/>
      <c r="P351" s="6"/>
      <c r="Q351" s="6"/>
      <c r="R351" s="31"/>
      <c r="S351" s="6"/>
      <c r="T351" s="31"/>
      <c r="U351" s="6"/>
      <c r="V351" s="23"/>
      <c r="W351" s="6"/>
      <c r="X351" s="6"/>
      <c r="Y351" s="5"/>
      <c r="Z351" s="3"/>
      <c r="AA351" s="6">
        <f>H351*I351/100</f>
      </c>
      <c r="AB351" s="6">
        <f>H351*J351/100</f>
      </c>
      <c r="AC351" s="7">
        <f>H351*K351</f>
      </c>
      <c r="AD351" s="7">
        <f>H351*M351</f>
      </c>
      <c r="AE351" s="6">
        <f>H351*L351/100</f>
      </c>
      <c r="AF351" s="6">
        <f>AA351+AB351+AE351</f>
      </c>
      <c r="AG351" s="6">
        <f>I351+J351+L351</f>
      </c>
      <c r="AH351" s="53">
        <f>$H351*I351</f>
      </c>
      <c r="AI351" s="53">
        <f>$H351*J351</f>
      </c>
      <c r="AJ351" s="53">
        <f>$H351*K351</f>
      </c>
      <c r="AK351" s="53">
        <f>$H351*L351</f>
      </c>
      <c r="AL351" s="53">
        <f>$H351*M351</f>
      </c>
      <c r="AM351" s="3"/>
      <c r="AN351" s="5"/>
      <c r="AO351" s="5"/>
      <c r="AP351" s="5"/>
      <c r="AQ351" s="3"/>
    </row>
    <row x14ac:dyDescent="0.25" r="352" customHeight="1" ht="12.75">
      <c r="A352" s="5" t="s">
        <v>423</v>
      </c>
      <c r="B352" s="3" t="s">
        <v>1100</v>
      </c>
      <c r="C352" s="3" t="s">
        <v>870</v>
      </c>
      <c r="D352" s="3"/>
      <c r="E352" s="38" t="s">
        <v>859</v>
      </c>
      <c r="F352" s="3" t="s">
        <v>1439</v>
      </c>
      <c r="G352" s="3" t="s">
        <v>1470</v>
      </c>
      <c r="H352" s="6">
        <f>1.06*0.9072</f>
      </c>
      <c r="I352" s="6">
        <v>1.03</v>
      </c>
      <c r="J352" s="6">
        <v>6.86</v>
      </c>
      <c r="K352" s="6">
        <v>54.52</v>
      </c>
      <c r="L352" s="6">
        <v>0.7</v>
      </c>
      <c r="M352" s="6">
        <v>1.02</v>
      </c>
      <c r="N352" s="7"/>
      <c r="O352" s="23"/>
      <c r="P352" s="6"/>
      <c r="Q352" s="6"/>
      <c r="R352" s="31"/>
      <c r="S352" s="6"/>
      <c r="T352" s="31"/>
      <c r="U352" s="6"/>
      <c r="V352" s="23"/>
      <c r="W352" s="6"/>
      <c r="X352" s="6"/>
      <c r="Y352" s="5"/>
      <c r="Z352" s="3"/>
      <c r="AA352" s="6">
        <f>H352*I352/100</f>
      </c>
      <c r="AB352" s="6">
        <f>H352*J352/100</f>
      </c>
      <c r="AC352" s="7">
        <f>H352*K352</f>
      </c>
      <c r="AD352" s="7">
        <f>H352*M352</f>
      </c>
      <c r="AE352" s="6">
        <f>H352*L352/100</f>
      </c>
      <c r="AF352" s="6">
        <f>AA352+AB352+AE352</f>
      </c>
      <c r="AG352" s="6">
        <f>I352+J352+L352</f>
      </c>
      <c r="AH352" s="53">
        <f>$H352*I352</f>
      </c>
      <c r="AI352" s="53">
        <f>$H352*J352</f>
      </c>
      <c r="AJ352" s="53">
        <f>$H352*K352</f>
      </c>
      <c r="AK352" s="53">
        <f>$H352*L352</f>
      </c>
      <c r="AL352" s="53">
        <f>$H352*M352</f>
      </c>
      <c r="AM352" s="3"/>
      <c r="AN352" s="5"/>
      <c r="AO352" s="5"/>
      <c r="AP352" s="5"/>
      <c r="AQ352" s="3"/>
    </row>
    <row x14ac:dyDescent="0.25" r="353" customHeight="1" ht="12.75">
      <c r="A353" s="5" t="s">
        <v>739</v>
      </c>
      <c r="B353" s="3" t="s">
        <v>1100</v>
      </c>
      <c r="C353" s="3" t="s">
        <v>870</v>
      </c>
      <c r="D353" s="3"/>
      <c r="E353" s="38" t="s">
        <v>859</v>
      </c>
      <c r="F353" s="3" t="s">
        <v>1439</v>
      </c>
      <c r="G353" s="3" t="s">
        <v>1470</v>
      </c>
      <c r="H353" s="6">
        <f>5.44*0.9072</f>
      </c>
      <c r="I353" s="6"/>
      <c r="J353" s="6">
        <v>1.8</v>
      </c>
      <c r="K353" s="5"/>
      <c r="L353" s="6">
        <v>1.49</v>
      </c>
      <c r="M353" s="6"/>
      <c r="N353" s="7"/>
      <c r="O353" s="23"/>
      <c r="P353" s="6"/>
      <c r="Q353" s="6"/>
      <c r="R353" s="31"/>
      <c r="S353" s="6"/>
      <c r="T353" s="31"/>
      <c r="U353" s="6"/>
      <c r="V353" s="23"/>
      <c r="W353" s="6"/>
      <c r="X353" s="6"/>
      <c r="Y353" s="5"/>
      <c r="Z353" s="3"/>
      <c r="AA353" s="6">
        <f>H353*I353/100</f>
      </c>
      <c r="AB353" s="6">
        <f>H353*J353/100</f>
      </c>
      <c r="AC353" s="7">
        <f>H353*K353</f>
      </c>
      <c r="AD353" s="7">
        <f>H353*M353</f>
      </c>
      <c r="AE353" s="6">
        <f>H353*L353/100</f>
      </c>
      <c r="AF353" s="6">
        <f>AA353+AB353+AE353</f>
      </c>
      <c r="AG353" s="6">
        <f>I353+J353+L353</f>
      </c>
      <c r="AH353" s="53">
        <f>$H353*I353</f>
      </c>
      <c r="AI353" s="53">
        <f>$H353*J353</f>
      </c>
      <c r="AJ353" s="53">
        <f>$H353*K353</f>
      </c>
      <c r="AK353" s="53">
        <f>$H353*L353</f>
      </c>
      <c r="AL353" s="53">
        <f>$H353*M353</f>
      </c>
      <c r="AM353" s="3"/>
      <c r="AN353" s="5"/>
      <c r="AO353" s="5"/>
      <c r="AP353" s="5"/>
      <c r="AQ353" s="3"/>
    </row>
    <row x14ac:dyDescent="0.25" r="354" customHeight="1" ht="12.75">
      <c r="A354" s="5" t="s">
        <v>404</v>
      </c>
      <c r="B354" s="3" t="s">
        <v>1100</v>
      </c>
      <c r="C354" s="3" t="s">
        <v>866</v>
      </c>
      <c r="D354" s="3" t="s">
        <v>988</v>
      </c>
      <c r="E354" s="3" t="s">
        <v>855</v>
      </c>
      <c r="F354" s="3" t="s">
        <v>1471</v>
      </c>
      <c r="G354" s="3" t="s">
        <v>1472</v>
      </c>
      <c r="H354" s="6">
        <f>7.083+8.048</f>
      </c>
      <c r="I354" s="6">
        <f>(1.25*7.083+1.08*8.048)/$H354</f>
      </c>
      <c r="J354" s="6">
        <f>(6.07*7.083+5.74*8.048)/$H354</f>
      </c>
      <c r="K354" s="5"/>
      <c r="L354" s="6"/>
      <c r="M354" s="6"/>
      <c r="N354" s="7"/>
      <c r="O354" s="23"/>
      <c r="P354" s="6"/>
      <c r="Q354" s="6"/>
      <c r="R354" s="31"/>
      <c r="S354" s="6"/>
      <c r="T354" s="31"/>
      <c r="U354" s="6"/>
      <c r="V354" s="23"/>
      <c r="W354" s="6"/>
      <c r="X354" s="6"/>
      <c r="Y354" s="5"/>
      <c r="Z354" s="3"/>
      <c r="AA354" s="6">
        <f>H354*I354/100</f>
      </c>
      <c r="AB354" s="6">
        <f>H354*J354/100</f>
      </c>
      <c r="AC354" s="7">
        <f>H354*K354</f>
      </c>
      <c r="AD354" s="7">
        <f>H354*M354</f>
      </c>
      <c r="AE354" s="6">
        <f>H354*L354/100</f>
      </c>
      <c r="AF354" s="6">
        <f>AA354+AB354+AE354</f>
      </c>
      <c r="AG354" s="6">
        <f>I354+J354+L354</f>
      </c>
      <c r="AH354" s="53">
        <f>$H354*I354</f>
      </c>
      <c r="AI354" s="53">
        <f>$H354*J354</f>
      </c>
      <c r="AJ354" s="53">
        <f>$H354*K354</f>
      </c>
      <c r="AK354" s="53">
        <f>$H354*L354</f>
      </c>
      <c r="AL354" s="53">
        <f>$H354*M354</f>
      </c>
      <c r="AM354" s="3"/>
      <c r="AN354" s="5"/>
      <c r="AO354" s="5"/>
      <c r="AP354" s="5"/>
      <c r="AQ354" s="3"/>
    </row>
    <row x14ac:dyDescent="0.25" r="355" customHeight="1" ht="12.75">
      <c r="A355" s="5" t="s">
        <v>313</v>
      </c>
      <c r="B355" s="3" t="s">
        <v>1100</v>
      </c>
      <c r="C355" s="3" t="s">
        <v>856</v>
      </c>
      <c r="D355" s="3"/>
      <c r="E355" s="38" t="s">
        <v>859</v>
      </c>
      <c r="F355" s="3" t="s">
        <v>1473</v>
      </c>
      <c r="G355" s="3" t="s">
        <v>1342</v>
      </c>
      <c r="H355" s="23">
        <v>0.273944</v>
      </c>
      <c r="I355" s="6">
        <v>5.4</v>
      </c>
      <c r="J355" s="7">
        <v>4.8</v>
      </c>
      <c r="K355" s="6">
        <v>233.1</v>
      </c>
      <c r="L355" s="6"/>
      <c r="M355" s="6"/>
      <c r="N355" s="7"/>
      <c r="O355" s="23"/>
      <c r="P355" s="6"/>
      <c r="Q355" s="6"/>
      <c r="R355" s="31"/>
      <c r="S355" s="6"/>
      <c r="T355" s="31"/>
      <c r="U355" s="6"/>
      <c r="V355" s="23"/>
      <c r="W355" s="6"/>
      <c r="X355" s="6"/>
      <c r="Y355" s="5"/>
      <c r="Z355" s="3"/>
      <c r="AA355" s="6">
        <f>H355*I355/100</f>
      </c>
      <c r="AB355" s="6">
        <f>H355*J355/100</f>
      </c>
      <c r="AC355" s="7">
        <f>H355*K355</f>
      </c>
      <c r="AD355" s="7">
        <f>H355*M355</f>
      </c>
      <c r="AE355" s="6">
        <f>H355*L355/100</f>
      </c>
      <c r="AF355" s="6">
        <f>AA355+AB355+AE355</f>
      </c>
      <c r="AG355" s="6">
        <f>I355+J355+L355</f>
      </c>
      <c r="AH355" s="53">
        <f>$H355*I355</f>
      </c>
      <c r="AI355" s="53">
        <f>$H355*J355</f>
      </c>
      <c r="AJ355" s="53">
        <f>$H355*K355</f>
      </c>
      <c r="AK355" s="53">
        <f>$H355*L355</f>
      </c>
      <c r="AL355" s="53">
        <f>$H355*M355</f>
      </c>
      <c r="AM355" s="3"/>
      <c r="AN355" s="5"/>
      <c r="AO355" s="5"/>
      <c r="AP355" s="5"/>
      <c r="AQ355" s="3"/>
    </row>
    <row x14ac:dyDescent="0.25" r="356" customHeight="1" ht="12.75">
      <c r="A356" s="5" t="s">
        <v>545</v>
      </c>
      <c r="B356" s="3" t="s">
        <v>1100</v>
      </c>
      <c r="C356" s="3" t="s">
        <v>870</v>
      </c>
      <c r="D356" s="3"/>
      <c r="E356" s="3" t="s">
        <v>855</v>
      </c>
      <c r="F356" s="3" t="s">
        <v>1362</v>
      </c>
      <c r="G356" s="3" t="s">
        <v>1398</v>
      </c>
      <c r="H356" s="23">
        <v>22.263781</v>
      </c>
      <c r="I356" s="6"/>
      <c r="J356" s="6">
        <v>1.33</v>
      </c>
      <c r="K356" s="5"/>
      <c r="L356" s="6">
        <v>1.1</v>
      </c>
      <c r="M356" s="6"/>
      <c r="N356" s="7"/>
      <c r="O356" s="23"/>
      <c r="P356" s="6"/>
      <c r="Q356" s="6"/>
      <c r="R356" s="31"/>
      <c r="S356" s="6"/>
      <c r="T356" s="31"/>
      <c r="U356" s="6"/>
      <c r="V356" s="23"/>
      <c r="W356" s="6"/>
      <c r="X356" s="6"/>
      <c r="Y356" s="5"/>
      <c r="Z356" s="3"/>
      <c r="AA356" s="6">
        <f>H356*I356/100</f>
      </c>
      <c r="AB356" s="6">
        <f>H356*J356/100</f>
      </c>
      <c r="AC356" s="7">
        <f>H356*K356</f>
      </c>
      <c r="AD356" s="7">
        <f>H356*M356</f>
      </c>
      <c r="AE356" s="6">
        <f>H356*L356/100</f>
      </c>
      <c r="AF356" s="6">
        <f>AA356+AB356+AE356</f>
      </c>
      <c r="AG356" s="6">
        <f>I356+J356+L356</f>
      </c>
      <c r="AH356" s="53">
        <f>$H356*I356</f>
      </c>
      <c r="AI356" s="53">
        <f>$H356*J356</f>
      </c>
      <c r="AJ356" s="53">
        <f>$H356*K356</f>
      </c>
      <c r="AK356" s="53">
        <f>$H356*L356</f>
      </c>
      <c r="AL356" s="53">
        <f>$H356*M356</f>
      </c>
      <c r="AM356" s="3"/>
      <c r="AN356" s="5"/>
      <c r="AO356" s="5"/>
      <c r="AP356" s="5"/>
      <c r="AQ356" s="3"/>
    </row>
    <row x14ac:dyDescent="0.25" r="357" customHeight="1" ht="12.75">
      <c r="A357" s="5" t="s">
        <v>176</v>
      </c>
      <c r="B357" s="3" t="s">
        <v>1100</v>
      </c>
      <c r="C357" s="38" t="s">
        <v>1015</v>
      </c>
      <c r="D357" s="3"/>
      <c r="E357" s="3" t="s">
        <v>855</v>
      </c>
      <c r="F357" s="3" t="s">
        <v>1474</v>
      </c>
      <c r="G357" s="3" t="s">
        <v>1475</v>
      </c>
      <c r="H357" s="6">
        <v>2.19</v>
      </c>
      <c r="I357" s="6">
        <v>2.6</v>
      </c>
      <c r="J357" s="6">
        <v>10.4</v>
      </c>
      <c r="K357" s="5"/>
      <c r="L357" s="6"/>
      <c r="M357" s="6"/>
      <c r="N357" s="7"/>
      <c r="O357" s="23"/>
      <c r="P357" s="6"/>
      <c r="Q357" s="6"/>
      <c r="R357" s="31"/>
      <c r="S357" s="6"/>
      <c r="T357" s="31"/>
      <c r="U357" s="6"/>
      <c r="V357" s="23"/>
      <c r="W357" s="6"/>
      <c r="X357" s="6"/>
      <c r="Y357" s="5"/>
      <c r="Z357" s="3"/>
      <c r="AA357" s="6">
        <f>H357*I357/100</f>
      </c>
      <c r="AB357" s="6">
        <f>H357*J357/100</f>
      </c>
      <c r="AC357" s="7">
        <f>H357*K357</f>
      </c>
      <c r="AD357" s="7">
        <f>H357*M357</f>
      </c>
      <c r="AE357" s="6">
        <f>H357*L357/100</f>
      </c>
      <c r="AF357" s="6">
        <f>AA357+AB357+AE357</f>
      </c>
      <c r="AG357" s="6">
        <f>I357+J357+L357</f>
      </c>
      <c r="AH357" s="53">
        <f>$H357*I357</f>
      </c>
      <c r="AI357" s="53">
        <f>$H357*J357</f>
      </c>
      <c r="AJ357" s="53">
        <f>$H357*K357</f>
      </c>
      <c r="AK357" s="53">
        <f>$H357*L357</f>
      </c>
      <c r="AL357" s="53">
        <f>$H357*M357</f>
      </c>
      <c r="AM357" s="3"/>
      <c r="AN357" s="5"/>
      <c r="AO357" s="5"/>
      <c r="AP357" s="5"/>
      <c r="AQ357" s="3"/>
    </row>
    <row x14ac:dyDescent="0.25" r="358" customHeight="1" ht="12.75">
      <c r="A358" s="5" t="s">
        <v>673</v>
      </c>
      <c r="B358" s="3" t="s">
        <v>1100</v>
      </c>
      <c r="C358" s="3" t="s">
        <v>866</v>
      </c>
      <c r="D358" s="3"/>
      <c r="E358" s="38" t="s">
        <v>859</v>
      </c>
      <c r="F358" s="3" t="s">
        <v>1171</v>
      </c>
      <c r="G358" s="3" t="s">
        <v>1360</v>
      </c>
      <c r="H358" s="6">
        <v>1.5</v>
      </c>
      <c r="I358" s="6"/>
      <c r="J358" s="6">
        <v>5.7</v>
      </c>
      <c r="K358" s="5"/>
      <c r="L358" s="6"/>
      <c r="M358" s="6"/>
      <c r="N358" s="7"/>
      <c r="O358" s="23"/>
      <c r="P358" s="6"/>
      <c r="Q358" s="6"/>
      <c r="R358" s="31"/>
      <c r="S358" s="6"/>
      <c r="T358" s="31"/>
      <c r="U358" s="6"/>
      <c r="V358" s="23"/>
      <c r="W358" s="6"/>
      <c r="X358" s="6"/>
      <c r="Y358" s="5"/>
      <c r="Z358" s="3"/>
      <c r="AA358" s="6">
        <f>H358*I358/100</f>
      </c>
      <c r="AB358" s="6">
        <f>H358*J358/100</f>
      </c>
      <c r="AC358" s="7">
        <f>H358*K358</f>
      </c>
      <c r="AD358" s="7">
        <f>H358*M358</f>
      </c>
      <c r="AE358" s="6">
        <f>H358*L358/100</f>
      </c>
      <c r="AF358" s="6">
        <f>AA358+AB358+AE358</f>
      </c>
      <c r="AG358" s="6">
        <f>I358+J358+L358</f>
      </c>
      <c r="AH358" s="53">
        <f>$H358*I358</f>
      </c>
      <c r="AI358" s="53">
        <f>$H358*J358</f>
      </c>
      <c r="AJ358" s="53">
        <f>$H358*K358</f>
      </c>
      <c r="AK358" s="53">
        <f>$H358*L358</f>
      </c>
      <c r="AL358" s="53">
        <f>$H358*M358</f>
      </c>
      <c r="AM358" s="3"/>
      <c r="AN358" s="5"/>
      <c r="AO358" s="5"/>
      <c r="AP358" s="5"/>
      <c r="AQ358" s="3"/>
    </row>
    <row x14ac:dyDescent="0.25" r="359" customHeight="1" ht="12.75">
      <c r="A359" s="5" t="s">
        <v>778</v>
      </c>
      <c r="B359" s="3" t="s">
        <v>1100</v>
      </c>
      <c r="C359" s="3" t="s">
        <v>866</v>
      </c>
      <c r="D359" s="3" t="s">
        <v>989</v>
      </c>
      <c r="E359" s="38" t="s">
        <v>859</v>
      </c>
      <c r="F359" s="3" t="s">
        <v>1171</v>
      </c>
      <c r="G359" s="3" t="s">
        <v>1342</v>
      </c>
      <c r="H359" s="23">
        <v>0.036287</v>
      </c>
      <c r="I359" s="6">
        <v>0.1</v>
      </c>
      <c r="J359" s="6">
        <v>4.1</v>
      </c>
      <c r="K359" s="5"/>
      <c r="L359" s="6"/>
      <c r="M359" s="6"/>
      <c r="N359" s="7"/>
      <c r="O359" s="23"/>
      <c r="P359" s="6"/>
      <c r="Q359" s="6"/>
      <c r="R359" s="31"/>
      <c r="S359" s="6"/>
      <c r="T359" s="31"/>
      <c r="U359" s="6"/>
      <c r="V359" s="23"/>
      <c r="W359" s="6"/>
      <c r="X359" s="6"/>
      <c r="Y359" s="5"/>
      <c r="Z359" s="3"/>
      <c r="AA359" s="6">
        <f>H359*I359/100</f>
      </c>
      <c r="AB359" s="6">
        <f>H359*J359/100</f>
      </c>
      <c r="AC359" s="7">
        <f>H359*K359</f>
      </c>
      <c r="AD359" s="7">
        <f>H359*M359</f>
      </c>
      <c r="AE359" s="6">
        <f>H359*L359/100</f>
      </c>
      <c r="AF359" s="6">
        <f>AA359+AB359+AE359</f>
      </c>
      <c r="AG359" s="6">
        <f>I359+J359+L359</f>
      </c>
      <c r="AH359" s="53">
        <f>$H359*I359</f>
      </c>
      <c r="AI359" s="53">
        <f>$H359*J359</f>
      </c>
      <c r="AJ359" s="53">
        <f>$H359*K359</f>
      </c>
      <c r="AK359" s="53">
        <f>$H359*L359</f>
      </c>
      <c r="AL359" s="53">
        <f>$H359*M359</f>
      </c>
      <c r="AM359" s="3"/>
      <c r="AN359" s="5"/>
      <c r="AO359" s="5"/>
      <c r="AP359" s="5"/>
      <c r="AQ359" s="3"/>
    </row>
    <row x14ac:dyDescent="0.25" r="360" customHeight="1" ht="12.75">
      <c r="A360" s="5" t="s">
        <v>765</v>
      </c>
      <c r="B360" s="3" t="s">
        <v>1100</v>
      </c>
      <c r="C360" s="3" t="s">
        <v>870</v>
      </c>
      <c r="D360" s="3"/>
      <c r="E360" s="38" t="s">
        <v>859</v>
      </c>
      <c r="F360" s="3" t="s">
        <v>1385</v>
      </c>
      <c r="G360" s="3" t="s">
        <v>1342</v>
      </c>
      <c r="H360" s="6">
        <v>1.34</v>
      </c>
      <c r="I360" s="6">
        <v>0.4</v>
      </c>
      <c r="J360" s="6">
        <v>3.8</v>
      </c>
      <c r="K360" s="5">
        <v>13</v>
      </c>
      <c r="L360" s="6">
        <v>0.1</v>
      </c>
      <c r="M360" s="6">
        <v>0.25</v>
      </c>
      <c r="N360" s="7"/>
      <c r="O360" s="23"/>
      <c r="P360" s="6"/>
      <c r="Q360" s="6"/>
      <c r="R360" s="31"/>
      <c r="S360" s="6"/>
      <c r="T360" s="31"/>
      <c r="U360" s="6"/>
      <c r="V360" s="23"/>
      <c r="W360" s="6"/>
      <c r="X360" s="6"/>
      <c r="Y360" s="5"/>
      <c r="Z360" s="3"/>
      <c r="AA360" s="6">
        <f>H360*I360/100</f>
      </c>
      <c r="AB360" s="6">
        <f>H360*J360/100</f>
      </c>
      <c r="AC360" s="7">
        <f>H360*K360</f>
      </c>
      <c r="AD360" s="7">
        <f>H360*M360</f>
      </c>
      <c r="AE360" s="6">
        <f>H360*L360/100</f>
      </c>
      <c r="AF360" s="6">
        <f>AA360+AB360+AE360</f>
      </c>
      <c r="AG360" s="6">
        <f>I360+J360+L360</f>
      </c>
      <c r="AH360" s="53">
        <f>$H360*I360</f>
      </c>
      <c r="AI360" s="53">
        <f>$H360*J360</f>
      </c>
      <c r="AJ360" s="53">
        <f>$H360*K360</f>
      </c>
      <c r="AK360" s="53">
        <f>$H360*L360</f>
      </c>
      <c r="AL360" s="53">
        <f>$H360*M360</f>
      </c>
      <c r="AM360" s="3"/>
      <c r="AN360" s="5"/>
      <c r="AO360" s="5"/>
      <c r="AP360" s="5"/>
      <c r="AQ360" s="3"/>
    </row>
    <row x14ac:dyDescent="0.25" r="361" customHeight="1" ht="12.75">
      <c r="A361" s="5" t="s">
        <v>581</v>
      </c>
      <c r="B361" s="3" t="s">
        <v>1100</v>
      </c>
      <c r="C361" s="3" t="s">
        <v>866</v>
      </c>
      <c r="D361" s="3" t="s">
        <v>989</v>
      </c>
      <c r="E361" s="3" t="s">
        <v>855</v>
      </c>
      <c r="F361" s="3" t="s">
        <v>1476</v>
      </c>
      <c r="G361" s="3" t="s">
        <v>1458</v>
      </c>
      <c r="H361" s="6">
        <f>2.075+5.77+3.677</f>
      </c>
      <c r="I361" s="6">
        <f>(1.68*2.075+1.69*5.77+1.51*3.677)/$H361</f>
      </c>
      <c r="J361" s="6">
        <f>(3.14*2.075+3.3*5.77+2.35*3.677)/$H361</f>
      </c>
      <c r="K361" s="5"/>
      <c r="L361" s="6"/>
      <c r="M361" s="6"/>
      <c r="N361" s="7"/>
      <c r="O361" s="23"/>
      <c r="P361" s="6"/>
      <c r="Q361" s="6"/>
      <c r="R361" s="31"/>
      <c r="S361" s="6"/>
      <c r="T361" s="31"/>
      <c r="U361" s="6"/>
      <c r="V361" s="23"/>
      <c r="W361" s="6"/>
      <c r="X361" s="6"/>
      <c r="Y361" s="5"/>
      <c r="Z361" s="3"/>
      <c r="AA361" s="6">
        <f>H361*I361/100</f>
      </c>
      <c r="AB361" s="6">
        <f>H361*J361/100</f>
      </c>
      <c r="AC361" s="7">
        <f>H361*K361</f>
      </c>
      <c r="AD361" s="7">
        <f>H361*M361</f>
      </c>
      <c r="AE361" s="6">
        <f>H361*L361/100</f>
      </c>
      <c r="AF361" s="6">
        <f>AA361+AB361+AE361</f>
      </c>
      <c r="AG361" s="6">
        <f>I361+J361+L361</f>
      </c>
      <c r="AH361" s="53">
        <f>$H361*I361</f>
      </c>
      <c r="AI361" s="53">
        <f>$H361*J361</f>
      </c>
      <c r="AJ361" s="53">
        <f>$H361*K361</f>
      </c>
      <c r="AK361" s="53">
        <f>$H361*L361</f>
      </c>
      <c r="AL361" s="53">
        <f>$H361*M361</f>
      </c>
      <c r="AM361" s="3"/>
      <c r="AN361" s="5"/>
      <c r="AO361" s="5"/>
      <c r="AP361" s="5"/>
      <c r="AQ361" s="3"/>
    </row>
    <row x14ac:dyDescent="0.25" r="362" customHeight="1" ht="12.75">
      <c r="A362" s="5" t="s">
        <v>751</v>
      </c>
      <c r="B362" s="3" t="s">
        <v>1100</v>
      </c>
      <c r="C362" s="3" t="s">
        <v>866</v>
      </c>
      <c r="D362" s="3" t="s">
        <v>989</v>
      </c>
      <c r="E362" s="3" t="s">
        <v>855</v>
      </c>
      <c r="F362" s="3" t="s">
        <v>1476</v>
      </c>
      <c r="G362" s="3" t="s">
        <v>1458</v>
      </c>
      <c r="H362" s="6">
        <f>1.55+2.81+0.96</f>
      </c>
      <c r="I362" s="6">
        <f>(1.45*1.55+1.44*2.81+1.59*0.96)/$H362</f>
      </c>
      <c r="J362" s="6">
        <f>(1.97*1.55+1.82*2.81+1.73*0.96)/$H362</f>
      </c>
      <c r="K362" s="5"/>
      <c r="L362" s="6"/>
      <c r="M362" s="6"/>
      <c r="N362" s="7"/>
      <c r="O362" s="23"/>
      <c r="P362" s="6"/>
      <c r="Q362" s="6"/>
      <c r="R362" s="31"/>
      <c r="S362" s="6"/>
      <c r="T362" s="31"/>
      <c r="U362" s="6"/>
      <c r="V362" s="23"/>
      <c r="W362" s="6"/>
      <c r="X362" s="6"/>
      <c r="Y362" s="5"/>
      <c r="Z362" s="3"/>
      <c r="AA362" s="6">
        <f>H362*I362/100</f>
      </c>
      <c r="AB362" s="6">
        <f>H362*J362/100</f>
      </c>
      <c r="AC362" s="7">
        <f>H362*K362</f>
      </c>
      <c r="AD362" s="7">
        <f>H362*M362</f>
      </c>
      <c r="AE362" s="6">
        <f>H362*L362/100</f>
      </c>
      <c r="AF362" s="6">
        <f>AA362+AB362+AE362</f>
      </c>
      <c r="AG362" s="6">
        <f>I362+J362+L362</f>
      </c>
      <c r="AH362" s="53">
        <f>$H362*I362</f>
      </c>
      <c r="AI362" s="53">
        <f>$H362*J362</f>
      </c>
      <c r="AJ362" s="53">
        <f>$H362*K362</f>
      </c>
      <c r="AK362" s="53">
        <f>$H362*L362</f>
      </c>
      <c r="AL362" s="53">
        <f>$H362*M362</f>
      </c>
      <c r="AM362" s="3"/>
      <c r="AN362" s="5"/>
      <c r="AO362" s="5"/>
      <c r="AP362" s="5"/>
      <c r="AQ362" s="3"/>
    </row>
    <row x14ac:dyDescent="0.25" r="363" customHeight="1" ht="12.75">
      <c r="A363" s="5" t="s">
        <v>653</v>
      </c>
      <c r="B363" s="3" t="s">
        <v>1100</v>
      </c>
      <c r="C363" s="3" t="s">
        <v>870</v>
      </c>
      <c r="D363" s="3"/>
      <c r="E363" s="3" t="s">
        <v>855</v>
      </c>
      <c r="F363" s="3" t="s">
        <v>1387</v>
      </c>
      <c r="G363" s="3" t="s">
        <v>1477</v>
      </c>
      <c r="H363" s="6">
        <v>5.447</v>
      </c>
      <c r="I363" s="6"/>
      <c r="J363" s="6">
        <v>4.6</v>
      </c>
      <c r="K363" s="7">
        <v>34</v>
      </c>
      <c r="L363" s="6">
        <v>1.2</v>
      </c>
      <c r="M363" s="6">
        <v>0.2</v>
      </c>
      <c r="N363" s="7"/>
      <c r="O363" s="23"/>
      <c r="P363" s="6"/>
      <c r="Q363" s="6"/>
      <c r="R363" s="31"/>
      <c r="S363" s="6"/>
      <c r="T363" s="31"/>
      <c r="U363" s="6"/>
      <c r="V363" s="23"/>
      <c r="W363" s="6"/>
      <c r="X363" s="6"/>
      <c r="Y363" s="5"/>
      <c r="Z363" s="3"/>
      <c r="AA363" s="6">
        <f>H363*I363/100</f>
      </c>
      <c r="AB363" s="6">
        <f>H363*J363/100</f>
      </c>
      <c r="AC363" s="7">
        <f>H363*K363</f>
      </c>
      <c r="AD363" s="7">
        <f>H363*M363</f>
      </c>
      <c r="AE363" s="6">
        <f>H363*L363/100</f>
      </c>
      <c r="AF363" s="6">
        <f>AA363+AB363+AE363</f>
      </c>
      <c r="AG363" s="6">
        <f>I363+J363+L363</f>
      </c>
      <c r="AH363" s="53">
        <f>$H363*I363</f>
      </c>
      <c r="AI363" s="53">
        <f>$H363*J363</f>
      </c>
      <c r="AJ363" s="53">
        <f>$H363*K363</f>
      </c>
      <c r="AK363" s="53">
        <f>$H363*L363</f>
      </c>
      <c r="AL363" s="53">
        <f>$H363*M363</f>
      </c>
      <c r="AM363" s="3"/>
      <c r="AN363" s="5"/>
      <c r="AO363" s="5"/>
      <c r="AP363" s="5"/>
      <c r="AQ363" s="3"/>
    </row>
    <row x14ac:dyDescent="0.25" r="364" customHeight="1" ht="12.75">
      <c r="A364" s="5" t="s">
        <v>714</v>
      </c>
      <c r="B364" s="3" t="s">
        <v>1100</v>
      </c>
      <c r="C364" s="3" t="s">
        <v>856</v>
      </c>
      <c r="D364" s="3"/>
      <c r="E364" s="38" t="s">
        <v>859</v>
      </c>
      <c r="F364" s="3" t="s">
        <v>1171</v>
      </c>
      <c r="G364" s="3" t="s">
        <v>1342</v>
      </c>
      <c r="H364" s="23">
        <v>1.506239</v>
      </c>
      <c r="I364" s="6">
        <v>0.15</v>
      </c>
      <c r="J364" s="6">
        <v>3.57</v>
      </c>
      <c r="K364" s="6">
        <v>41.13</v>
      </c>
      <c r="L364" s="6">
        <v>0.63</v>
      </c>
      <c r="M364" s="6">
        <v>0.82</v>
      </c>
      <c r="N364" s="7"/>
      <c r="O364" s="23"/>
      <c r="P364" s="6"/>
      <c r="Q364" s="6"/>
      <c r="R364" s="31"/>
      <c r="S364" s="6"/>
      <c r="T364" s="31"/>
      <c r="U364" s="6"/>
      <c r="V364" s="23"/>
      <c r="W364" s="6"/>
      <c r="X364" s="6"/>
      <c r="Y364" s="5"/>
      <c r="Z364" s="3"/>
      <c r="AA364" s="6">
        <f>H364*I364/100</f>
      </c>
      <c r="AB364" s="6">
        <f>H364*J364/100</f>
      </c>
      <c r="AC364" s="7">
        <f>H364*K364</f>
      </c>
      <c r="AD364" s="7">
        <f>H364*M364</f>
      </c>
      <c r="AE364" s="6">
        <f>H364*L364/100</f>
      </c>
      <c r="AF364" s="6">
        <f>AA364+AB364+AE364</f>
      </c>
      <c r="AG364" s="6">
        <f>I364+J364+L364</f>
      </c>
      <c r="AH364" s="53">
        <f>$H364*I364</f>
      </c>
      <c r="AI364" s="53">
        <f>$H364*J364</f>
      </c>
      <c r="AJ364" s="53">
        <f>$H364*K364</f>
      </c>
      <c r="AK364" s="53">
        <f>$H364*L364</f>
      </c>
      <c r="AL364" s="53">
        <f>$H364*M364</f>
      </c>
      <c r="AM364" s="3"/>
      <c r="AN364" s="5"/>
      <c r="AO364" s="5"/>
      <c r="AP364" s="5"/>
      <c r="AQ364" s="3"/>
    </row>
    <row x14ac:dyDescent="0.25" r="365" customHeight="1" ht="12.75">
      <c r="A365" s="5" t="s">
        <v>592</v>
      </c>
      <c r="B365" s="3" t="s">
        <v>1100</v>
      </c>
      <c r="C365" s="3" t="s">
        <v>870</v>
      </c>
      <c r="D365" s="3"/>
      <c r="E365" s="3" t="s">
        <v>855</v>
      </c>
      <c r="F365" s="3" t="s">
        <v>1478</v>
      </c>
      <c r="G365" s="3" t="s">
        <v>1349</v>
      </c>
      <c r="H365" s="23">
        <f>6.5528+15.86</f>
      </c>
      <c r="I365" s="6"/>
      <c r="J365" s="6">
        <f>(1.22*6.5528+0.84*15.86)/$H365</f>
      </c>
      <c r="K365" s="6">
        <f>(7.4*6.5528+5.77*15.86)/$H365</f>
      </c>
      <c r="L365" s="6">
        <f>(0.85*6.5528+0.68*15.86)/$H365</f>
      </c>
      <c r="M365" s="6">
        <f>(0.37*6.5528+0.28*15.86)/$H365</f>
      </c>
      <c r="N365" s="7"/>
      <c r="O365" s="23"/>
      <c r="P365" s="6"/>
      <c r="Q365" s="6"/>
      <c r="R365" s="31"/>
      <c r="S365" s="6"/>
      <c r="T365" s="31"/>
      <c r="U365" s="6"/>
      <c r="V365" s="23"/>
      <c r="W365" s="6"/>
      <c r="X365" s="6"/>
      <c r="Y365" s="5"/>
      <c r="Z365" s="3"/>
      <c r="AA365" s="6">
        <f>H365*I365/100</f>
      </c>
      <c r="AB365" s="6">
        <f>H365*J365/100</f>
      </c>
      <c r="AC365" s="7">
        <f>H365*K365</f>
      </c>
      <c r="AD365" s="7">
        <f>H365*M365</f>
      </c>
      <c r="AE365" s="6">
        <f>H365*L365/100</f>
      </c>
      <c r="AF365" s="6">
        <f>AA365+AB365+AE365</f>
      </c>
      <c r="AG365" s="6">
        <f>I365+J365+L365</f>
      </c>
      <c r="AH365" s="53">
        <f>$H365*I365</f>
      </c>
      <c r="AI365" s="53">
        <f>$H365*J365</f>
      </c>
      <c r="AJ365" s="53">
        <f>$H365*K365</f>
      </c>
      <c r="AK365" s="53">
        <f>$H365*L365</f>
      </c>
      <c r="AL365" s="53">
        <f>$H365*M365</f>
      </c>
      <c r="AM365" s="3"/>
      <c r="AN365" s="5"/>
      <c r="AO365" s="5"/>
      <c r="AP365" s="5"/>
      <c r="AQ365" s="3"/>
    </row>
    <row x14ac:dyDescent="0.25" r="366" customHeight="1" ht="12.75">
      <c r="A366" s="5" t="s">
        <v>600</v>
      </c>
      <c r="B366" s="3" t="s">
        <v>1100</v>
      </c>
      <c r="C366" s="3" t="s">
        <v>856</v>
      </c>
      <c r="D366" s="3"/>
      <c r="E366" s="3" t="s">
        <v>855</v>
      </c>
      <c r="F366" s="3" t="s">
        <v>1479</v>
      </c>
      <c r="G366" s="3" t="s">
        <v>1480</v>
      </c>
      <c r="H366" s="23">
        <f>0.702+0.967</f>
      </c>
      <c r="I366" s="6">
        <f>(0.33*0.702+0.25*0.967)/$H366</f>
      </c>
      <c r="J366" s="6">
        <f>(0.88*0.702+0.64*0.967)/$H366</f>
      </c>
      <c r="K366" s="7">
        <f>(17.89*0.702+18.98*0.967)/$H366</f>
      </c>
      <c r="L366" s="6">
        <f>(0.07*0.702+0.4*0.967)/$H366</f>
      </c>
      <c r="M366" s="6">
        <f>(4.46*0.702+4.39*0.967)/$H366</f>
      </c>
      <c r="N366" s="7"/>
      <c r="O366" s="23"/>
      <c r="P366" s="6"/>
      <c r="Q366" s="6"/>
      <c r="R366" s="31"/>
      <c r="S366" s="6"/>
      <c r="T366" s="31"/>
      <c r="U366" s="6"/>
      <c r="V366" s="23"/>
      <c r="W366" s="6"/>
      <c r="X366" s="6"/>
      <c r="Y366" s="5"/>
      <c r="Z366" s="3"/>
      <c r="AA366" s="6">
        <f>H366*I366/100</f>
      </c>
      <c r="AB366" s="6">
        <f>H366*J366/100</f>
      </c>
      <c r="AC366" s="7">
        <f>H366*K366</f>
      </c>
      <c r="AD366" s="7">
        <f>H366*M366</f>
      </c>
      <c r="AE366" s="6">
        <f>H366*L366/100</f>
      </c>
      <c r="AF366" s="6">
        <f>AA366+AB366+AE366</f>
      </c>
      <c r="AG366" s="6">
        <f>I366+J366+L366</f>
      </c>
      <c r="AH366" s="53">
        <f>$H366*I366</f>
      </c>
      <c r="AI366" s="53">
        <f>$H366*J366</f>
      </c>
      <c r="AJ366" s="53">
        <f>$H366*K366</f>
      </c>
      <c r="AK366" s="53">
        <f>$H366*L366</f>
      </c>
      <c r="AL366" s="53">
        <f>$H366*M366</f>
      </c>
      <c r="AM366" s="3"/>
      <c r="AN366" s="5"/>
      <c r="AO366" s="5"/>
      <c r="AP366" s="5"/>
      <c r="AQ366" s="3"/>
    </row>
    <row x14ac:dyDescent="0.25" r="367" customHeight="1" ht="12.75">
      <c r="A367" s="5" t="s">
        <v>92</v>
      </c>
      <c r="B367" s="3" t="s">
        <v>1100</v>
      </c>
      <c r="C367" s="3" t="s">
        <v>856</v>
      </c>
      <c r="D367" s="3" t="s">
        <v>928</v>
      </c>
      <c r="E367" s="3" t="s">
        <v>855</v>
      </c>
      <c r="F367" s="3" t="s">
        <v>1481</v>
      </c>
      <c r="G367" s="3" t="s">
        <v>1482</v>
      </c>
      <c r="H367" s="23">
        <v>0.0695</v>
      </c>
      <c r="I367" s="6">
        <v>1.89</v>
      </c>
      <c r="J367" s="6">
        <v>9.12</v>
      </c>
      <c r="K367" s="7">
        <v>555.66</v>
      </c>
      <c r="L367" s="6"/>
      <c r="M367" s="6"/>
      <c r="N367" s="7"/>
      <c r="O367" s="23"/>
      <c r="P367" s="6"/>
      <c r="Q367" s="6"/>
      <c r="R367" s="31"/>
      <c r="S367" s="6"/>
      <c r="T367" s="31"/>
      <c r="U367" s="6"/>
      <c r="V367" s="23"/>
      <c r="W367" s="6"/>
      <c r="X367" s="6"/>
      <c r="Y367" s="5"/>
      <c r="Z367" s="3"/>
      <c r="AA367" s="6">
        <f>H367*I367/100</f>
      </c>
      <c r="AB367" s="6">
        <f>H367*J367/100</f>
      </c>
      <c r="AC367" s="7">
        <f>H367*K367</f>
      </c>
      <c r="AD367" s="7">
        <f>H367*M367</f>
      </c>
      <c r="AE367" s="6">
        <f>H367*L367/100</f>
      </c>
      <c r="AF367" s="6">
        <f>AA367+AB367+AE367</f>
      </c>
      <c r="AG367" s="6">
        <f>I367+J367+L367</f>
      </c>
      <c r="AH367" s="53">
        <f>$H367*I367</f>
      </c>
      <c r="AI367" s="53">
        <f>$H367*J367</f>
      </c>
      <c r="AJ367" s="53">
        <f>$H367*K367</f>
      </c>
      <c r="AK367" s="53">
        <f>$H367*L367</f>
      </c>
      <c r="AL367" s="53">
        <f>$H367*M367</f>
      </c>
      <c r="AM367" s="3"/>
      <c r="AN367" s="5"/>
      <c r="AO367" s="5"/>
      <c r="AP367" s="5"/>
      <c r="AQ367" s="3"/>
    </row>
    <row x14ac:dyDescent="0.25" r="368" customHeight="1" ht="12.75">
      <c r="A368" s="5" t="s">
        <v>835</v>
      </c>
      <c r="B368" s="3" t="s">
        <v>1100</v>
      </c>
      <c r="C368" s="3" t="s">
        <v>856</v>
      </c>
      <c r="D368" s="3"/>
      <c r="E368" s="38" t="s">
        <v>859</v>
      </c>
      <c r="F368" s="3" t="s">
        <v>1171</v>
      </c>
      <c r="G368" s="3" t="s">
        <v>1342</v>
      </c>
      <c r="H368" s="23">
        <f>0.029753+0.011974+0.008543+0.005533+0.006186+0.006147</f>
      </c>
      <c r="I368" s="6">
        <f>(2.09*0.029753+1.8*0.011974+1.05*0.008543+1.6*0.005533+1.16*0.006186+1.2*0.006147)/$H368</f>
      </c>
      <c r="J368" s="6">
        <f>(0.54*0.029753+1*0.011974+3.67*0.008543+0.1*0.005533+0.09*0.006186+0.3*0.006147)/$H368</f>
      </c>
      <c r="K368" s="6">
        <f>(7.54*0.029753+9.5*0.011974+8.56*0.008543+8.4*0.005533+4.13*0.006186+2.9*0.006147)/$H368</f>
      </c>
      <c r="L368" s="6"/>
      <c r="M368" s="6"/>
      <c r="N368" s="7"/>
      <c r="O368" s="23"/>
      <c r="P368" s="6"/>
      <c r="Q368" s="6"/>
      <c r="R368" s="31"/>
      <c r="S368" s="6"/>
      <c r="T368" s="31"/>
      <c r="U368" s="6"/>
      <c r="V368" s="23"/>
      <c r="W368" s="6"/>
      <c r="X368" s="6"/>
      <c r="Y368" s="5"/>
      <c r="Z368" s="3"/>
      <c r="AA368" s="6">
        <f>H368*I368/100</f>
      </c>
      <c r="AB368" s="6">
        <f>H368*J368/100</f>
      </c>
      <c r="AC368" s="7">
        <f>H368*K368</f>
      </c>
      <c r="AD368" s="7">
        <f>H368*M368</f>
      </c>
      <c r="AE368" s="6">
        <f>H368*L368/100</f>
      </c>
      <c r="AF368" s="6">
        <f>AA368+AB368+AE368</f>
      </c>
      <c r="AG368" s="6">
        <f>I368+J368+L368</f>
      </c>
      <c r="AH368" s="53">
        <f>$H368*I368</f>
      </c>
      <c r="AI368" s="53">
        <f>$H368*J368</f>
      </c>
      <c r="AJ368" s="53">
        <f>$H368*K368</f>
      </c>
      <c r="AK368" s="53">
        <f>$H368*L368</f>
      </c>
      <c r="AL368" s="53">
        <f>$H368*M368</f>
      </c>
      <c r="AM368" s="3"/>
      <c r="AN368" s="5"/>
      <c r="AO368" s="5"/>
      <c r="AP368" s="5"/>
      <c r="AQ368" s="3"/>
    </row>
    <row x14ac:dyDescent="0.25" r="369" customHeight="1" ht="12.75">
      <c r="A369" s="5" t="s">
        <v>241</v>
      </c>
      <c r="B369" s="3" t="s">
        <v>1100</v>
      </c>
      <c r="C369" s="3" t="s">
        <v>856</v>
      </c>
      <c r="D369" s="3"/>
      <c r="E369" s="38" t="s">
        <v>859</v>
      </c>
      <c r="F369" s="3" t="s">
        <v>1483</v>
      </c>
      <c r="G369" s="3" t="s">
        <v>1484</v>
      </c>
      <c r="H369" s="23">
        <f>(0.708134+0.220266)*0.9072</f>
      </c>
      <c r="I369" s="6">
        <f>(0.82*0.708134+0.89*0.220266)/(0.708134+0.220266)</f>
      </c>
      <c r="J369" s="6">
        <f>(5.43*0.708134+5.67*0.220266)/(0.708134+0.220266)</f>
      </c>
      <c r="K369" s="7">
        <f>((4.78*0.708134+8.15*0.220266)/(0.708134+0.220266))*31.1/0.9072</f>
      </c>
      <c r="L369" s="6">
        <f>(0.19*0.708134+0.54*0.220266)/(0.708134+0.220266)</f>
      </c>
      <c r="M369" s="6">
        <f>((0.086*0.708134+0.152*0.220266)/(0.708134+0.220266))*31.1/0.9072</f>
      </c>
      <c r="N369" s="7"/>
      <c r="O369" s="23"/>
      <c r="P369" s="6"/>
      <c r="Q369" s="6"/>
      <c r="R369" s="31"/>
      <c r="S369" s="6"/>
      <c r="T369" s="31"/>
      <c r="U369" s="6"/>
      <c r="V369" s="23"/>
      <c r="W369" s="6"/>
      <c r="X369" s="6"/>
      <c r="Y369" s="5"/>
      <c r="Z369" s="3"/>
      <c r="AA369" s="6">
        <f>H369*I369/100</f>
      </c>
      <c r="AB369" s="6">
        <f>H369*J369/100</f>
      </c>
      <c r="AC369" s="7">
        <f>H369*K369</f>
      </c>
      <c r="AD369" s="7">
        <f>H369*M369</f>
      </c>
      <c r="AE369" s="6">
        <f>H369*L369/100</f>
      </c>
      <c r="AF369" s="6">
        <f>AA369+AB369+AE369</f>
      </c>
      <c r="AG369" s="6">
        <f>I369+J369+L369</f>
      </c>
      <c r="AH369" s="53">
        <f>$H369*I369</f>
      </c>
      <c r="AI369" s="53">
        <f>$H369*J369</f>
      </c>
      <c r="AJ369" s="53">
        <f>$H369*K369</f>
      </c>
      <c r="AK369" s="53">
        <f>$H369*L369</f>
      </c>
      <c r="AL369" s="53">
        <f>$H369*M369</f>
      </c>
      <c r="AM369" s="3"/>
      <c r="AN369" s="5"/>
      <c r="AO369" s="5"/>
      <c r="AP369" s="5"/>
      <c r="AQ369" s="3"/>
    </row>
    <row x14ac:dyDescent="0.25" r="370" customHeight="1" ht="12.75">
      <c r="A370" s="5" t="s">
        <v>138</v>
      </c>
      <c r="B370" s="3" t="s">
        <v>1100</v>
      </c>
      <c r="C370" s="3" t="s">
        <v>856</v>
      </c>
      <c r="D370" s="3"/>
      <c r="E370" s="38" t="s">
        <v>859</v>
      </c>
      <c r="F370" s="3" t="s">
        <v>1483</v>
      </c>
      <c r="G370" s="3" t="s">
        <v>1484</v>
      </c>
      <c r="H370" s="23">
        <v>0.5776</v>
      </c>
      <c r="I370" s="6">
        <v>1.49</v>
      </c>
      <c r="J370" s="6">
        <v>6.53</v>
      </c>
      <c r="K370" s="5">
        <v>257</v>
      </c>
      <c r="L370" s="6">
        <v>0.49</v>
      </c>
      <c r="M370" s="6">
        <v>3.7</v>
      </c>
      <c r="N370" s="7"/>
      <c r="O370" s="23"/>
      <c r="P370" s="6"/>
      <c r="Q370" s="6"/>
      <c r="R370" s="31"/>
      <c r="S370" s="6"/>
      <c r="T370" s="31"/>
      <c r="U370" s="6"/>
      <c r="V370" s="23"/>
      <c r="W370" s="6"/>
      <c r="X370" s="6"/>
      <c r="Y370" s="5"/>
      <c r="Z370" s="3"/>
      <c r="AA370" s="6">
        <f>H370*I370/100</f>
      </c>
      <c r="AB370" s="6">
        <f>H370*J370/100</f>
      </c>
      <c r="AC370" s="7">
        <f>H370*K370</f>
      </c>
      <c r="AD370" s="7">
        <f>H370*M370</f>
      </c>
      <c r="AE370" s="6">
        <f>H370*L370/100</f>
      </c>
      <c r="AF370" s="6">
        <f>AA370+AB370+AE370</f>
      </c>
      <c r="AG370" s="6">
        <f>I370+J370+L370</f>
      </c>
      <c r="AH370" s="53">
        <f>$H370*I370</f>
      </c>
      <c r="AI370" s="53">
        <f>$H370*J370</f>
      </c>
      <c r="AJ370" s="53">
        <f>$H370*K370</f>
      </c>
      <c r="AK370" s="53">
        <f>$H370*L370</f>
      </c>
      <c r="AL370" s="53">
        <f>$H370*M370</f>
      </c>
      <c r="AM370" s="3"/>
      <c r="AN370" s="5"/>
      <c r="AO370" s="5"/>
      <c r="AP370" s="5"/>
      <c r="AQ370" s="3"/>
    </row>
    <row x14ac:dyDescent="0.25" r="371" customHeight="1" ht="12.75">
      <c r="A371" s="5" t="s">
        <v>115</v>
      </c>
      <c r="B371" s="3" t="s">
        <v>1100</v>
      </c>
      <c r="C371" s="3" t="s">
        <v>866</v>
      </c>
      <c r="D371" s="3" t="s">
        <v>988</v>
      </c>
      <c r="E371" s="3" t="s">
        <v>855</v>
      </c>
      <c r="F371" s="3" t="s">
        <v>1474</v>
      </c>
      <c r="G371" s="3" t="s">
        <v>1485</v>
      </c>
      <c r="H371" s="6">
        <v>2.57</v>
      </c>
      <c r="I371" s="6">
        <v>6.4</v>
      </c>
      <c r="J371" s="6">
        <v>8.8</v>
      </c>
      <c r="K371" s="5">
        <v>325</v>
      </c>
      <c r="L371" s="6"/>
      <c r="M371" s="6">
        <v>0.63</v>
      </c>
      <c r="N371" s="7"/>
      <c r="O371" s="23"/>
      <c r="P371" s="6"/>
      <c r="Q371" s="6"/>
      <c r="R371" s="31"/>
      <c r="S371" s="6"/>
      <c r="T371" s="31"/>
      <c r="U371" s="6"/>
      <c r="V371" s="23"/>
      <c r="W371" s="6"/>
      <c r="X371" s="6"/>
      <c r="Y371" s="5"/>
      <c r="Z371" s="3"/>
      <c r="AA371" s="6">
        <f>H371*I371/100</f>
      </c>
      <c r="AB371" s="6">
        <f>H371*J371/100</f>
      </c>
      <c r="AC371" s="7">
        <f>H371*K371</f>
      </c>
      <c r="AD371" s="7">
        <f>H371*M371</f>
      </c>
      <c r="AE371" s="6">
        <f>H371*L371/100</f>
      </c>
      <c r="AF371" s="6">
        <f>AA371+AB371+AE371</f>
      </c>
      <c r="AG371" s="6">
        <f>I371+J371+L371</f>
      </c>
      <c r="AH371" s="53">
        <f>$H371*I371</f>
      </c>
      <c r="AI371" s="53">
        <f>$H371*J371</f>
      </c>
      <c r="AJ371" s="53">
        <f>$H371*K371</f>
      </c>
      <c r="AK371" s="53">
        <f>$H371*L371</f>
      </c>
      <c r="AL371" s="53">
        <f>$H371*M371</f>
      </c>
      <c r="AM371" s="3"/>
      <c r="AN371" s="5"/>
      <c r="AO371" s="5"/>
      <c r="AP371" s="5"/>
      <c r="AQ371" s="3"/>
    </row>
    <row x14ac:dyDescent="0.25" r="372" customHeight="1" ht="12.75">
      <c r="A372" s="5" t="s">
        <v>754</v>
      </c>
      <c r="B372" s="3" t="s">
        <v>1100</v>
      </c>
      <c r="C372" s="3" t="s">
        <v>866</v>
      </c>
      <c r="D372" s="3" t="s">
        <v>988</v>
      </c>
      <c r="E372" s="38" t="s">
        <v>859</v>
      </c>
      <c r="F372" s="3" t="s">
        <v>1394</v>
      </c>
      <c r="G372" s="3" t="s">
        <v>1486</v>
      </c>
      <c r="H372" s="6">
        <v>0.05</v>
      </c>
      <c r="I372" s="6"/>
      <c r="J372" s="6">
        <v>4.5</v>
      </c>
      <c r="K372" s="5"/>
      <c r="L372" s="6"/>
      <c r="M372" s="6"/>
      <c r="N372" s="7"/>
      <c r="O372" s="23"/>
      <c r="P372" s="6"/>
      <c r="Q372" s="6"/>
      <c r="R372" s="31"/>
      <c r="S372" s="6"/>
      <c r="T372" s="31"/>
      <c r="U372" s="6"/>
      <c r="V372" s="23"/>
      <c r="W372" s="6"/>
      <c r="X372" s="6"/>
      <c r="Y372" s="5"/>
      <c r="Z372" s="3"/>
      <c r="AA372" s="6">
        <f>H372*I372/100</f>
      </c>
      <c r="AB372" s="6">
        <f>H372*J372/100</f>
      </c>
      <c r="AC372" s="7">
        <f>H372*K372</f>
      </c>
      <c r="AD372" s="7">
        <f>H372*M372</f>
      </c>
      <c r="AE372" s="6">
        <f>H372*L372/100</f>
      </c>
      <c r="AF372" s="6">
        <f>AA372+AB372+AE372</f>
      </c>
      <c r="AG372" s="6">
        <f>I372+J372+L372</f>
      </c>
      <c r="AH372" s="53">
        <f>$H372*I372</f>
      </c>
      <c r="AI372" s="53">
        <f>$H372*J372</f>
      </c>
      <c r="AJ372" s="53">
        <f>$H372*K372</f>
      </c>
      <c r="AK372" s="53">
        <f>$H372*L372</f>
      </c>
      <c r="AL372" s="53">
        <f>$H372*M372</f>
      </c>
      <c r="AM372" s="3"/>
      <c r="AN372" s="5"/>
      <c r="AO372" s="5"/>
      <c r="AP372" s="5"/>
      <c r="AQ372" s="3"/>
    </row>
    <row x14ac:dyDescent="0.25" r="373" customHeight="1" ht="12.75">
      <c r="A373" s="5" t="s">
        <v>716</v>
      </c>
      <c r="B373" s="3" t="s">
        <v>1100</v>
      </c>
      <c r="C373" s="3" t="s">
        <v>870</v>
      </c>
      <c r="D373" s="3"/>
      <c r="E373" s="38" t="s">
        <v>859</v>
      </c>
      <c r="F373" s="3" t="s">
        <v>1356</v>
      </c>
      <c r="G373" s="3" t="s">
        <v>1487</v>
      </c>
      <c r="H373" s="5">
        <v>1</v>
      </c>
      <c r="I373" s="6"/>
      <c r="J373" s="5">
        <v>2</v>
      </c>
      <c r="K373" s="5"/>
      <c r="L373" s="5">
        <v>2</v>
      </c>
      <c r="M373" s="6"/>
      <c r="N373" s="7"/>
      <c r="O373" s="23"/>
      <c r="P373" s="6"/>
      <c r="Q373" s="6"/>
      <c r="R373" s="31"/>
      <c r="S373" s="6"/>
      <c r="T373" s="31"/>
      <c r="U373" s="6"/>
      <c r="V373" s="23"/>
      <c r="W373" s="6"/>
      <c r="X373" s="6"/>
      <c r="Y373" s="5"/>
      <c r="Z373" s="3"/>
      <c r="AA373" s="6">
        <f>H373*I373/100</f>
      </c>
      <c r="AB373" s="6">
        <f>H373*J373/100</f>
      </c>
      <c r="AC373" s="7">
        <f>H373*K373</f>
      </c>
      <c r="AD373" s="7">
        <f>H373*M373</f>
      </c>
      <c r="AE373" s="6">
        <f>H373*L373/100</f>
      </c>
      <c r="AF373" s="6">
        <f>AA373+AB373+AE373</f>
      </c>
      <c r="AG373" s="6">
        <f>I373+J373+L373</f>
      </c>
      <c r="AH373" s="53">
        <f>$H373*I373</f>
      </c>
      <c r="AI373" s="53">
        <f>$H373*J373</f>
      </c>
      <c r="AJ373" s="53">
        <f>$H373*K373</f>
      </c>
      <c r="AK373" s="53">
        <f>$H373*L373</f>
      </c>
      <c r="AL373" s="53">
        <f>$H373*M373</f>
      </c>
      <c r="AM373" s="3"/>
      <c r="AN373" s="5"/>
      <c r="AO373" s="5"/>
      <c r="AP373" s="5"/>
      <c r="AQ373" s="3"/>
    </row>
    <row x14ac:dyDescent="0.25" r="374" customHeight="1" ht="12.75">
      <c r="A374" s="5" t="s">
        <v>103</v>
      </c>
      <c r="B374" s="3" t="s">
        <v>1100</v>
      </c>
      <c r="C374" s="3" t="s">
        <v>856</v>
      </c>
      <c r="D374" s="3"/>
      <c r="E374" s="38" t="s">
        <v>859</v>
      </c>
      <c r="F374" s="3" t="s">
        <v>1171</v>
      </c>
      <c r="G374" s="3" t="s">
        <v>1342</v>
      </c>
      <c r="H374" s="23">
        <f>0.0544+0.00808+0.019546+0.011398+0.027215</f>
      </c>
      <c r="I374" s="6">
        <f>(3.4*0.0544+18.8*0.00808+0.06*0.019546+7.75*0.011398+0*0.027215)/$H374</f>
      </c>
      <c r="J374" s="6">
        <f>(4.7*0.0544+42.6*0.00808+41.21*0.019546+2.84*0.011398+7.53*0.027215)/$H374</f>
      </c>
      <c r="K374" s="31">
        <f>(290*0.0544+1131*0.00808+226*0.019546+778.1*0.011398+41.13*0.027215)/$H374</f>
      </c>
      <c r="L374" s="6"/>
      <c r="M374" s="6"/>
      <c r="N374" s="7"/>
      <c r="O374" s="23"/>
      <c r="P374" s="6"/>
      <c r="Q374" s="6"/>
      <c r="R374" s="31"/>
      <c r="S374" s="6"/>
      <c r="T374" s="31"/>
      <c r="U374" s="6"/>
      <c r="V374" s="23"/>
      <c r="W374" s="6"/>
      <c r="X374" s="6"/>
      <c r="Y374" s="5"/>
      <c r="Z374" s="3"/>
      <c r="AA374" s="6">
        <f>H374*I374/100</f>
      </c>
      <c r="AB374" s="6">
        <f>H374*J374/100</f>
      </c>
      <c r="AC374" s="7">
        <f>H374*K374</f>
      </c>
      <c r="AD374" s="7">
        <f>H374*M374</f>
      </c>
      <c r="AE374" s="6">
        <f>H374*L374/100</f>
      </c>
      <c r="AF374" s="6">
        <f>AA374+AB374+AE374</f>
      </c>
      <c r="AG374" s="6">
        <f>I374+J374+L374</f>
      </c>
      <c r="AH374" s="53">
        <f>$H374*I374</f>
      </c>
      <c r="AI374" s="53">
        <f>$H374*J374</f>
      </c>
      <c r="AJ374" s="53">
        <f>$H374*K374</f>
      </c>
      <c r="AK374" s="53">
        <f>$H374*L374</f>
      </c>
      <c r="AL374" s="53">
        <f>$H374*M374</f>
      </c>
      <c r="AM374" s="3"/>
      <c r="AN374" s="5"/>
      <c r="AO374" s="5"/>
      <c r="AP374" s="5"/>
      <c r="AQ374" s="3"/>
    </row>
    <row x14ac:dyDescent="0.25" r="375" customHeight="1" ht="12.75">
      <c r="A375" s="5" t="s">
        <v>84</v>
      </c>
      <c r="B375" s="3" t="s">
        <v>1100</v>
      </c>
      <c r="C375" s="3" t="s">
        <v>869</v>
      </c>
      <c r="D375" s="3"/>
      <c r="E375" s="38" t="s">
        <v>859</v>
      </c>
      <c r="F375" s="3" t="s">
        <v>1171</v>
      </c>
      <c r="G375" s="3" t="s">
        <v>1342</v>
      </c>
      <c r="H375" s="23">
        <v>0.083906</v>
      </c>
      <c r="I375" s="6">
        <v>3.7</v>
      </c>
      <c r="J375" s="6">
        <v>12.5</v>
      </c>
      <c r="K375" s="6">
        <v>64.4</v>
      </c>
      <c r="L375" s="6">
        <v>1.69</v>
      </c>
      <c r="M375" s="6"/>
      <c r="N375" s="7"/>
      <c r="O375" s="23"/>
      <c r="P375" s="6"/>
      <c r="Q375" s="6"/>
      <c r="R375" s="31"/>
      <c r="S375" s="6"/>
      <c r="T375" s="31"/>
      <c r="U375" s="6"/>
      <c r="V375" s="23"/>
      <c r="W375" s="6"/>
      <c r="X375" s="6"/>
      <c r="Y375" s="5"/>
      <c r="Z375" s="3"/>
      <c r="AA375" s="6">
        <f>H375*I375/100</f>
      </c>
      <c r="AB375" s="6">
        <f>H375*J375/100</f>
      </c>
      <c r="AC375" s="7">
        <f>H375*K375</f>
      </c>
      <c r="AD375" s="7">
        <f>H375*M375</f>
      </c>
      <c r="AE375" s="6">
        <f>H375*L375/100</f>
      </c>
      <c r="AF375" s="6">
        <f>AA375+AB375+AE375</f>
      </c>
      <c r="AG375" s="6">
        <f>I375+J375+L375</f>
      </c>
      <c r="AH375" s="53">
        <f>$H375*I375</f>
      </c>
      <c r="AI375" s="53">
        <f>$H375*J375</f>
      </c>
      <c r="AJ375" s="53">
        <f>$H375*K375</f>
      </c>
      <c r="AK375" s="53">
        <f>$H375*L375</f>
      </c>
      <c r="AL375" s="53">
        <f>$H375*M375</f>
      </c>
      <c r="AM375" s="3"/>
      <c r="AN375" s="5"/>
      <c r="AO375" s="5"/>
      <c r="AP375" s="5"/>
      <c r="AQ375" s="3"/>
    </row>
    <row x14ac:dyDescent="0.25" r="376" customHeight="1" ht="12.75">
      <c r="A376" s="5" t="s">
        <v>853</v>
      </c>
      <c r="B376" s="3" t="s">
        <v>1100</v>
      </c>
      <c r="C376" s="3" t="s">
        <v>856</v>
      </c>
      <c r="D376" s="3"/>
      <c r="E376" s="38" t="s">
        <v>859</v>
      </c>
      <c r="F376" s="3" t="s">
        <v>1171</v>
      </c>
      <c r="G376" s="3" t="s">
        <v>1342</v>
      </c>
      <c r="H376" s="6">
        <v>1.36</v>
      </c>
      <c r="I376" s="6">
        <v>0.17</v>
      </c>
      <c r="J376" s="6">
        <v>0.08</v>
      </c>
      <c r="K376" s="6">
        <v>4.2</v>
      </c>
      <c r="L376" s="6">
        <v>0.01</v>
      </c>
      <c r="M376" s="6">
        <v>0.06</v>
      </c>
      <c r="N376" s="7"/>
      <c r="O376" s="23"/>
      <c r="P376" s="6"/>
      <c r="Q376" s="6"/>
      <c r="R376" s="31"/>
      <c r="S376" s="6"/>
      <c r="T376" s="31"/>
      <c r="U376" s="6"/>
      <c r="V376" s="23"/>
      <c r="W376" s="6"/>
      <c r="X376" s="6"/>
      <c r="Y376" s="6">
        <v>2.48</v>
      </c>
      <c r="Z376" s="3" t="s">
        <v>953</v>
      </c>
      <c r="AA376" s="6">
        <f>H376*I376/100</f>
      </c>
      <c r="AB376" s="6">
        <f>H376*J376/100</f>
      </c>
      <c r="AC376" s="7">
        <f>H376*K376</f>
      </c>
      <c r="AD376" s="7">
        <f>H376*M376</f>
      </c>
      <c r="AE376" s="6">
        <f>H376*L376/100</f>
      </c>
      <c r="AF376" s="6">
        <f>AA376+AB376+AE376</f>
      </c>
      <c r="AG376" s="6">
        <f>I376+J376+L376</f>
      </c>
      <c r="AH376" s="53">
        <f>$H376*I376</f>
      </c>
      <c r="AI376" s="53">
        <f>$H376*J376</f>
      </c>
      <c r="AJ376" s="53">
        <f>$H376*K376</f>
      </c>
      <c r="AK376" s="53">
        <f>$H376*L376</f>
      </c>
      <c r="AL376" s="53">
        <f>$H376*M376</f>
      </c>
      <c r="AM376" s="3"/>
      <c r="AN376" s="5"/>
      <c r="AO376" s="5"/>
      <c r="AP376" s="5"/>
      <c r="AQ376" s="3"/>
    </row>
    <row x14ac:dyDescent="0.25" r="377" customHeight="1" ht="12.75">
      <c r="A377" s="5" t="s">
        <v>564</v>
      </c>
      <c r="B377" s="3" t="s">
        <v>1100</v>
      </c>
      <c r="C377" s="3" t="s">
        <v>856</v>
      </c>
      <c r="D377" s="3"/>
      <c r="E377" s="38" t="s">
        <v>859</v>
      </c>
      <c r="F377" s="3" t="s">
        <v>1488</v>
      </c>
      <c r="G377" s="3" t="s">
        <v>1342</v>
      </c>
      <c r="H377" s="23">
        <v>0.590703</v>
      </c>
      <c r="I377" s="6">
        <v>2.66</v>
      </c>
      <c r="J377" s="6">
        <v>1.26</v>
      </c>
      <c r="K377" s="6">
        <v>71.6</v>
      </c>
      <c r="L377" s="6">
        <v>1.1</v>
      </c>
      <c r="M377" s="6">
        <v>1.19</v>
      </c>
      <c r="N377" s="7"/>
      <c r="O377" s="23"/>
      <c r="P377" s="6"/>
      <c r="Q377" s="6"/>
      <c r="R377" s="31"/>
      <c r="S377" s="6"/>
      <c r="T377" s="31"/>
      <c r="U377" s="6"/>
      <c r="V377" s="23"/>
      <c r="W377" s="6"/>
      <c r="X377" s="6"/>
      <c r="Y377" s="5"/>
      <c r="Z377" s="3"/>
      <c r="AA377" s="6">
        <f>H377*I377/100</f>
      </c>
      <c r="AB377" s="6">
        <f>H377*J377/100</f>
      </c>
      <c r="AC377" s="7">
        <f>H377*K377</f>
      </c>
      <c r="AD377" s="7">
        <f>H377*M377</f>
      </c>
      <c r="AE377" s="6">
        <f>H377*L377/100</f>
      </c>
      <c r="AF377" s="6">
        <f>AA377+AB377+AE377</f>
      </c>
      <c r="AG377" s="6">
        <f>I377+J377+L377</f>
      </c>
      <c r="AH377" s="53">
        <f>$H377*I377</f>
      </c>
      <c r="AI377" s="53">
        <f>$H377*J377</f>
      </c>
      <c r="AJ377" s="53">
        <f>$H377*K377</f>
      </c>
      <c r="AK377" s="53">
        <f>$H377*L377</f>
      </c>
      <c r="AL377" s="53">
        <f>$H377*M377</f>
      </c>
      <c r="AM377" s="3"/>
      <c r="AN377" s="5"/>
      <c r="AO377" s="5"/>
      <c r="AP377" s="5"/>
      <c r="AQ377" s="3"/>
    </row>
    <row x14ac:dyDescent="0.25" r="378" customHeight="1" ht="12.75">
      <c r="A378" s="5" t="s">
        <v>69</v>
      </c>
      <c r="B378" s="3" t="s">
        <v>1100</v>
      </c>
      <c r="C378" s="3" t="s">
        <v>866</v>
      </c>
      <c r="D378" s="3" t="s">
        <v>988</v>
      </c>
      <c r="E378" s="38" t="s">
        <v>859</v>
      </c>
      <c r="F378" s="3" t="s">
        <v>1171</v>
      </c>
      <c r="G378" s="3" t="s">
        <v>1350</v>
      </c>
      <c r="H378" s="6">
        <v>0.025</v>
      </c>
      <c r="I378" s="6">
        <v>3.7</v>
      </c>
      <c r="J378" s="6">
        <v>15.6</v>
      </c>
      <c r="K378" s="6">
        <v>76.3</v>
      </c>
      <c r="L378" s="6"/>
      <c r="M378" s="6"/>
      <c r="N378" s="7"/>
      <c r="O378" s="23"/>
      <c r="P378" s="6"/>
      <c r="Q378" s="6"/>
      <c r="R378" s="31"/>
      <c r="S378" s="6"/>
      <c r="T378" s="31"/>
      <c r="U378" s="6"/>
      <c r="V378" s="23"/>
      <c r="W378" s="6"/>
      <c r="X378" s="6"/>
      <c r="Y378" s="5"/>
      <c r="Z378" s="3"/>
      <c r="AA378" s="6">
        <f>H378*I378/100</f>
      </c>
      <c r="AB378" s="6">
        <f>H378*J378/100</f>
      </c>
      <c r="AC378" s="7">
        <f>H378*K378</f>
      </c>
      <c r="AD378" s="7">
        <f>H378*M378</f>
      </c>
      <c r="AE378" s="6">
        <f>H378*L378/100</f>
      </c>
      <c r="AF378" s="6">
        <f>AA378+AB378+AE378</f>
      </c>
      <c r="AG378" s="6">
        <f>I378+J378+L378</f>
      </c>
      <c r="AH378" s="53">
        <f>$H378*I378</f>
      </c>
      <c r="AI378" s="53">
        <f>$H378*J378</f>
      </c>
      <c r="AJ378" s="53">
        <f>$H378*K378</f>
      </c>
      <c r="AK378" s="53">
        <f>$H378*L378</f>
      </c>
      <c r="AL378" s="53">
        <f>$H378*M378</f>
      </c>
      <c r="AM378" s="3"/>
      <c r="AN378" s="5"/>
      <c r="AO378" s="5"/>
      <c r="AP378" s="5"/>
      <c r="AQ378" s="3"/>
    </row>
    <row x14ac:dyDescent="0.25" r="379" customHeight="1" ht="12.75">
      <c r="A379" s="5" t="s">
        <v>387</v>
      </c>
      <c r="B379" s="3" t="s">
        <v>1100</v>
      </c>
      <c r="C379" s="3" t="s">
        <v>870</v>
      </c>
      <c r="D379" s="3"/>
      <c r="E379" s="3" t="s">
        <v>855</v>
      </c>
      <c r="F379" s="3" t="s">
        <v>1362</v>
      </c>
      <c r="G379" s="3" t="s">
        <v>1417</v>
      </c>
      <c r="H379" s="23">
        <v>5.5245</v>
      </c>
      <c r="I379" s="6">
        <v>2.59</v>
      </c>
      <c r="J379" s="6">
        <v>6.11</v>
      </c>
      <c r="K379" s="6">
        <v>54.21</v>
      </c>
      <c r="L379" s="6">
        <v>0.4</v>
      </c>
      <c r="M379" s="6">
        <v>0.62</v>
      </c>
      <c r="N379" s="7"/>
      <c r="O379" s="23"/>
      <c r="P379" s="6"/>
      <c r="Q379" s="6"/>
      <c r="R379" s="31"/>
      <c r="S379" s="6"/>
      <c r="T379" s="31"/>
      <c r="U379" s="6"/>
      <c r="V379" s="23"/>
      <c r="W379" s="6"/>
      <c r="X379" s="6"/>
      <c r="Y379" s="5"/>
      <c r="Z379" s="3"/>
      <c r="AA379" s="6">
        <f>H379*I379/100</f>
      </c>
      <c r="AB379" s="6">
        <f>H379*J379/100</f>
      </c>
      <c r="AC379" s="7">
        <f>H379*K379</f>
      </c>
      <c r="AD379" s="7">
        <f>H379*M379</f>
      </c>
      <c r="AE379" s="6">
        <f>H379*L379/100</f>
      </c>
      <c r="AF379" s="6">
        <f>AA379+AB379+AE379</f>
      </c>
      <c r="AG379" s="6">
        <f>I379+J379+L379</f>
      </c>
      <c r="AH379" s="53">
        <f>$H379*I379</f>
      </c>
      <c r="AI379" s="53">
        <f>$H379*J379</f>
      </c>
      <c r="AJ379" s="53">
        <f>$H379*K379</f>
      </c>
      <c r="AK379" s="53">
        <f>$H379*L379</f>
      </c>
      <c r="AL379" s="53">
        <f>$H379*M379</f>
      </c>
      <c r="AM379" s="3"/>
      <c r="AN379" s="5"/>
      <c r="AO379" s="5"/>
      <c r="AP379" s="5"/>
      <c r="AQ379" s="3"/>
    </row>
    <row x14ac:dyDescent="0.25" r="380" customHeight="1" ht="12.75">
      <c r="A380" s="5" t="s">
        <v>37</v>
      </c>
      <c r="B380" s="3" t="s">
        <v>1100</v>
      </c>
      <c r="C380" s="3" t="s">
        <v>866</v>
      </c>
      <c r="D380" s="3" t="s">
        <v>988</v>
      </c>
      <c r="E380" s="38" t="s">
        <v>859</v>
      </c>
      <c r="F380" s="3" t="s">
        <v>1171</v>
      </c>
      <c r="G380" s="3" t="s">
        <v>1350</v>
      </c>
      <c r="H380" s="6">
        <f>161.97-149.173608</f>
      </c>
      <c r="I380" s="7">
        <f>(6.08*161.97-5.64*149.173608)/$H380</f>
      </c>
      <c r="J380" s="7">
        <f>(5.86*161.97-5.33*149.173608)/$H380</f>
      </c>
      <c r="K380" s="31">
        <f>(67.36*161.97-62.1*149.173608)/$H380</f>
      </c>
      <c r="L380" s="6"/>
      <c r="M380" s="6"/>
      <c r="N380" s="7"/>
      <c r="O380" s="23"/>
      <c r="P380" s="6"/>
      <c r="Q380" s="6"/>
      <c r="R380" s="31"/>
      <c r="S380" s="6"/>
      <c r="T380" s="31"/>
      <c r="U380" s="6"/>
      <c r="V380" s="23"/>
      <c r="W380" s="6"/>
      <c r="X380" s="6"/>
      <c r="Y380" s="5"/>
      <c r="Z380" s="3"/>
      <c r="AA380" s="6">
        <f>H380*I380/100</f>
      </c>
      <c r="AB380" s="6">
        <f>H380*J380/100</f>
      </c>
      <c r="AC380" s="7">
        <f>H380*K380</f>
      </c>
      <c r="AD380" s="7">
        <f>H380*M380</f>
      </c>
      <c r="AE380" s="6">
        <f>H380*L380/100</f>
      </c>
      <c r="AF380" s="6">
        <f>AA380+AB380+AE380</f>
      </c>
      <c r="AG380" s="6">
        <f>I380+J380+L380</f>
      </c>
      <c r="AH380" s="53">
        <f>$H380*I380</f>
      </c>
      <c r="AI380" s="53">
        <f>$H380*J380</f>
      </c>
      <c r="AJ380" s="53">
        <f>$H380*K380</f>
      </c>
      <c r="AK380" s="53">
        <f>$H380*L380</f>
      </c>
      <c r="AL380" s="53">
        <f>$H380*M380</f>
      </c>
      <c r="AM380" s="3"/>
      <c r="AN380" s="5"/>
      <c r="AO380" s="5"/>
      <c r="AP380" s="5"/>
      <c r="AQ380" s="3"/>
    </row>
    <row x14ac:dyDescent="0.25" r="381" customHeight="1" ht="12.75">
      <c r="A381" s="5" t="s">
        <v>626</v>
      </c>
      <c r="B381" s="3" t="s">
        <v>1100</v>
      </c>
      <c r="C381" s="3" t="s">
        <v>866</v>
      </c>
      <c r="D381" s="3" t="s">
        <v>988</v>
      </c>
      <c r="E381" s="38" t="s">
        <v>859</v>
      </c>
      <c r="F381" s="3" t="s">
        <v>1171</v>
      </c>
      <c r="G381" s="3" t="s">
        <v>1342</v>
      </c>
      <c r="H381" s="6">
        <v>0.244</v>
      </c>
      <c r="I381" s="5">
        <v>1</v>
      </c>
      <c r="J381" s="6">
        <v>4.5</v>
      </c>
      <c r="K381" s="6">
        <v>27.4</v>
      </c>
      <c r="L381" s="6">
        <v>0.7</v>
      </c>
      <c r="M381" s="6"/>
      <c r="N381" s="7"/>
      <c r="O381" s="23"/>
      <c r="P381" s="6"/>
      <c r="Q381" s="6"/>
      <c r="R381" s="31"/>
      <c r="S381" s="6"/>
      <c r="T381" s="31"/>
      <c r="U381" s="6"/>
      <c r="V381" s="23"/>
      <c r="W381" s="6"/>
      <c r="X381" s="6"/>
      <c r="Y381" s="5"/>
      <c r="Z381" s="3"/>
      <c r="AA381" s="6">
        <f>H381*I381/100</f>
      </c>
      <c r="AB381" s="6">
        <f>H381*J381/100</f>
      </c>
      <c r="AC381" s="7">
        <f>H381*K381</f>
      </c>
      <c r="AD381" s="7">
        <f>H381*M381</f>
      </c>
      <c r="AE381" s="6">
        <f>H381*L381/100</f>
      </c>
      <c r="AF381" s="6">
        <f>AA381+AB381+AE381</f>
      </c>
      <c r="AG381" s="6">
        <f>I381+J381+L381</f>
      </c>
      <c r="AH381" s="53">
        <f>$H381*I381</f>
      </c>
      <c r="AI381" s="53">
        <f>$H381*J381</f>
      </c>
      <c r="AJ381" s="53">
        <f>$H381*K381</f>
      </c>
      <c r="AK381" s="53">
        <f>$H381*L381</f>
      </c>
      <c r="AL381" s="53">
        <f>$H381*M381</f>
      </c>
      <c r="AM381" s="3"/>
      <c r="AN381" s="5"/>
      <c r="AO381" s="5"/>
      <c r="AP381" s="5"/>
      <c r="AQ381" s="3"/>
    </row>
    <row x14ac:dyDescent="0.25" r="382" customHeight="1" ht="12.75">
      <c r="A382" s="5" t="s">
        <v>408</v>
      </c>
      <c r="B382" s="3" t="s">
        <v>1100</v>
      </c>
      <c r="C382" s="3" t="s">
        <v>1081</v>
      </c>
      <c r="D382" s="3"/>
      <c r="E382" s="3" t="s">
        <v>855</v>
      </c>
      <c r="F382" s="3" t="s">
        <v>1188</v>
      </c>
      <c r="G382" s="3" t="s">
        <v>1185</v>
      </c>
      <c r="H382" s="6">
        <f>1.5+2.6</f>
      </c>
      <c r="I382" s="6">
        <f>(2.39*1.5+1.92*2.6)/$H382</f>
      </c>
      <c r="J382" s="6">
        <f>(5.99*1.5+4.42*2.6)/$H382</f>
      </c>
      <c r="K382" s="7">
        <f>(262*1.5+169*2.6)/$H382</f>
      </c>
      <c r="L382" s="6"/>
      <c r="M382" s="7">
        <f>(0.7*1.5+0.5*2.6)/$H382</f>
      </c>
      <c r="N382" s="7"/>
      <c r="O382" s="23"/>
      <c r="P382" s="6"/>
      <c r="Q382" s="6"/>
      <c r="R382" s="31"/>
      <c r="S382" s="6"/>
      <c r="T382" s="31"/>
      <c r="U382" s="6"/>
      <c r="V382" s="23"/>
      <c r="W382" s="6"/>
      <c r="X382" s="6"/>
      <c r="Y382" s="5"/>
      <c r="Z382" s="3"/>
      <c r="AA382" s="6">
        <f>H382*I382/100</f>
      </c>
      <c r="AB382" s="6">
        <f>H382*J382/100</f>
      </c>
      <c r="AC382" s="7">
        <f>H382*K382</f>
      </c>
      <c r="AD382" s="7">
        <f>H382*M382</f>
      </c>
      <c r="AE382" s="6">
        <f>H382*L382/100</f>
      </c>
      <c r="AF382" s="6">
        <f>AA382+AB382+AE382</f>
      </c>
      <c r="AG382" s="6">
        <f>I382+J382+L382</f>
      </c>
      <c r="AH382" s="53">
        <f>$H382*I382</f>
      </c>
      <c r="AI382" s="53">
        <f>$H382*J382</f>
      </c>
      <c r="AJ382" s="53">
        <f>$H382*K382</f>
      </c>
      <c r="AK382" s="53">
        <f>$H382*L382</f>
      </c>
      <c r="AL382" s="53">
        <f>$H382*M382</f>
      </c>
      <c r="AM382" s="3"/>
      <c r="AN382" s="5"/>
      <c r="AO382" s="5"/>
      <c r="AP382" s="5"/>
      <c r="AQ382" s="3"/>
    </row>
    <row x14ac:dyDescent="0.25" r="383" customHeight="1" ht="12.75">
      <c r="A383" s="5" t="s">
        <v>407</v>
      </c>
      <c r="B383" s="3" t="s">
        <v>1100</v>
      </c>
      <c r="C383" s="3" t="s">
        <v>866</v>
      </c>
      <c r="D383" s="3"/>
      <c r="E383" s="38" t="s">
        <v>859</v>
      </c>
      <c r="F383" s="3" t="s">
        <v>1171</v>
      </c>
      <c r="G383" s="3" t="s">
        <v>1489</v>
      </c>
      <c r="H383" s="6">
        <v>4.3</v>
      </c>
      <c r="I383" s="6">
        <v>3.8</v>
      </c>
      <c r="J383" s="6">
        <v>4.7</v>
      </c>
      <c r="K383" s="5">
        <v>42</v>
      </c>
      <c r="L383" s="6">
        <v>0.27</v>
      </c>
      <c r="M383" s="6">
        <v>0.7</v>
      </c>
      <c r="N383" s="7"/>
      <c r="O383" s="23"/>
      <c r="P383" s="6"/>
      <c r="Q383" s="6"/>
      <c r="R383" s="31"/>
      <c r="S383" s="6"/>
      <c r="T383" s="31"/>
      <c r="U383" s="6"/>
      <c r="V383" s="23"/>
      <c r="W383" s="6"/>
      <c r="X383" s="6"/>
      <c r="Y383" s="5"/>
      <c r="Z383" s="3"/>
      <c r="AA383" s="6">
        <f>H383*I383/100</f>
      </c>
      <c r="AB383" s="6">
        <f>H383*J383/100</f>
      </c>
      <c r="AC383" s="7">
        <f>H383*K383</f>
      </c>
      <c r="AD383" s="7">
        <f>H383*M383</f>
      </c>
      <c r="AE383" s="6">
        <f>H383*L383/100</f>
      </c>
      <c r="AF383" s="6">
        <f>AA383+AB383+AE383</f>
      </c>
      <c r="AG383" s="6">
        <f>I383+J383+L383</f>
      </c>
      <c r="AH383" s="53">
        <f>$H383*I383</f>
      </c>
      <c r="AI383" s="53">
        <f>$H383*J383</f>
      </c>
      <c r="AJ383" s="53">
        <f>$H383*K383</f>
      </c>
      <c r="AK383" s="53">
        <f>$H383*L383</f>
      </c>
      <c r="AL383" s="53">
        <f>$H383*M383</f>
      </c>
      <c r="AM383" s="3"/>
      <c r="AN383" s="5"/>
      <c r="AO383" s="5"/>
      <c r="AP383" s="5"/>
      <c r="AQ383" s="3"/>
    </row>
    <row x14ac:dyDescent="0.25" r="384" customHeight="1" ht="12.75">
      <c r="A384" s="5" t="s">
        <v>798</v>
      </c>
      <c r="B384" s="3" t="s">
        <v>1100</v>
      </c>
      <c r="C384" s="3" t="s">
        <v>870</v>
      </c>
      <c r="D384" s="3"/>
      <c r="E384" s="38" t="s">
        <v>859</v>
      </c>
      <c r="F384" s="3" t="s">
        <v>1490</v>
      </c>
      <c r="G384" s="3" t="s">
        <v>1487</v>
      </c>
      <c r="H384" s="23">
        <f>3.377+0.488583</f>
      </c>
      <c r="I384" s="6">
        <f>(0.42*3.377+0.23*0.488583)/$H384</f>
      </c>
      <c r="J384" s="6">
        <f>(2.26*3.377+1.1*0.488583)/$H384</f>
      </c>
      <c r="K384" s="7">
        <f>(25.37*3.377+13.71*0.488583)/$H384</f>
      </c>
      <c r="L384" s="6">
        <f>(0.29*3.377+0.67*0.488583)/$H384</f>
      </c>
      <c r="M384" s="6">
        <f>(0.41*3.377+0.1*0.488583)/$H384</f>
      </c>
      <c r="N384" s="7"/>
      <c r="O384" s="23"/>
      <c r="P384" s="6"/>
      <c r="Q384" s="6"/>
      <c r="R384" s="31"/>
      <c r="S384" s="6"/>
      <c r="T384" s="31"/>
      <c r="U384" s="6"/>
      <c r="V384" s="23"/>
      <c r="W384" s="6"/>
      <c r="X384" s="6"/>
      <c r="Y384" s="5"/>
      <c r="Z384" s="3"/>
      <c r="AA384" s="6">
        <f>H384*I384/100</f>
      </c>
      <c r="AB384" s="6">
        <f>H384*J384/100</f>
      </c>
      <c r="AC384" s="7">
        <f>H384*K384</f>
      </c>
      <c r="AD384" s="7">
        <f>H384*M384</f>
      </c>
      <c r="AE384" s="6">
        <f>H384*L384/100</f>
      </c>
      <c r="AF384" s="6">
        <f>AA384+AB384+AE384</f>
      </c>
      <c r="AG384" s="6">
        <f>I384+J384+L384</f>
      </c>
      <c r="AH384" s="53">
        <f>$H384*I384</f>
      </c>
      <c r="AI384" s="53">
        <f>$H384*J384</f>
      </c>
      <c r="AJ384" s="53">
        <f>$H384*K384</f>
      </c>
      <c r="AK384" s="53">
        <f>$H384*L384</f>
      </c>
      <c r="AL384" s="53">
        <f>$H384*M384</f>
      </c>
      <c r="AM384" s="3"/>
      <c r="AN384" s="5"/>
      <c r="AO384" s="5"/>
      <c r="AP384" s="5"/>
      <c r="AQ384" s="3"/>
    </row>
    <row x14ac:dyDescent="0.25" r="385" customHeight="1" ht="12.75">
      <c r="A385" s="5" t="s">
        <v>437</v>
      </c>
      <c r="B385" s="3" t="s">
        <v>1100</v>
      </c>
      <c r="C385" s="3" t="s">
        <v>870</v>
      </c>
      <c r="D385" s="3"/>
      <c r="E385" s="38" t="s">
        <v>859</v>
      </c>
      <c r="F385" s="3" t="s">
        <v>1490</v>
      </c>
      <c r="G385" s="3" t="s">
        <v>1487</v>
      </c>
      <c r="H385" s="6">
        <v>22.8</v>
      </c>
      <c r="I385" s="6">
        <v>0.64</v>
      </c>
      <c r="J385" s="6">
        <v>1.82</v>
      </c>
      <c r="K385" s="6">
        <v>32.23</v>
      </c>
      <c r="L385" s="6">
        <v>0.56</v>
      </c>
      <c r="M385" s="6">
        <v>1.17</v>
      </c>
      <c r="N385" s="7"/>
      <c r="O385" s="23"/>
      <c r="P385" s="6"/>
      <c r="Q385" s="6"/>
      <c r="R385" s="31"/>
      <c r="S385" s="6"/>
      <c r="T385" s="31"/>
      <c r="U385" s="6"/>
      <c r="V385" s="23"/>
      <c r="W385" s="6"/>
      <c r="X385" s="6"/>
      <c r="Y385" s="5"/>
      <c r="Z385" s="3"/>
      <c r="AA385" s="6">
        <f>H385*I385/100</f>
      </c>
      <c r="AB385" s="6">
        <f>H385*J385/100</f>
      </c>
      <c r="AC385" s="7">
        <f>H385*K385</f>
      </c>
      <c r="AD385" s="7">
        <f>H385*M385</f>
      </c>
      <c r="AE385" s="6">
        <f>H385*L385/100</f>
      </c>
      <c r="AF385" s="6">
        <f>AA385+AB385+AE385</f>
      </c>
      <c r="AG385" s="6">
        <f>I385+J385+L385</f>
      </c>
      <c r="AH385" s="53">
        <f>$H385*I385</f>
      </c>
      <c r="AI385" s="53">
        <f>$H385*J385</f>
      </c>
      <c r="AJ385" s="53">
        <f>$H385*K385</f>
      </c>
      <c r="AK385" s="53">
        <f>$H385*L385</f>
      </c>
      <c r="AL385" s="53">
        <f>$H385*M385</f>
      </c>
      <c r="AM385" s="3"/>
      <c r="AN385" s="5"/>
      <c r="AO385" s="5"/>
      <c r="AP385" s="5"/>
      <c r="AQ385" s="3"/>
    </row>
    <row x14ac:dyDescent="0.25" r="386" customHeight="1" ht="12.75">
      <c r="A386" s="5" t="s">
        <v>199</v>
      </c>
      <c r="B386" s="3" t="s">
        <v>1100</v>
      </c>
      <c r="C386" s="3" t="s">
        <v>870</v>
      </c>
      <c r="D386" s="3"/>
      <c r="E386" s="38" t="s">
        <v>859</v>
      </c>
      <c r="F386" s="3" t="s">
        <v>1490</v>
      </c>
      <c r="G386" s="3" t="s">
        <v>1487</v>
      </c>
      <c r="H386" s="6">
        <v>0.131</v>
      </c>
      <c r="I386" s="6">
        <v>2.69</v>
      </c>
      <c r="J386" s="6">
        <v>8.43</v>
      </c>
      <c r="K386" s="5">
        <v>101</v>
      </c>
      <c r="L386" s="6">
        <v>0.28</v>
      </c>
      <c r="M386" s="6">
        <v>3.1</v>
      </c>
      <c r="N386" s="7"/>
      <c r="O386" s="23"/>
      <c r="P386" s="6"/>
      <c r="Q386" s="6"/>
      <c r="R386" s="31"/>
      <c r="S386" s="6"/>
      <c r="T386" s="31"/>
      <c r="U386" s="6"/>
      <c r="V386" s="23"/>
      <c r="W386" s="6"/>
      <c r="X386" s="6"/>
      <c r="Y386" s="5"/>
      <c r="Z386" s="3"/>
      <c r="AA386" s="6">
        <f>H386*I386/100</f>
      </c>
      <c r="AB386" s="6">
        <f>H386*J386/100</f>
      </c>
      <c r="AC386" s="7">
        <f>H386*K386</f>
      </c>
      <c r="AD386" s="7">
        <f>H386*M386</f>
      </c>
      <c r="AE386" s="6">
        <f>H386*L386/100</f>
      </c>
      <c r="AF386" s="6">
        <f>AA386+AB386+AE386</f>
      </c>
      <c r="AG386" s="6">
        <f>I386+J386+L386</f>
      </c>
      <c r="AH386" s="53">
        <f>$H386*I386</f>
      </c>
      <c r="AI386" s="53">
        <f>$H386*J386</f>
      </c>
      <c r="AJ386" s="53">
        <f>$H386*K386</f>
      </c>
      <c r="AK386" s="53">
        <f>$H386*L386</f>
      </c>
      <c r="AL386" s="53">
        <f>$H386*M386</f>
      </c>
      <c r="AM386" s="3"/>
      <c r="AN386" s="5"/>
      <c r="AO386" s="5"/>
      <c r="AP386" s="5"/>
      <c r="AQ386" s="3"/>
    </row>
    <row x14ac:dyDescent="0.25" r="387" customHeight="1" ht="12.75">
      <c r="A387" s="5" t="s">
        <v>791</v>
      </c>
      <c r="B387" s="3" t="s">
        <v>1100</v>
      </c>
      <c r="C387" s="3" t="s">
        <v>1014</v>
      </c>
      <c r="D387" s="3"/>
      <c r="E387" s="3" t="s">
        <v>855</v>
      </c>
      <c r="F387" s="3" t="s">
        <v>1491</v>
      </c>
      <c r="G387" s="3" t="s">
        <v>1492</v>
      </c>
      <c r="H387" s="6">
        <f>1.87+2.66</f>
      </c>
      <c r="I387" s="6">
        <f>(0.67*1.87+0.45*2.66)/$H387</f>
      </c>
      <c r="J387" s="6">
        <f>(1.13*1.87+0.76*2.66)/$H387</f>
      </c>
      <c r="K387" s="7">
        <f>(35.73*1.87+24.02*2.66)/$H387</f>
      </c>
      <c r="L387" s="6">
        <f>(0.21*1.87+0.14*2.66)/$H387</f>
      </c>
      <c r="M387" s="6">
        <f>(1.25*1.87+0.85*2.66)/$H387</f>
      </c>
      <c r="N387" s="7"/>
      <c r="O387" s="23"/>
      <c r="P387" s="6"/>
      <c r="Q387" s="6"/>
      <c r="R387" s="31"/>
      <c r="S387" s="6"/>
      <c r="T387" s="31"/>
      <c r="U387" s="6"/>
      <c r="V387" s="23"/>
      <c r="W387" s="6"/>
      <c r="X387" s="6"/>
      <c r="Y387" s="5"/>
      <c r="Z387" s="3"/>
      <c r="AA387" s="6">
        <f>H387*I387/100</f>
      </c>
      <c r="AB387" s="6">
        <f>H387*J387/100</f>
      </c>
      <c r="AC387" s="7">
        <f>H387*K387</f>
      </c>
      <c r="AD387" s="7">
        <f>H387*M387</f>
      </c>
      <c r="AE387" s="6">
        <f>H387*L387/100</f>
      </c>
      <c r="AF387" s="6">
        <f>AA387+AB387+AE387</f>
      </c>
      <c r="AG387" s="6">
        <f>I387+J387+L387</f>
      </c>
      <c r="AH387" s="53">
        <f>$H387*I387</f>
      </c>
      <c r="AI387" s="53">
        <f>$H387*J387</f>
      </c>
      <c r="AJ387" s="53">
        <f>$H387*K387</f>
      </c>
      <c r="AK387" s="53">
        <f>$H387*L387</f>
      </c>
      <c r="AL387" s="53">
        <f>$H387*M387</f>
      </c>
      <c r="AM387" s="3"/>
      <c r="AN387" s="5"/>
      <c r="AO387" s="5"/>
      <c r="AP387" s="5"/>
      <c r="AQ387" s="3"/>
    </row>
    <row x14ac:dyDescent="0.25" r="388" customHeight="1" ht="12.75">
      <c r="A388" s="5" t="s">
        <v>47</v>
      </c>
      <c r="B388" s="3" t="s">
        <v>1100</v>
      </c>
      <c r="C388" s="3" t="s">
        <v>869</v>
      </c>
      <c r="D388" s="3"/>
      <c r="E388" s="38" t="s">
        <v>859</v>
      </c>
      <c r="F388" s="3" t="s">
        <v>1171</v>
      </c>
      <c r="G388" s="3" t="s">
        <v>1367</v>
      </c>
      <c r="H388" s="23">
        <v>0.090719</v>
      </c>
      <c r="I388" s="5">
        <v>6</v>
      </c>
      <c r="J388" s="5">
        <v>10</v>
      </c>
      <c r="K388" s="6">
        <v>687.5</v>
      </c>
      <c r="L388" s="6"/>
      <c r="M388" s="6"/>
      <c r="N388" s="7"/>
      <c r="O388" s="23"/>
      <c r="P388" s="6"/>
      <c r="Q388" s="6"/>
      <c r="R388" s="31"/>
      <c r="S388" s="6"/>
      <c r="T388" s="31"/>
      <c r="U388" s="6"/>
      <c r="V388" s="23"/>
      <c r="W388" s="6"/>
      <c r="X388" s="6"/>
      <c r="Y388" s="5"/>
      <c r="Z388" s="3"/>
      <c r="AA388" s="6">
        <f>H388*I388/100</f>
      </c>
      <c r="AB388" s="6">
        <f>H388*J388/100</f>
      </c>
      <c r="AC388" s="7">
        <f>H388*K388</f>
      </c>
      <c r="AD388" s="7">
        <f>H388*M388</f>
      </c>
      <c r="AE388" s="6">
        <f>H388*L388/100</f>
      </c>
      <c r="AF388" s="6">
        <f>AA388+AB388+AE388</f>
      </c>
      <c r="AG388" s="6">
        <f>I388+J388+L388</f>
      </c>
      <c r="AH388" s="53">
        <f>$H388*I388</f>
      </c>
      <c r="AI388" s="53">
        <f>$H388*J388</f>
      </c>
      <c r="AJ388" s="53">
        <f>$H388*K388</f>
      </c>
      <c r="AK388" s="53">
        <f>$H388*L388</f>
      </c>
      <c r="AL388" s="53">
        <f>$H388*M388</f>
      </c>
      <c r="AM388" s="3"/>
      <c r="AN388" s="5"/>
      <c r="AO388" s="5"/>
      <c r="AP388" s="5"/>
      <c r="AQ388" s="3"/>
    </row>
    <row x14ac:dyDescent="0.25" r="389" customHeight="1" ht="12.75">
      <c r="A389" s="5" t="s">
        <v>470</v>
      </c>
      <c r="B389" s="3" t="s">
        <v>1100</v>
      </c>
      <c r="C389" s="3" t="s">
        <v>870</v>
      </c>
      <c r="D389" s="3"/>
      <c r="E389" s="3" t="s">
        <v>855</v>
      </c>
      <c r="F389" s="3" t="s">
        <v>1493</v>
      </c>
      <c r="G389" s="3" t="s">
        <v>1494</v>
      </c>
      <c r="H389" s="6">
        <f>0.64+0.424</f>
      </c>
      <c r="I389" s="6">
        <f>(2.51*0.64+2.26*0.424)/$H389</f>
      </c>
      <c r="J389" s="6">
        <f>(3.51*0.64+3.2*0.424)/$H389</f>
      </c>
      <c r="K389" s="31">
        <f>(187*0.64+176*0.424)/$H389</f>
      </c>
      <c r="L389" s="6">
        <f>(0.14*0.64+0.14*0.424)/$H389</f>
      </c>
      <c r="M389" s="6">
        <f>(0.88*0.64+0.98*0.424)/$H389</f>
      </c>
      <c r="N389" s="7"/>
      <c r="O389" s="23"/>
      <c r="P389" s="6"/>
      <c r="Q389" s="6"/>
      <c r="R389" s="31"/>
      <c r="S389" s="6"/>
      <c r="T389" s="31"/>
      <c r="U389" s="6"/>
      <c r="V389" s="23"/>
      <c r="W389" s="6"/>
      <c r="X389" s="6"/>
      <c r="Y389" s="5"/>
      <c r="Z389" s="3"/>
      <c r="AA389" s="6">
        <f>H389*I389/100</f>
      </c>
      <c r="AB389" s="6">
        <f>H389*J389/100</f>
      </c>
      <c r="AC389" s="7">
        <f>H389*K389</f>
      </c>
      <c r="AD389" s="7">
        <f>H389*M389</f>
      </c>
      <c r="AE389" s="6">
        <f>H389*L389/100</f>
      </c>
      <c r="AF389" s="6">
        <f>AA389+AB389+AE389</f>
      </c>
      <c r="AG389" s="6">
        <f>I389+J389+L389</f>
      </c>
      <c r="AH389" s="53">
        <f>$H389*I389</f>
      </c>
      <c r="AI389" s="53">
        <f>$H389*J389</f>
      </c>
      <c r="AJ389" s="53">
        <f>$H389*K389</f>
      </c>
      <c r="AK389" s="53">
        <f>$H389*L389</f>
      </c>
      <c r="AL389" s="53">
        <f>$H389*M389</f>
      </c>
      <c r="AM389" s="3"/>
      <c r="AN389" s="5"/>
      <c r="AO389" s="5"/>
      <c r="AP389" s="5"/>
      <c r="AQ389" s="3"/>
    </row>
    <row x14ac:dyDescent="0.25" r="390" customHeight="1" ht="12.75">
      <c r="A390" s="5" t="s">
        <v>278</v>
      </c>
      <c r="B390" s="3" t="s">
        <v>1100</v>
      </c>
      <c r="C390" s="3" t="s">
        <v>866</v>
      </c>
      <c r="D390" s="3" t="s">
        <v>988</v>
      </c>
      <c r="E390" s="3" t="s">
        <v>855</v>
      </c>
      <c r="F390" s="3" t="s">
        <v>1405</v>
      </c>
      <c r="G390" s="3" t="s">
        <v>1415</v>
      </c>
      <c r="H390" s="6">
        <f>4.98+13.55</f>
      </c>
      <c r="I390" s="6">
        <f>(4.36*4.98+3.1*13.55)/$H390</f>
      </c>
      <c r="J390" s="6">
        <f>(6.64*4.98+6.68*13.55)/$H390</f>
      </c>
      <c r="K390" s="6">
        <f>(4.36*4.98+3.1*13.55)/$H390</f>
      </c>
      <c r="L390" s="6"/>
      <c r="M390" s="6"/>
      <c r="N390" s="7"/>
      <c r="O390" s="23"/>
      <c r="P390" s="6"/>
      <c r="Q390" s="6"/>
      <c r="R390" s="31"/>
      <c r="S390" s="6"/>
      <c r="T390" s="31"/>
      <c r="U390" s="6"/>
      <c r="V390" s="23"/>
      <c r="W390" s="6"/>
      <c r="X390" s="6"/>
      <c r="Y390" s="5"/>
      <c r="Z390" s="3"/>
      <c r="AA390" s="6">
        <f>H390*I390/100</f>
      </c>
      <c r="AB390" s="6">
        <f>H390*J390/100</f>
      </c>
      <c r="AC390" s="7">
        <f>H390*K390</f>
      </c>
      <c r="AD390" s="7">
        <f>H390*M390</f>
      </c>
      <c r="AE390" s="6">
        <f>H390*L390/100</f>
      </c>
      <c r="AF390" s="6">
        <f>AA390+AB390+AE390</f>
      </c>
      <c r="AG390" s="6">
        <f>I390+J390+L390</f>
      </c>
      <c r="AH390" s="53">
        <f>$H390*I390</f>
      </c>
      <c r="AI390" s="53">
        <f>$H390*J390</f>
      </c>
      <c r="AJ390" s="53">
        <f>$H390*K390</f>
      </c>
      <c r="AK390" s="53">
        <f>$H390*L390</f>
      </c>
      <c r="AL390" s="53">
        <f>$H390*M390</f>
      </c>
      <c r="AM390" s="3"/>
      <c r="AN390" s="5"/>
      <c r="AO390" s="5"/>
      <c r="AP390" s="5"/>
      <c r="AQ390" s="3"/>
    </row>
    <row x14ac:dyDescent="0.25" r="391" customHeight="1" ht="12.75">
      <c r="A391" s="5" t="s">
        <v>594</v>
      </c>
      <c r="B391" s="3" t="s">
        <v>1100</v>
      </c>
      <c r="C391" s="3" t="s">
        <v>866</v>
      </c>
      <c r="D391" s="3" t="s">
        <v>999</v>
      </c>
      <c r="E391" s="3" t="s">
        <v>855</v>
      </c>
      <c r="F391" s="3" t="s">
        <v>1495</v>
      </c>
      <c r="G391" s="3" t="s">
        <v>1337</v>
      </c>
      <c r="H391" s="6">
        <f>0.55+0.548+0.099</f>
      </c>
      <c r="I391" s="6"/>
      <c r="J391" s="6">
        <f>(4.23*0.55+3.09*0.548+1.23*0.099)/$H391</f>
      </c>
      <c r="K391" s="7">
        <f>(59.99*0.55+36.19*0.548+12.45*0.099)/$H391</f>
      </c>
      <c r="L391" s="6">
        <f>(2.3*0.55+1.18*0.548+1.19*0.099)/$H391</f>
      </c>
      <c r="M391" s="6">
        <f>(0.43*0.55+0.25*0.548+0*0.099)/$H391</f>
      </c>
      <c r="N391" s="7"/>
      <c r="O391" s="23"/>
      <c r="P391" s="6"/>
      <c r="Q391" s="6"/>
      <c r="R391" s="31"/>
      <c r="S391" s="6"/>
      <c r="T391" s="31"/>
      <c r="U391" s="6"/>
      <c r="V391" s="23"/>
      <c r="W391" s="6"/>
      <c r="X391" s="6"/>
      <c r="Y391" s="5"/>
      <c r="Z391" s="3"/>
      <c r="AA391" s="6">
        <f>H391*I391/100</f>
      </c>
      <c r="AB391" s="6">
        <f>H391*J391/100</f>
      </c>
      <c r="AC391" s="7">
        <f>H391*K391</f>
      </c>
      <c r="AD391" s="7">
        <f>H391*M391</f>
      </c>
      <c r="AE391" s="6">
        <f>H391*L391/100</f>
      </c>
      <c r="AF391" s="6">
        <f>AA391+AB391+AE391</f>
      </c>
      <c r="AG391" s="6">
        <f>I391+J391+L391</f>
      </c>
      <c r="AH391" s="53">
        <f>$H391*I391</f>
      </c>
      <c r="AI391" s="53">
        <f>$H391*J391</f>
      </c>
      <c r="AJ391" s="53">
        <f>$H391*K391</f>
      </c>
      <c r="AK391" s="53">
        <f>$H391*L391</f>
      </c>
      <c r="AL391" s="53">
        <f>$H391*M391</f>
      </c>
      <c r="AM391" s="3"/>
      <c r="AN391" s="5"/>
      <c r="AO391" s="5"/>
      <c r="AP391" s="5"/>
      <c r="AQ391" s="3"/>
    </row>
    <row x14ac:dyDescent="0.25" r="392" customHeight="1" ht="12.75">
      <c r="A392" s="5" t="s">
        <v>223</v>
      </c>
      <c r="B392" s="3" t="s">
        <v>1100</v>
      </c>
      <c r="C392" s="3" t="s">
        <v>856</v>
      </c>
      <c r="D392" s="3"/>
      <c r="E392" s="3" t="s">
        <v>855</v>
      </c>
      <c r="F392" s="3" t="s">
        <v>1496</v>
      </c>
      <c r="G392" s="3" t="s">
        <v>1463</v>
      </c>
      <c r="H392" s="23">
        <f>0.075+0.235</f>
      </c>
      <c r="I392" s="6">
        <f>(2.48*0.075+1.93*0.235)/$H392</f>
      </c>
      <c r="J392" s="6">
        <f>(2.84*0.075+3.09*0.235)/$H392</f>
      </c>
      <c r="K392" s="7">
        <f>(457.4*0.075+544.2*0.235)/$H392</f>
      </c>
      <c r="L392" s="6"/>
      <c r="M392" s="6"/>
      <c r="N392" s="7"/>
      <c r="O392" s="23"/>
      <c r="P392" s="6"/>
      <c r="Q392" s="6"/>
      <c r="R392" s="31"/>
      <c r="S392" s="6"/>
      <c r="T392" s="31"/>
      <c r="U392" s="6"/>
      <c r="V392" s="23"/>
      <c r="W392" s="6"/>
      <c r="X392" s="6"/>
      <c r="Y392" s="5"/>
      <c r="Z392" s="3"/>
      <c r="AA392" s="6">
        <f>H392*I392/100</f>
      </c>
      <c r="AB392" s="6">
        <f>H392*J392/100</f>
      </c>
      <c r="AC392" s="7">
        <f>H392*K392</f>
      </c>
      <c r="AD392" s="7">
        <f>H392*M392</f>
      </c>
      <c r="AE392" s="6">
        <f>H392*L392/100</f>
      </c>
      <c r="AF392" s="6">
        <f>AA392+AB392+AE392</f>
      </c>
      <c r="AG392" s="6">
        <f>I392+J392+L392</f>
      </c>
      <c r="AH392" s="53">
        <f>$H392*I392</f>
      </c>
      <c r="AI392" s="53">
        <f>$H392*J392</f>
      </c>
      <c r="AJ392" s="53">
        <f>$H392*K392</f>
      </c>
      <c r="AK392" s="53">
        <f>$H392*L392</f>
      </c>
      <c r="AL392" s="53">
        <f>$H392*M392</f>
      </c>
      <c r="AM392" s="3"/>
      <c r="AN392" s="5"/>
      <c r="AO392" s="5"/>
      <c r="AP392" s="5"/>
      <c r="AQ392" s="3"/>
    </row>
    <row x14ac:dyDescent="0.25" r="393" customHeight="1" ht="12.75">
      <c r="A393" s="5" t="s">
        <v>225</v>
      </c>
      <c r="B393" s="3" t="s">
        <v>1100</v>
      </c>
      <c r="C393" s="3" t="s">
        <v>870</v>
      </c>
      <c r="D393" s="3"/>
      <c r="E393" s="38" t="s">
        <v>859</v>
      </c>
      <c r="F393" s="3" t="s">
        <v>1171</v>
      </c>
      <c r="G393" s="3" t="s">
        <v>1342</v>
      </c>
      <c r="H393" s="23">
        <f>0.099802+0.025887+0.100616+0.029573+0.009453+0.037191+0.025398+0.023584+0.064846</f>
      </c>
      <c r="I393" s="7">
        <f>(8.75*0.099802+4.58*0.025887+5.61*0.100616+8.41*0.029573+16.06*0.009453+1.7*0.037191+6.19*0.025398+8.71*0.023584+1.09*0.064846)/$H393</f>
      </c>
      <c r="J393" s="6">
        <f>(3.7*0.099802+4.78*0.025887+2.88*0.100616+16.51*0.029573+14.91*0.009453+1.5*0.037191+6.34*0.025398+2.24*0.023584+9.49*0.064846)/$H393</f>
      </c>
      <c r="K393" s="7">
        <f>(416.5*0.099802+234.8*0.025887+195*0.100616+216.3*0.029573+504.2*0.009453+229.67*0.037191+254.7*0.025398+287.2*0.023584+41.1*0.064846)/$H393</f>
      </c>
      <c r="L393" s="6"/>
      <c r="M393" s="6">
        <f>(0.3*0.099802+0.1*0.025887+0.89*0.100616+1.2*0.029573+1.1*0.009453+2.74*0.037191+4.4*0.025398+0.13*0.023584+0.17*0.064846)/$H393</f>
      </c>
      <c r="N393" s="7"/>
      <c r="O393" s="23"/>
      <c r="P393" s="6"/>
      <c r="Q393" s="6"/>
      <c r="R393" s="31"/>
      <c r="S393" s="6"/>
      <c r="T393" s="31"/>
      <c r="U393" s="6"/>
      <c r="V393" s="23"/>
      <c r="W393" s="6"/>
      <c r="X393" s="6"/>
      <c r="Y393" s="5"/>
      <c r="Z393" s="3"/>
      <c r="AA393" s="6">
        <f>H393*I393/100</f>
      </c>
      <c r="AB393" s="6">
        <f>H393*J393/100</f>
      </c>
      <c r="AC393" s="7">
        <f>H393*K393</f>
      </c>
      <c r="AD393" s="7">
        <f>H393*M393</f>
      </c>
      <c r="AE393" s="6">
        <f>H393*L393/100</f>
      </c>
      <c r="AF393" s="6">
        <f>AA393+AB393+AE393</f>
      </c>
      <c r="AG393" s="6">
        <f>I393+J393+L393</f>
      </c>
      <c r="AH393" s="53">
        <f>$H393*I393</f>
      </c>
      <c r="AI393" s="53">
        <f>$H393*J393</f>
      </c>
      <c r="AJ393" s="53">
        <f>$H393*K393</f>
      </c>
      <c r="AK393" s="53">
        <f>$H393*L393</f>
      </c>
      <c r="AL393" s="53">
        <f>$H393*M393</f>
      </c>
      <c r="AM393" s="3"/>
      <c r="AN393" s="5"/>
      <c r="AO393" s="5"/>
      <c r="AP393" s="5"/>
      <c r="AQ393" s="3"/>
    </row>
    <row x14ac:dyDescent="0.25" r="394" customHeight="1" ht="12.75">
      <c r="A394" s="5" t="s">
        <v>272</v>
      </c>
      <c r="B394" s="3" t="s">
        <v>1100</v>
      </c>
      <c r="C394" s="3" t="s">
        <v>870</v>
      </c>
      <c r="D394" s="3"/>
      <c r="E394" s="3" t="s">
        <v>855</v>
      </c>
      <c r="F394" s="3" t="s">
        <v>1348</v>
      </c>
      <c r="G394" s="3" t="s">
        <v>1185</v>
      </c>
      <c r="H394" s="6">
        <f>6.762+0.204</f>
      </c>
      <c r="I394" s="6">
        <f>(1.1*6.762+0.76*0.204)/$H394</f>
      </c>
      <c r="J394" s="6">
        <f>(5.89*6.762+4.02*0.204)/$H394</f>
      </c>
      <c r="K394" s="31">
        <f>(85*6.762+62*0.204)/$H394</f>
      </c>
      <c r="L394" s="6">
        <f>(1.19*6.762+0.67*0.204)/$H394</f>
      </c>
      <c r="M394" s="6">
        <f>(2.4*6.762+1.18*0.204)/$H394</f>
      </c>
      <c r="N394" s="7"/>
      <c r="O394" s="23"/>
      <c r="P394" s="6"/>
      <c r="Q394" s="6"/>
      <c r="R394" s="31"/>
      <c r="S394" s="6"/>
      <c r="T394" s="31"/>
      <c r="U394" s="6"/>
      <c r="V394" s="23"/>
      <c r="W394" s="6"/>
      <c r="X394" s="6"/>
      <c r="Y394" s="5"/>
      <c r="Z394" s="3"/>
      <c r="AA394" s="6">
        <f>H394*I394/100</f>
      </c>
      <c r="AB394" s="6">
        <f>H394*J394/100</f>
      </c>
      <c r="AC394" s="7">
        <f>H394*K394</f>
      </c>
      <c r="AD394" s="7">
        <f>H394*M394</f>
      </c>
      <c r="AE394" s="6">
        <f>H394*L394/100</f>
      </c>
      <c r="AF394" s="6">
        <f>AA394+AB394+AE394</f>
      </c>
      <c r="AG394" s="6">
        <f>I394+J394+L394</f>
      </c>
      <c r="AH394" s="53">
        <f>$H394*I394</f>
      </c>
      <c r="AI394" s="53">
        <f>$H394*J394</f>
      </c>
      <c r="AJ394" s="53">
        <f>$H394*K394</f>
      </c>
      <c r="AK394" s="53">
        <f>$H394*L394</f>
      </c>
      <c r="AL394" s="53">
        <f>$H394*M394</f>
      </c>
      <c r="AM394" s="3"/>
      <c r="AN394" s="5"/>
      <c r="AO394" s="5"/>
      <c r="AP394" s="5"/>
      <c r="AQ394" s="3"/>
    </row>
    <row x14ac:dyDescent="0.25" r="395" customHeight="1" ht="12.75">
      <c r="A395" s="5" t="s">
        <v>831</v>
      </c>
      <c r="B395" s="3" t="s">
        <v>1100</v>
      </c>
      <c r="C395" s="3" t="s">
        <v>866</v>
      </c>
      <c r="D395" s="3" t="s">
        <v>989</v>
      </c>
      <c r="E395" s="38" t="s">
        <v>859</v>
      </c>
      <c r="F395" s="3" t="s">
        <v>1171</v>
      </c>
      <c r="G395" s="3" t="s">
        <v>1386</v>
      </c>
      <c r="H395" s="6">
        <v>1.30953</v>
      </c>
      <c r="I395" s="6">
        <v>0.59</v>
      </c>
      <c r="J395" s="6">
        <v>1.94</v>
      </c>
      <c r="K395" s="6">
        <v>13.5</v>
      </c>
      <c r="L395" s="6">
        <v>0.15</v>
      </c>
      <c r="M395" s="6"/>
      <c r="N395" s="6">
        <f>0.47*(137.327/(137.327+96.06))</f>
      </c>
      <c r="O395" s="23"/>
      <c r="P395" s="6"/>
      <c r="Q395" s="6"/>
      <c r="R395" s="31"/>
      <c r="S395" s="6"/>
      <c r="T395" s="31"/>
      <c r="U395" s="6"/>
      <c r="V395" s="23"/>
      <c r="W395" s="6"/>
      <c r="X395" s="6"/>
      <c r="Y395" s="6">
        <v>0.11</v>
      </c>
      <c r="Z395" s="3" t="s">
        <v>932</v>
      </c>
      <c r="AA395" s="6">
        <f>H395*I395/100</f>
      </c>
      <c r="AB395" s="6">
        <f>H395*J395/100</f>
      </c>
      <c r="AC395" s="7">
        <f>H395*K395</f>
      </c>
      <c r="AD395" s="7">
        <f>H395*M395</f>
      </c>
      <c r="AE395" s="6">
        <f>H395*L395/100</f>
      </c>
      <c r="AF395" s="6">
        <f>AA395+AB395+AE395</f>
      </c>
      <c r="AG395" s="6">
        <f>I395+J395+L395</f>
      </c>
      <c r="AH395" s="53">
        <f>$H395*I395</f>
      </c>
      <c r="AI395" s="53">
        <f>$H395*J395</f>
      </c>
      <c r="AJ395" s="53">
        <f>$H395*K395</f>
      </c>
      <c r="AK395" s="53">
        <f>$H395*L395</f>
      </c>
      <c r="AL395" s="53">
        <f>$H395*M395</f>
      </c>
      <c r="AM395" s="3"/>
      <c r="AN395" s="5"/>
      <c r="AO395" s="5"/>
      <c r="AP395" s="5"/>
      <c r="AQ395" s="3"/>
    </row>
    <row x14ac:dyDescent="0.25" r="396" customHeight="1" ht="12.75">
      <c r="A396" s="5" t="s">
        <v>12</v>
      </c>
      <c r="B396" s="3" t="s">
        <v>1100</v>
      </c>
      <c r="C396" s="3" t="s">
        <v>1011</v>
      </c>
      <c r="D396" s="3" t="s">
        <v>1012</v>
      </c>
      <c r="E396" s="38" t="s">
        <v>859</v>
      </c>
      <c r="F396" s="3" t="s">
        <v>1397</v>
      </c>
      <c r="G396" s="3" t="s">
        <v>1367</v>
      </c>
      <c r="H396" s="23">
        <v>0.019958</v>
      </c>
      <c r="I396" s="6">
        <v>26.7</v>
      </c>
      <c r="J396" s="6">
        <v>7.3</v>
      </c>
      <c r="K396" s="5">
        <v>1027.4</v>
      </c>
      <c r="L396" s="6"/>
      <c r="M396" s="6"/>
      <c r="N396" s="7"/>
      <c r="O396" s="23"/>
      <c r="P396" s="6"/>
      <c r="Q396" s="6"/>
      <c r="R396" s="31"/>
      <c r="S396" s="6"/>
      <c r="T396" s="31"/>
      <c r="U396" s="6"/>
      <c r="V396" s="23"/>
      <c r="W396" s="6"/>
      <c r="X396" s="6"/>
      <c r="Y396" s="5"/>
      <c r="Z396" s="3"/>
      <c r="AA396" s="6">
        <f>H396*I396/100</f>
      </c>
      <c r="AB396" s="6">
        <f>H396*J396/100</f>
      </c>
      <c r="AC396" s="7">
        <f>H396*K396</f>
      </c>
      <c r="AD396" s="7">
        <f>H396*M396</f>
      </c>
      <c r="AE396" s="6">
        <f>H396*L396/100</f>
      </c>
      <c r="AF396" s="6">
        <f>AA396+AB396+AE396</f>
      </c>
      <c r="AG396" s="6">
        <f>I396+J396+L396</f>
      </c>
      <c r="AH396" s="53">
        <f>$H396*I396</f>
      </c>
      <c r="AI396" s="53">
        <f>$H396*J396</f>
      </c>
      <c r="AJ396" s="53">
        <f>$H396*K396</f>
      </c>
      <c r="AK396" s="53">
        <f>$H396*L396</f>
      </c>
      <c r="AL396" s="53">
        <f>$H396*M396</f>
      </c>
      <c r="AM396" s="3"/>
      <c r="AN396" s="5"/>
      <c r="AO396" s="5"/>
      <c r="AP396" s="5"/>
      <c r="AQ396" s="3"/>
    </row>
    <row x14ac:dyDescent="0.25" r="397" customHeight="1" ht="12.75">
      <c r="A397" s="5" t="s">
        <v>495</v>
      </c>
      <c r="B397" s="3" t="s">
        <v>1100</v>
      </c>
      <c r="C397" s="3" t="s">
        <v>866</v>
      </c>
      <c r="D397" s="3" t="s">
        <v>988</v>
      </c>
      <c r="E397" s="38" t="s">
        <v>859</v>
      </c>
      <c r="F397" s="3" t="s">
        <v>1171</v>
      </c>
      <c r="G397" s="3" t="s">
        <v>1367</v>
      </c>
      <c r="H397" s="6">
        <v>7.1</v>
      </c>
      <c r="I397" s="6">
        <v>3.4</v>
      </c>
      <c r="J397" s="6">
        <v>4.3</v>
      </c>
      <c r="K397" s="5">
        <v>48</v>
      </c>
      <c r="L397" s="6"/>
      <c r="M397" s="6">
        <v>0.75</v>
      </c>
      <c r="N397" s="7"/>
      <c r="O397" s="23"/>
      <c r="P397" s="6"/>
      <c r="Q397" s="6"/>
      <c r="R397" s="31"/>
      <c r="S397" s="6"/>
      <c r="T397" s="31"/>
      <c r="U397" s="6"/>
      <c r="V397" s="23"/>
      <c r="W397" s="6"/>
      <c r="X397" s="6"/>
      <c r="Y397" s="5"/>
      <c r="Z397" s="3"/>
      <c r="AA397" s="6">
        <f>H397*I397/100</f>
      </c>
      <c r="AB397" s="6">
        <f>H397*J397/100</f>
      </c>
      <c r="AC397" s="7">
        <f>H397*K397</f>
      </c>
      <c r="AD397" s="7">
        <f>H397*M397</f>
      </c>
      <c r="AE397" s="6">
        <f>H397*L397/100</f>
      </c>
      <c r="AF397" s="6">
        <f>AA397+AB397+AE397</f>
      </c>
      <c r="AG397" s="6">
        <f>I397+J397+L397</f>
      </c>
      <c r="AH397" s="53">
        <f>$H397*I397</f>
      </c>
      <c r="AI397" s="53">
        <f>$H397*J397</f>
      </c>
      <c r="AJ397" s="53">
        <f>$H397*K397</f>
      </c>
      <c r="AK397" s="53">
        <f>$H397*L397</f>
      </c>
      <c r="AL397" s="53">
        <f>$H397*M397</f>
      </c>
      <c r="AM397" s="3"/>
      <c r="AN397" s="5"/>
      <c r="AO397" s="5"/>
      <c r="AP397" s="5"/>
      <c r="AQ397" s="3"/>
    </row>
    <row x14ac:dyDescent="0.25" r="398" customHeight="1" ht="12.75">
      <c r="A398" s="5" t="s">
        <v>463</v>
      </c>
      <c r="B398" s="3" t="s">
        <v>1100</v>
      </c>
      <c r="C398" s="3" t="s">
        <v>870</v>
      </c>
      <c r="D398" s="3"/>
      <c r="E398" s="3" t="s">
        <v>855</v>
      </c>
      <c r="F398" s="3" t="s">
        <v>1340</v>
      </c>
      <c r="G398" s="3" t="s">
        <v>1330</v>
      </c>
      <c r="H398" s="23">
        <f>0.559506+0.116048</f>
      </c>
      <c r="I398" s="6"/>
      <c r="J398" s="6">
        <f>(8.11*0.559506+4.55*0.116048)/$H398</f>
      </c>
      <c r="K398" s="7">
        <f>(62.18*0.559506+40.78*0.116048)/$H398</f>
      </c>
      <c r="L398" s="6">
        <f>(0.52*0.559506+0.49*0.116048)/$H398</f>
      </c>
      <c r="M398" s="6">
        <f>(1.18*0.559506+0.73*0.116048)/$H398</f>
      </c>
      <c r="N398" s="7"/>
      <c r="O398" s="23"/>
      <c r="P398" s="6"/>
      <c r="Q398" s="6"/>
      <c r="R398" s="31"/>
      <c r="S398" s="6"/>
      <c r="T398" s="31"/>
      <c r="U398" s="6"/>
      <c r="V398" s="23"/>
      <c r="W398" s="6"/>
      <c r="X398" s="6"/>
      <c r="Y398" s="5"/>
      <c r="Z398" s="3"/>
      <c r="AA398" s="6">
        <f>H398*I398/100</f>
      </c>
      <c r="AB398" s="6">
        <f>H398*J398/100</f>
      </c>
      <c r="AC398" s="7">
        <f>H398*K398</f>
      </c>
      <c r="AD398" s="7">
        <f>H398*M398</f>
      </c>
      <c r="AE398" s="6">
        <f>H398*L398/100</f>
      </c>
      <c r="AF398" s="6">
        <f>AA398+AB398+AE398</f>
      </c>
      <c r="AG398" s="6">
        <f>I398+J398+L398</f>
      </c>
      <c r="AH398" s="53">
        <f>$H398*I398</f>
      </c>
      <c r="AI398" s="53">
        <f>$H398*J398</f>
      </c>
      <c r="AJ398" s="53">
        <f>$H398*K398</f>
      </c>
      <c r="AK398" s="53">
        <f>$H398*L398</f>
      </c>
      <c r="AL398" s="53">
        <f>$H398*M398</f>
      </c>
      <c r="AM398" s="3"/>
      <c r="AN398" s="5"/>
      <c r="AO398" s="5"/>
      <c r="AP398" s="5"/>
      <c r="AQ398" s="3"/>
    </row>
    <row x14ac:dyDescent="0.25" r="399" customHeight="1" ht="12.75">
      <c r="A399" s="5" t="s">
        <v>145</v>
      </c>
      <c r="B399" s="3" t="s">
        <v>1100</v>
      </c>
      <c r="C399" s="3" t="s">
        <v>856</v>
      </c>
      <c r="D399" s="3"/>
      <c r="E399" s="38" t="s">
        <v>859</v>
      </c>
      <c r="F399" s="3" t="s">
        <v>1397</v>
      </c>
      <c r="G399" s="3" t="s">
        <v>1367</v>
      </c>
      <c r="H399" s="23">
        <v>0.352659</v>
      </c>
      <c r="I399" s="6">
        <v>3.18</v>
      </c>
      <c r="J399" s="6">
        <v>3.47</v>
      </c>
      <c r="K399" s="7">
        <v>606.16</v>
      </c>
      <c r="L399" s="6"/>
      <c r="M399" s="6"/>
      <c r="N399" s="7"/>
      <c r="O399" s="23"/>
      <c r="P399" s="6"/>
      <c r="Q399" s="6"/>
      <c r="R399" s="31"/>
      <c r="S399" s="6"/>
      <c r="T399" s="31"/>
      <c r="U399" s="6"/>
      <c r="V399" s="23"/>
      <c r="W399" s="6"/>
      <c r="X399" s="6"/>
      <c r="Y399" s="5"/>
      <c r="Z399" s="3"/>
      <c r="AA399" s="6">
        <f>H399*I399/100</f>
      </c>
      <c r="AB399" s="6">
        <f>H399*J399/100</f>
      </c>
      <c r="AC399" s="7">
        <f>H399*K399</f>
      </c>
      <c r="AD399" s="7">
        <f>H399*M399</f>
      </c>
      <c r="AE399" s="6">
        <f>H399*L399/100</f>
      </c>
      <c r="AF399" s="6">
        <f>AA399+AB399+AE399</f>
      </c>
      <c r="AG399" s="6">
        <f>I399+J399+L399</f>
      </c>
      <c r="AH399" s="53">
        <f>$H399*I399</f>
      </c>
      <c r="AI399" s="53">
        <f>$H399*J399</f>
      </c>
      <c r="AJ399" s="53">
        <f>$H399*K399</f>
      </c>
      <c r="AK399" s="53">
        <f>$H399*L399</f>
      </c>
      <c r="AL399" s="53">
        <f>$H399*M399</f>
      </c>
      <c r="AM399" s="3"/>
      <c r="AN399" s="5"/>
      <c r="AO399" s="5"/>
      <c r="AP399" s="5"/>
      <c r="AQ399" s="3"/>
    </row>
    <row x14ac:dyDescent="0.25" r="400" customHeight="1" ht="12.75">
      <c r="A400" s="5" t="s">
        <v>469</v>
      </c>
      <c r="B400" s="3" t="s">
        <v>1100</v>
      </c>
      <c r="C400" s="3" t="s">
        <v>866</v>
      </c>
      <c r="D400" s="3" t="s">
        <v>988</v>
      </c>
      <c r="E400" s="3" t="s">
        <v>855</v>
      </c>
      <c r="F400" s="3" t="s">
        <v>1180</v>
      </c>
      <c r="G400" s="3" t="s">
        <v>1181</v>
      </c>
      <c r="H400" s="6">
        <f>2.8+0.4</f>
      </c>
      <c r="I400" s="6">
        <f>(1.16*2.8+1.3*0.4)/$H400</f>
      </c>
      <c r="J400" s="6">
        <f>(4.22*2.8+5.3*0.4)/$H400</f>
      </c>
      <c r="K400" s="7">
        <f>(52.6*2.8+56*0.4)/$H400</f>
      </c>
      <c r="L400" s="6">
        <f>(1.34*2.8+1.1*0.4)/$H400</f>
      </c>
      <c r="M400" s="6">
        <f>(0.91*2.8+1.1*0.4)/$H400</f>
      </c>
      <c r="N400" s="7"/>
      <c r="O400" s="23"/>
      <c r="P400" s="6"/>
      <c r="Q400" s="6"/>
      <c r="R400" s="31"/>
      <c r="S400" s="6"/>
      <c r="T400" s="31"/>
      <c r="U400" s="6"/>
      <c r="V400" s="23"/>
      <c r="W400" s="6"/>
      <c r="X400" s="6"/>
      <c r="Y400" s="5"/>
      <c r="Z400" s="3"/>
      <c r="AA400" s="6">
        <f>H400*I400/100</f>
      </c>
      <c r="AB400" s="6">
        <f>H400*J400/100</f>
      </c>
      <c r="AC400" s="7">
        <f>H400*K400</f>
      </c>
      <c r="AD400" s="7">
        <f>H400*M400</f>
      </c>
      <c r="AE400" s="6">
        <f>H400*L400/100</f>
      </c>
      <c r="AF400" s="6">
        <f>AA400+AB400+AE400</f>
      </c>
      <c r="AG400" s="6">
        <f>I400+J400+L400</f>
      </c>
      <c r="AH400" s="53">
        <f>$H400*I400</f>
      </c>
      <c r="AI400" s="53">
        <f>$H400*J400</f>
      </c>
      <c r="AJ400" s="53">
        <f>$H400*K400</f>
      </c>
      <c r="AK400" s="53">
        <f>$H400*L400</f>
      </c>
      <c r="AL400" s="53">
        <f>$H400*M400</f>
      </c>
      <c r="AM400" s="3"/>
      <c r="AN400" s="5"/>
      <c r="AO400" s="5"/>
      <c r="AP400" s="5"/>
      <c r="AQ400" s="3"/>
    </row>
    <row x14ac:dyDescent="0.25" r="401" customHeight="1" ht="12.75">
      <c r="A401" s="5" t="s">
        <v>561</v>
      </c>
      <c r="B401" s="3" t="s">
        <v>1100</v>
      </c>
      <c r="C401" s="3" t="s">
        <v>856</v>
      </c>
      <c r="D401" s="3"/>
      <c r="E401" s="38" t="s">
        <v>859</v>
      </c>
      <c r="F401" s="3" t="s">
        <v>1497</v>
      </c>
      <c r="G401" s="3" t="s">
        <v>1415</v>
      </c>
      <c r="H401" s="6">
        <v>1.3</v>
      </c>
      <c r="I401" s="6">
        <v>3.12</v>
      </c>
      <c r="J401" s="6">
        <v>3.12</v>
      </c>
      <c r="K401" s="6">
        <v>36.3</v>
      </c>
      <c r="L401" s="6">
        <v>0.11</v>
      </c>
      <c r="M401" s="6">
        <v>2.2</v>
      </c>
      <c r="N401" s="7"/>
      <c r="O401" s="23"/>
      <c r="P401" s="6"/>
      <c r="Q401" s="6"/>
      <c r="R401" s="31"/>
      <c r="S401" s="6"/>
      <c r="T401" s="31"/>
      <c r="U401" s="6"/>
      <c r="V401" s="23"/>
      <c r="W401" s="6"/>
      <c r="X401" s="6"/>
      <c r="Y401" s="5"/>
      <c r="Z401" s="3"/>
      <c r="AA401" s="6">
        <f>H401*I401/100</f>
      </c>
      <c r="AB401" s="6">
        <f>H401*J401/100</f>
      </c>
      <c r="AC401" s="7">
        <f>H401*K401</f>
      </c>
      <c r="AD401" s="7">
        <f>H401*M401</f>
      </c>
      <c r="AE401" s="6">
        <f>H401*L401/100</f>
      </c>
      <c r="AF401" s="6">
        <f>AA401+AB401+AE401</f>
      </c>
      <c r="AG401" s="6">
        <f>I401+J401+L401</f>
      </c>
      <c r="AH401" s="53">
        <f>$H401*I401</f>
      </c>
      <c r="AI401" s="53">
        <f>$H401*J401</f>
      </c>
      <c r="AJ401" s="53">
        <f>$H401*K401</f>
      </c>
      <c r="AK401" s="53">
        <f>$H401*L401</f>
      </c>
      <c r="AL401" s="53">
        <f>$H401*M401</f>
      </c>
      <c r="AM401" s="3"/>
      <c r="AN401" s="5"/>
      <c r="AO401" s="5"/>
      <c r="AP401" s="5"/>
      <c r="AQ401" s="3"/>
    </row>
    <row x14ac:dyDescent="0.25" r="402" customHeight="1" ht="12.75">
      <c r="A402" s="5" t="s">
        <v>6</v>
      </c>
      <c r="B402" s="3" t="s">
        <v>1100</v>
      </c>
      <c r="C402" s="3" t="s">
        <v>856</v>
      </c>
      <c r="D402" s="3"/>
      <c r="E402" s="38" t="s">
        <v>859</v>
      </c>
      <c r="F402" s="3" t="s">
        <v>1171</v>
      </c>
      <c r="G402" s="3" t="s">
        <v>1342</v>
      </c>
      <c r="H402" s="6">
        <v>0.02</v>
      </c>
      <c r="I402" s="6">
        <v>4.4</v>
      </c>
      <c r="J402" s="6">
        <v>2.2</v>
      </c>
      <c r="K402" s="5">
        <v>2948.4</v>
      </c>
      <c r="L402" s="6"/>
      <c r="M402" s="6">
        <v>1.19</v>
      </c>
      <c r="N402" s="7"/>
      <c r="O402" s="23"/>
      <c r="P402" s="6"/>
      <c r="Q402" s="6"/>
      <c r="R402" s="31"/>
      <c r="S402" s="6"/>
      <c r="T402" s="31"/>
      <c r="U402" s="6"/>
      <c r="V402" s="23"/>
      <c r="W402" s="6"/>
      <c r="X402" s="6"/>
      <c r="Y402" s="5"/>
      <c r="Z402" s="3"/>
      <c r="AA402" s="6">
        <f>H402*I402/100</f>
      </c>
      <c r="AB402" s="6">
        <f>H402*J402/100</f>
      </c>
      <c r="AC402" s="7">
        <f>H402*K402</f>
      </c>
      <c r="AD402" s="7">
        <f>H402*M402</f>
      </c>
      <c r="AE402" s="6">
        <f>H402*L402/100</f>
      </c>
      <c r="AF402" s="6">
        <f>AA402+AB402+AE402</f>
      </c>
      <c r="AG402" s="6">
        <f>I402+J402+L402</f>
      </c>
      <c r="AH402" s="53">
        <f>$H402*I402</f>
      </c>
      <c r="AI402" s="53">
        <f>$H402*J402</f>
      </c>
      <c r="AJ402" s="53">
        <f>$H402*K402</f>
      </c>
      <c r="AK402" s="53">
        <f>$H402*L402</f>
      </c>
      <c r="AL402" s="53">
        <f>$H402*M402</f>
      </c>
      <c r="AM402" s="3"/>
      <c r="AN402" s="5"/>
      <c r="AO402" s="5"/>
      <c r="AP402" s="5"/>
      <c r="AQ402" s="3"/>
    </row>
    <row x14ac:dyDescent="0.25" r="403" customHeight="1" ht="12.75">
      <c r="A403" s="5" t="s">
        <v>624</v>
      </c>
      <c r="B403" s="3" t="s">
        <v>1100</v>
      </c>
      <c r="C403" s="3" t="s">
        <v>866</v>
      </c>
      <c r="D403" s="3" t="s">
        <v>988</v>
      </c>
      <c r="E403" s="38" t="s">
        <v>859</v>
      </c>
      <c r="F403" s="3" t="s">
        <v>1171</v>
      </c>
      <c r="G403" s="3" t="s">
        <v>1498</v>
      </c>
      <c r="H403" s="23">
        <v>0.5</v>
      </c>
      <c r="I403" s="6">
        <v>2.7</v>
      </c>
      <c r="J403" s="6">
        <v>3.5</v>
      </c>
      <c r="K403" s="5"/>
      <c r="L403" s="6"/>
      <c r="M403" s="6"/>
      <c r="N403" s="7"/>
      <c r="O403" s="23"/>
      <c r="P403" s="6"/>
      <c r="Q403" s="6"/>
      <c r="R403" s="31"/>
      <c r="S403" s="6"/>
      <c r="T403" s="31"/>
      <c r="U403" s="6"/>
      <c r="V403" s="23"/>
      <c r="W403" s="6"/>
      <c r="X403" s="6"/>
      <c r="Y403" s="5"/>
      <c r="Z403" s="3"/>
      <c r="AA403" s="6">
        <f>H403*I403/100</f>
      </c>
      <c r="AB403" s="6">
        <f>H403*J403/100</f>
      </c>
      <c r="AC403" s="7">
        <f>H403*K403</f>
      </c>
      <c r="AD403" s="7">
        <f>H403*M403</f>
      </c>
      <c r="AE403" s="6">
        <f>H403*L403/100</f>
      </c>
      <c r="AF403" s="6">
        <f>AA403+AB403+AE403</f>
      </c>
      <c r="AG403" s="6">
        <f>I403+J403+L403</f>
      </c>
      <c r="AH403" s="53">
        <f>$H403*I403</f>
      </c>
      <c r="AI403" s="53">
        <f>$H403*J403</f>
      </c>
      <c r="AJ403" s="53">
        <f>$H403*K403</f>
      </c>
      <c r="AK403" s="53">
        <f>$H403*L403</f>
      </c>
      <c r="AL403" s="53">
        <f>$H403*M403</f>
      </c>
      <c r="AM403" s="3"/>
      <c r="AN403" s="5"/>
      <c r="AO403" s="5"/>
      <c r="AP403" s="5"/>
      <c r="AQ403" s="3"/>
    </row>
    <row x14ac:dyDescent="0.25" r="404" customHeight="1" ht="12.75">
      <c r="A404" s="5" t="s">
        <v>444</v>
      </c>
      <c r="B404" s="3" t="s">
        <v>1100</v>
      </c>
      <c r="C404" s="3" t="s">
        <v>870</v>
      </c>
      <c r="D404" s="3"/>
      <c r="E404" s="38" t="s">
        <v>859</v>
      </c>
      <c r="F404" s="3" t="s">
        <v>1499</v>
      </c>
      <c r="G404" s="3" t="s">
        <v>1415</v>
      </c>
      <c r="H404" s="6">
        <f>0.53+0.6</f>
      </c>
      <c r="I404" s="6"/>
      <c r="J404" s="7">
        <f>(0.4*0.53+0.2*0.6)/$H404</f>
      </c>
      <c r="K404" s="7">
        <f>(9.2*0.53+30*0.6)/$H404</f>
      </c>
      <c r="L404" s="7">
        <f>(3.4*0.53+3.3*0.6)/$H404</f>
      </c>
      <c r="M404" s="7">
        <f>(1.4*0.53+0.3*0.6)/$H404</f>
      </c>
      <c r="N404" s="7"/>
      <c r="O404" s="23"/>
      <c r="P404" s="6"/>
      <c r="Q404" s="6"/>
      <c r="R404" s="31"/>
      <c r="S404" s="6"/>
      <c r="T404" s="31"/>
      <c r="U404" s="6"/>
      <c r="V404" s="23"/>
      <c r="W404" s="6"/>
      <c r="X404" s="6"/>
      <c r="Y404" s="5"/>
      <c r="Z404" s="3"/>
      <c r="AA404" s="6">
        <f>H404*I404/100</f>
      </c>
      <c r="AB404" s="6">
        <f>H404*J404/100</f>
      </c>
      <c r="AC404" s="7">
        <f>H404*K404</f>
      </c>
      <c r="AD404" s="7">
        <f>H404*M404</f>
      </c>
      <c r="AE404" s="6">
        <f>H404*L404/100</f>
      </c>
      <c r="AF404" s="6">
        <f>AA404+AB404+AE404</f>
      </c>
      <c r="AG404" s="6">
        <f>I404+J404+L404</f>
      </c>
      <c r="AH404" s="53">
        <f>$H404*I404</f>
      </c>
      <c r="AI404" s="53">
        <f>$H404*J404</f>
      </c>
      <c r="AJ404" s="53">
        <f>$H404*K404</f>
      </c>
      <c r="AK404" s="53">
        <f>$H404*L404</f>
      </c>
      <c r="AL404" s="53">
        <f>$H404*M404</f>
      </c>
      <c r="AM404" s="3"/>
      <c r="AN404" s="5"/>
      <c r="AO404" s="5"/>
      <c r="AP404" s="5"/>
      <c r="AQ404" s="3"/>
    </row>
    <row x14ac:dyDescent="0.25" r="405" customHeight="1" ht="12.75">
      <c r="A405" s="5" t="s">
        <v>643</v>
      </c>
      <c r="B405" s="3" t="s">
        <v>1100</v>
      </c>
      <c r="C405" s="3" t="s">
        <v>870</v>
      </c>
      <c r="D405" s="3"/>
      <c r="E405" s="3" t="s">
        <v>855</v>
      </c>
      <c r="F405" s="3" t="s">
        <v>1408</v>
      </c>
      <c r="G405" s="3" t="s">
        <v>1409</v>
      </c>
      <c r="H405" s="6">
        <f>2.777+0.446</f>
      </c>
      <c r="I405" s="6"/>
      <c r="J405" s="6">
        <f>(0.3*2.777+0.43*0.446)/$H405</f>
      </c>
      <c r="K405" s="6">
        <f>(7.53*2.777+5.06*0.446)/$H405</f>
      </c>
      <c r="L405" s="6">
        <f>(1.94*2.777+1.12*0.446)/$H405</f>
      </c>
      <c r="M405" s="6">
        <f>(1.88*2.777+2.11*0.446)/$H405</f>
      </c>
      <c r="N405" s="7"/>
      <c r="O405" s="23"/>
      <c r="P405" s="6"/>
      <c r="Q405" s="6"/>
      <c r="R405" s="31"/>
      <c r="S405" s="6"/>
      <c r="T405" s="31"/>
      <c r="U405" s="6"/>
      <c r="V405" s="23"/>
      <c r="W405" s="6"/>
      <c r="X405" s="6"/>
      <c r="Y405" s="5"/>
      <c r="Z405" s="3"/>
      <c r="AA405" s="6">
        <f>H405*I405/100</f>
      </c>
      <c r="AB405" s="6">
        <f>H405*J405/100</f>
      </c>
      <c r="AC405" s="7">
        <f>H405*K405</f>
      </c>
      <c r="AD405" s="7">
        <f>H405*M405</f>
      </c>
      <c r="AE405" s="6">
        <f>H405*L405/100</f>
      </c>
      <c r="AF405" s="6">
        <f>AA405+AB405+AE405</f>
      </c>
      <c r="AG405" s="6">
        <f>I405+J405+L405</f>
      </c>
      <c r="AH405" s="53">
        <f>$H405*I405</f>
      </c>
      <c r="AI405" s="53">
        <f>$H405*J405</f>
      </c>
      <c r="AJ405" s="53">
        <f>$H405*K405</f>
      </c>
      <c r="AK405" s="53">
        <f>$H405*L405</f>
      </c>
      <c r="AL405" s="53">
        <f>$H405*M405</f>
      </c>
      <c r="AM405" s="3"/>
      <c r="AN405" s="5"/>
      <c r="AO405" s="5"/>
      <c r="AP405" s="5"/>
      <c r="AQ405" s="3"/>
    </row>
    <row x14ac:dyDescent="0.25" r="406" customHeight="1" ht="12.75">
      <c r="A406" s="5" t="s">
        <v>468</v>
      </c>
      <c r="B406" s="3" t="s">
        <v>1100</v>
      </c>
      <c r="C406" s="3" t="s">
        <v>870</v>
      </c>
      <c r="D406" s="3"/>
      <c r="E406" s="38" t="s">
        <v>859</v>
      </c>
      <c r="F406" s="3" t="s">
        <v>1385</v>
      </c>
      <c r="G406" s="3" t="s">
        <v>1367</v>
      </c>
      <c r="H406" s="6">
        <v>4.1</v>
      </c>
      <c r="I406" s="6">
        <v>1.8</v>
      </c>
      <c r="J406" s="6">
        <v>6.2</v>
      </c>
      <c r="K406" s="5">
        <v>84</v>
      </c>
      <c r="L406" s="6"/>
      <c r="M406" s="6"/>
      <c r="N406" s="7"/>
      <c r="O406" s="23"/>
      <c r="P406" s="6"/>
      <c r="Q406" s="6"/>
      <c r="R406" s="31"/>
      <c r="S406" s="6"/>
      <c r="T406" s="31"/>
      <c r="U406" s="6"/>
      <c r="V406" s="23"/>
      <c r="W406" s="6"/>
      <c r="X406" s="6"/>
      <c r="Y406" s="5"/>
      <c r="Z406" s="3"/>
      <c r="AA406" s="6">
        <f>H406*I406/100</f>
      </c>
      <c r="AB406" s="6">
        <f>H406*J406/100</f>
      </c>
      <c r="AC406" s="7">
        <f>H406*K406</f>
      </c>
      <c r="AD406" s="7">
        <f>H406*M406</f>
      </c>
      <c r="AE406" s="6">
        <f>H406*L406/100</f>
      </c>
      <c r="AF406" s="6">
        <f>AA406+AB406+AE406</f>
      </c>
      <c r="AG406" s="6">
        <f>I406+J406+L406</f>
      </c>
      <c r="AH406" s="53">
        <f>$H406*I406</f>
      </c>
      <c r="AI406" s="53">
        <f>$H406*J406</f>
      </c>
      <c r="AJ406" s="53">
        <f>$H406*K406</f>
      </c>
      <c r="AK406" s="53">
        <f>$H406*L406</f>
      </c>
      <c r="AL406" s="53">
        <f>$H406*M406</f>
      </c>
      <c r="AM406" s="3"/>
      <c r="AN406" s="5"/>
      <c r="AO406" s="5"/>
      <c r="AP406" s="5"/>
      <c r="AQ406" s="3"/>
    </row>
    <row x14ac:dyDescent="0.25" r="407" customHeight="1" ht="12.75">
      <c r="A407" s="5" t="s">
        <v>60</v>
      </c>
      <c r="B407" s="3" t="s">
        <v>1100</v>
      </c>
      <c r="C407" s="3" t="s">
        <v>870</v>
      </c>
      <c r="D407" s="3"/>
      <c r="E407" s="3" t="s">
        <v>855</v>
      </c>
      <c r="F407" s="3" t="s">
        <v>1437</v>
      </c>
      <c r="G407" s="3" t="s">
        <v>1500</v>
      </c>
      <c r="H407" s="6">
        <f>0.493+3.968+1.693</f>
      </c>
      <c r="I407" s="6">
        <f>(1.48*0.493+1.58*3.968+1.74*1.693)/$H407</f>
      </c>
      <c r="J407" s="6">
        <f>(12.44*0.493+12.1*3.968+12.16*1.693)/$H407</f>
      </c>
      <c r="K407" s="7">
        <f>(298.8*0.493+361.8*3.968+385.4*1.693)/$H407</f>
      </c>
      <c r="L407" s="6">
        <f>(1.18*0.493+1.16*3.968+1.23*1.693)/$H407</f>
      </c>
      <c r="M407" s="6">
        <f>(1.5*0.493+1.72*3.968+1.71*1.693)/$H407</f>
      </c>
      <c r="N407" s="7"/>
      <c r="O407" s="23"/>
      <c r="P407" s="6"/>
      <c r="Q407" s="6"/>
      <c r="R407" s="31"/>
      <c r="S407" s="6"/>
      <c r="T407" s="31"/>
      <c r="U407" s="6"/>
      <c r="V407" s="23"/>
      <c r="W407" s="6"/>
      <c r="X407" s="6"/>
      <c r="Y407" s="5"/>
      <c r="Z407" s="3"/>
      <c r="AA407" s="6">
        <f>H407*I407/100</f>
      </c>
      <c r="AB407" s="6">
        <f>H407*J407/100</f>
      </c>
      <c r="AC407" s="7">
        <f>H407*K407</f>
      </c>
      <c r="AD407" s="7">
        <f>H407*M407</f>
      </c>
      <c r="AE407" s="6">
        <f>H407*L407/100</f>
      </c>
      <c r="AF407" s="6">
        <f>AA407+AB407+AE407</f>
      </c>
      <c r="AG407" s="6">
        <f>I407+J407+L407</f>
      </c>
      <c r="AH407" s="53">
        <f>$H407*I407</f>
      </c>
      <c r="AI407" s="53">
        <f>$H407*J407</f>
      </c>
      <c r="AJ407" s="53">
        <f>$H407*K407</f>
      </c>
      <c r="AK407" s="53">
        <f>$H407*L407</f>
      </c>
      <c r="AL407" s="53">
        <f>$H407*M407</f>
      </c>
      <c r="AM407" s="3"/>
      <c r="AN407" s="5"/>
      <c r="AO407" s="5"/>
      <c r="AP407" s="5"/>
      <c r="AQ407" s="3"/>
    </row>
    <row x14ac:dyDescent="0.25" r="408" customHeight="1" ht="12.75">
      <c r="A408" s="5" t="s">
        <v>565</v>
      </c>
      <c r="B408" s="3" t="s">
        <v>1100</v>
      </c>
      <c r="C408" s="3" t="s">
        <v>866</v>
      </c>
      <c r="D408" s="3" t="s">
        <v>989</v>
      </c>
      <c r="E408" s="3" t="s">
        <v>855</v>
      </c>
      <c r="F408" s="3" t="s">
        <v>1501</v>
      </c>
      <c r="G408" s="3" t="s">
        <v>1463</v>
      </c>
      <c r="H408" s="6">
        <f>0.495+0.667+0.394+2.442+4.408+2.208+0.21</f>
      </c>
      <c r="I408" s="6">
        <f>(1.24*0.495+1.26*0.667+1.2*0.394+1.32*2.442+1.14*4.408+1.07*2.208+0.36*0.21)/$H408</f>
      </c>
      <c r="J408" s="6">
        <f>(7.47*0.495+3.22*0.667+3.43*0.394+7.2*2.442+3.01*4.408+2.76*2.208+3.72*0.21)/$H408</f>
      </c>
      <c r="K408" s="7">
        <f>(8.2*0.495+9.81*0.667+4.63*0.394+8.07*2.442+9.04*4.408+4.16*2.208+2.89*0.21)/$H408</f>
      </c>
      <c r="L408" s="6"/>
      <c r="M408" s="6"/>
      <c r="N408" s="7"/>
      <c r="O408" s="23"/>
      <c r="P408" s="6"/>
      <c r="Q408" s="6"/>
      <c r="R408" s="31"/>
      <c r="S408" s="6"/>
      <c r="T408" s="31"/>
      <c r="U408" s="6"/>
      <c r="V408" s="23"/>
      <c r="W408" s="6"/>
      <c r="X408" s="6"/>
      <c r="Y408" s="5"/>
      <c r="Z408" s="3"/>
      <c r="AA408" s="6">
        <f>H408*I408/100</f>
      </c>
      <c r="AB408" s="6">
        <f>H408*J408/100</f>
      </c>
      <c r="AC408" s="7">
        <f>H408*K408</f>
      </c>
      <c r="AD408" s="7">
        <f>H408*M408</f>
      </c>
      <c r="AE408" s="6">
        <f>H408*L408/100</f>
      </c>
      <c r="AF408" s="6">
        <f>AA408+AB408+AE408</f>
      </c>
      <c r="AG408" s="6">
        <f>I408+J408+L408</f>
      </c>
      <c r="AH408" s="53">
        <f>$H408*I408</f>
      </c>
      <c r="AI408" s="53">
        <f>$H408*J408</f>
      </c>
      <c r="AJ408" s="53">
        <f>$H408*K408</f>
      </c>
      <c r="AK408" s="53">
        <f>$H408*L408</f>
      </c>
      <c r="AL408" s="53">
        <f>$H408*M408</f>
      </c>
      <c r="AM408" s="3"/>
      <c r="AN408" s="5"/>
      <c r="AO408" s="5"/>
      <c r="AP408" s="5"/>
      <c r="AQ408" s="3"/>
    </row>
    <row x14ac:dyDescent="0.25" r="409" customHeight="1" ht="12.75">
      <c r="A409" s="5" t="s">
        <v>429</v>
      </c>
      <c r="B409" s="3" t="s">
        <v>1100</v>
      </c>
      <c r="C409" s="3" t="s">
        <v>1081</v>
      </c>
      <c r="D409" s="3"/>
      <c r="E409" s="38" t="s">
        <v>859</v>
      </c>
      <c r="F409" s="3" t="s">
        <v>1502</v>
      </c>
      <c r="G409" s="3" t="s">
        <v>1465</v>
      </c>
      <c r="H409" s="6">
        <v>1.3</v>
      </c>
      <c r="I409" s="6">
        <v>1.6</v>
      </c>
      <c r="J409" s="6">
        <v>4.96</v>
      </c>
      <c r="K409" s="31">
        <f>3.42*31.1/0.9072</f>
      </c>
      <c r="L409" s="6">
        <v>1.03</v>
      </c>
      <c r="M409" s="6">
        <f>0.008*31.1/0.9072</f>
      </c>
      <c r="N409" s="7"/>
      <c r="O409" s="23"/>
      <c r="P409" s="6"/>
      <c r="Q409" s="6"/>
      <c r="R409" s="31"/>
      <c r="S409" s="6"/>
      <c r="T409" s="31"/>
      <c r="U409" s="6"/>
      <c r="V409" s="23"/>
      <c r="W409" s="6"/>
      <c r="X409" s="6"/>
      <c r="Y409" s="5"/>
      <c r="Z409" s="3"/>
      <c r="AA409" s="6">
        <f>H409*I409/100</f>
      </c>
      <c r="AB409" s="6">
        <f>H409*J409/100</f>
      </c>
      <c r="AC409" s="7">
        <f>H409*K409</f>
      </c>
      <c r="AD409" s="7">
        <f>H409*M409</f>
      </c>
      <c r="AE409" s="6">
        <f>H409*L409/100</f>
      </c>
      <c r="AF409" s="6">
        <f>AA409+AB409+AE409</f>
      </c>
      <c r="AG409" s="6">
        <f>I409+J409+L409</f>
      </c>
      <c r="AH409" s="53">
        <f>$H409*I409</f>
      </c>
      <c r="AI409" s="53">
        <f>$H409*J409</f>
      </c>
      <c r="AJ409" s="53">
        <f>$H409*K409</f>
      </c>
      <c r="AK409" s="53">
        <f>$H409*L409</f>
      </c>
      <c r="AL409" s="53">
        <f>$H409*M409</f>
      </c>
      <c r="AM409" s="3"/>
      <c r="AN409" s="5"/>
      <c r="AO409" s="5"/>
      <c r="AP409" s="5"/>
      <c r="AQ409" s="3"/>
    </row>
    <row x14ac:dyDescent="0.25" r="410" customHeight="1" ht="12.75">
      <c r="A410" s="5" t="s">
        <v>787</v>
      </c>
      <c r="B410" s="3" t="s">
        <v>1101</v>
      </c>
      <c r="C410" s="3" t="s">
        <v>856</v>
      </c>
      <c r="D410" s="3" t="s">
        <v>928</v>
      </c>
      <c r="E410" s="3" t="s">
        <v>855</v>
      </c>
      <c r="F410" s="3" t="s">
        <v>1503</v>
      </c>
      <c r="G410" s="3" t="s">
        <v>1504</v>
      </c>
      <c r="H410" s="6">
        <f>5.5+0.15+0.45+0.37</f>
      </c>
      <c r="I410" s="6"/>
      <c r="J410" s="6">
        <f>(0.21*5.5+0.51*0.15+0.13*0.45+0.34*0.37)/$H410</f>
      </c>
      <c r="K410" s="31">
        <f>(99*5.5+188*0.15+61*0.45+180*0.37)/$H410</f>
      </c>
      <c r="L410" s="6"/>
      <c r="M410" s="6">
        <f>(0.13*5.5+0.21*0.15+0.07*0.45+0.19*0.37)/$H410</f>
      </c>
      <c r="N410" s="7"/>
      <c r="O410" s="23"/>
      <c r="P410" s="6"/>
      <c r="Q410" s="6"/>
      <c r="R410" s="31"/>
      <c r="S410" s="6"/>
      <c r="T410" s="31"/>
      <c r="U410" s="6"/>
      <c r="V410" s="23"/>
      <c r="W410" s="6"/>
      <c r="X410" s="6"/>
      <c r="Y410" s="5"/>
      <c r="Z410" s="3"/>
      <c r="AA410" s="6">
        <f>H410*I410/100</f>
      </c>
      <c r="AB410" s="6">
        <f>H410*J410/100</f>
      </c>
      <c r="AC410" s="7">
        <f>H410*K410</f>
      </c>
      <c r="AD410" s="7">
        <f>H410*M410</f>
      </c>
      <c r="AE410" s="6">
        <f>H410*L410/100</f>
      </c>
      <c r="AF410" s="6">
        <f>AA410+AB410+AE410</f>
      </c>
      <c r="AG410" s="6">
        <f>I410+J410+L410</f>
      </c>
      <c r="AH410" s="53">
        <f>$H410*I410</f>
      </c>
      <c r="AI410" s="53">
        <f>$H410*J410</f>
      </c>
      <c r="AJ410" s="53">
        <f>$H410*K410</f>
      </c>
      <c r="AK410" s="53">
        <f>$H410*L410</f>
      </c>
      <c r="AL410" s="53">
        <f>$H410*M410</f>
      </c>
      <c r="AM410" s="3"/>
      <c r="AN410" s="5"/>
      <c r="AO410" s="5"/>
      <c r="AP410" s="5"/>
      <c r="AQ410" s="3"/>
    </row>
    <row x14ac:dyDescent="0.25" r="411" customHeight="1" ht="12.75">
      <c r="A411" s="5" t="s">
        <v>535</v>
      </c>
      <c r="B411" s="3" t="s">
        <v>1101</v>
      </c>
      <c r="C411" s="3" t="s">
        <v>862</v>
      </c>
      <c r="D411" s="3" t="s">
        <v>969</v>
      </c>
      <c r="E411" s="3" t="s">
        <v>855</v>
      </c>
      <c r="F411" s="3" t="s">
        <v>1432</v>
      </c>
      <c r="G411" s="3" t="s">
        <v>1181</v>
      </c>
      <c r="H411" s="6">
        <f>1.99+5.52+3.69</f>
      </c>
      <c r="I411" s="6">
        <f>(0.28*1.99+0.38*5.52+0.41*3.69)/$H411</f>
      </c>
      <c r="J411" s="6">
        <f>(6.64*1.99+5.51*5.52+4.26*3.69)/$H411</f>
      </c>
      <c r="K411" s="7">
        <f>(12.32*1.99+11.62*5.52+17.38*3.69)/$H411</f>
      </c>
      <c r="L411" s="6"/>
      <c r="M411" s="6">
        <f>(2.45*1.99+0.98*5.52+0.74*3.69)/$H411</f>
      </c>
      <c r="N411" s="7"/>
      <c r="O411" s="23"/>
      <c r="P411" s="6"/>
      <c r="Q411" s="6"/>
      <c r="R411" s="31"/>
      <c r="S411" s="6"/>
      <c r="T411" s="31"/>
      <c r="U411" s="6"/>
      <c r="V411" s="23"/>
      <c r="W411" s="6"/>
      <c r="X411" s="6"/>
      <c r="Y411" s="5"/>
      <c r="Z411" s="3"/>
      <c r="AA411" s="6">
        <f>H411*I411/100</f>
      </c>
      <c r="AB411" s="6">
        <f>H411*J411/100</f>
      </c>
      <c r="AC411" s="7">
        <f>H411*K411</f>
      </c>
      <c r="AD411" s="7">
        <f>H411*M411</f>
      </c>
      <c r="AE411" s="6">
        <f>H411*L411/100</f>
      </c>
      <c r="AF411" s="6">
        <f>AA411+AB411+AE411</f>
      </c>
      <c r="AG411" s="6">
        <f>I411+J411+L411</f>
      </c>
      <c r="AH411" s="53">
        <f>$H411*I411</f>
      </c>
      <c r="AI411" s="53">
        <f>$H411*J411</f>
      </c>
      <c r="AJ411" s="53">
        <f>$H411*K411</f>
      </c>
      <c r="AK411" s="53">
        <f>$H411*L411</f>
      </c>
      <c r="AL411" s="53">
        <f>$H411*M411</f>
      </c>
      <c r="AM411" s="3"/>
      <c r="AN411" s="5"/>
      <c r="AO411" s="5"/>
      <c r="AP411" s="5"/>
      <c r="AQ411" s="3"/>
    </row>
    <row x14ac:dyDescent="0.25" r="412" customHeight="1" ht="12.75">
      <c r="A412" s="5" t="s">
        <v>458</v>
      </c>
      <c r="B412" s="3" t="s">
        <v>1101</v>
      </c>
      <c r="C412" s="3" t="s">
        <v>856</v>
      </c>
      <c r="D412" s="3" t="s">
        <v>929</v>
      </c>
      <c r="E412" s="3" t="s">
        <v>855</v>
      </c>
      <c r="F412" s="3" t="s">
        <v>1505</v>
      </c>
      <c r="G412" s="3" t="s">
        <v>1204</v>
      </c>
      <c r="H412" s="6">
        <f>1.905+2.48+5.008</f>
      </c>
      <c r="I412" s="6"/>
      <c r="J412" s="6">
        <f>(1.63*1.905+1.74*2.48+1.62*5.008)/$H412</f>
      </c>
      <c r="K412" s="7">
        <f>(38.6*1.905+26.2*2.48+37.4*5.008)/$H412</f>
      </c>
      <c r="L412" s="6"/>
      <c r="M412" s="6">
        <f>(5.97*1.905+4.92*2.48+5.63*5.008)/$H412</f>
      </c>
      <c r="N412" s="7"/>
      <c r="O412" s="23"/>
      <c r="P412" s="6"/>
      <c r="Q412" s="6"/>
      <c r="R412" s="31"/>
      <c r="S412" s="6"/>
      <c r="T412" s="31"/>
      <c r="U412" s="6"/>
      <c r="V412" s="23"/>
      <c r="W412" s="6"/>
      <c r="X412" s="6"/>
      <c r="Y412" s="5"/>
      <c r="Z412" s="3"/>
      <c r="AA412" s="6">
        <f>H412*I412/100</f>
      </c>
      <c r="AB412" s="6">
        <f>H412*J412/100</f>
      </c>
      <c r="AC412" s="7">
        <f>H412*K412</f>
      </c>
      <c r="AD412" s="7">
        <f>H412*M412</f>
      </c>
      <c r="AE412" s="6">
        <f>H412*L412/100</f>
      </c>
      <c r="AF412" s="6">
        <f>AA412+AB412+AE412</f>
      </c>
      <c r="AG412" s="6">
        <f>I412+J412+L412</f>
      </c>
      <c r="AH412" s="53">
        <f>$H412*I412</f>
      </c>
      <c r="AI412" s="53">
        <f>$H412*J412</f>
      </c>
      <c r="AJ412" s="53">
        <f>$H412*K412</f>
      </c>
      <c r="AK412" s="53">
        <f>$H412*L412</f>
      </c>
      <c r="AL412" s="53">
        <f>$H412*M412</f>
      </c>
      <c r="AM412" s="3"/>
      <c r="AN412" s="5"/>
      <c r="AO412" s="5"/>
      <c r="AP412" s="5"/>
      <c r="AQ412" s="3"/>
    </row>
    <row x14ac:dyDescent="0.25" r="413" customHeight="1" ht="12.75">
      <c r="A413" s="5" t="s">
        <v>654</v>
      </c>
      <c r="B413" s="3" t="s">
        <v>1101</v>
      </c>
      <c r="C413" s="3" t="s">
        <v>856</v>
      </c>
      <c r="D413" s="3" t="s">
        <v>928</v>
      </c>
      <c r="E413" s="3" t="s">
        <v>855</v>
      </c>
      <c r="F413" s="3" t="s">
        <v>1506</v>
      </c>
      <c r="G413" s="3" t="s">
        <v>1415</v>
      </c>
      <c r="H413" s="6">
        <f>4.53+1.07</f>
      </c>
      <c r="I413" s="7">
        <f>(1.3*4.53+2.4*1.07)/$H413</f>
      </c>
      <c r="J413" s="7">
        <f>(3.7*4.53+7.2*1.07)/$H413</f>
      </c>
      <c r="K413" s="31">
        <f>(83*4.53+136*1.07)/$H413</f>
      </c>
      <c r="L413" s="6"/>
      <c r="M413" s="7">
        <f>(0.2*4.53+0.3*1.07)/$H413</f>
      </c>
      <c r="N413" s="7"/>
      <c r="O413" s="23"/>
      <c r="P413" s="6"/>
      <c r="Q413" s="6"/>
      <c r="R413" s="31"/>
      <c r="S413" s="6"/>
      <c r="T413" s="31"/>
      <c r="U413" s="6"/>
      <c r="V413" s="23"/>
      <c r="W413" s="6"/>
      <c r="X413" s="6"/>
      <c r="Y413" s="5"/>
      <c r="Z413" s="3"/>
      <c r="AA413" s="6">
        <f>H413*I413/100</f>
      </c>
      <c r="AB413" s="6">
        <f>H413*J413/100</f>
      </c>
      <c r="AC413" s="7">
        <f>H413*K413</f>
      </c>
      <c r="AD413" s="7">
        <f>H413*M413</f>
      </c>
      <c r="AE413" s="6">
        <f>H413*L413/100</f>
      </c>
      <c r="AF413" s="6">
        <f>AA413+AB413+AE413</f>
      </c>
      <c r="AG413" s="6">
        <f>I413+J413+L413</f>
      </c>
      <c r="AH413" s="53">
        <f>$H413*I413</f>
      </c>
      <c r="AI413" s="53">
        <f>$H413*J413</f>
      </c>
      <c r="AJ413" s="53">
        <f>$H413*K413</f>
      </c>
      <c r="AK413" s="53">
        <f>$H413*L413</f>
      </c>
      <c r="AL413" s="53">
        <f>$H413*M413</f>
      </c>
      <c r="AM413" s="3"/>
      <c r="AN413" s="5"/>
      <c r="AO413" s="5"/>
      <c r="AP413" s="5"/>
      <c r="AQ413" s="3"/>
    </row>
    <row x14ac:dyDescent="0.25" r="414" customHeight="1" ht="12.75">
      <c r="A414" s="5" t="s">
        <v>640</v>
      </c>
      <c r="B414" s="3" t="s">
        <v>1101</v>
      </c>
      <c r="C414" s="3" t="s">
        <v>865</v>
      </c>
      <c r="D414" s="3" t="s">
        <v>1507</v>
      </c>
      <c r="E414" s="3" t="s">
        <v>855</v>
      </c>
      <c r="F414" s="3" t="s">
        <v>1508</v>
      </c>
      <c r="G414" s="3" t="s">
        <v>1509</v>
      </c>
      <c r="H414" s="23">
        <f>12.687399+15.203376</f>
      </c>
      <c r="I414" s="6">
        <f>(0.25*12.687399+0.22*15.203376)/H414</f>
      </c>
      <c r="J414" s="6">
        <f>(0.85*12.687399+0.76*15.203376)/H414</f>
      </c>
      <c r="K414" s="6">
        <f>(8.34*12.687399+8.23*15.203376)/H414</f>
      </c>
      <c r="L414" s="6">
        <f>(0.07*12.687399+0.08*15.203376)/H414</f>
      </c>
      <c r="M414" s="6">
        <f>(0.56*12.687399+0.51*15.203376)/H414</f>
      </c>
      <c r="N414" s="7"/>
      <c r="O414" s="23"/>
      <c r="P414" s="6"/>
      <c r="Q414" s="6"/>
      <c r="R414" s="31"/>
      <c r="S414" s="6"/>
      <c r="T414" s="31"/>
      <c r="U414" s="6"/>
      <c r="V414" s="23"/>
      <c r="W414" s="6"/>
      <c r="X414" s="6"/>
      <c r="Y414" s="5"/>
      <c r="Z414" s="3"/>
      <c r="AA414" s="6">
        <f>H414*I414/100</f>
      </c>
      <c r="AB414" s="6">
        <f>H414*J414/100</f>
      </c>
      <c r="AC414" s="7">
        <f>H414*K414</f>
      </c>
      <c r="AD414" s="7">
        <f>H414*M414</f>
      </c>
      <c r="AE414" s="6">
        <f>H414*L414/100</f>
      </c>
      <c r="AF414" s="6">
        <f>AA414+AB414+AE414</f>
      </c>
      <c r="AG414" s="6">
        <f>I414+J414+L414</f>
      </c>
      <c r="AH414" s="53">
        <f>$H414*I414</f>
      </c>
      <c r="AI414" s="53">
        <f>$H414*J414</f>
      </c>
      <c r="AJ414" s="53">
        <f>$H414*K414</f>
      </c>
      <c r="AK414" s="53">
        <f>$H414*L414</f>
      </c>
      <c r="AL414" s="53">
        <f>$H414*M414</f>
      </c>
      <c r="AM414" s="3"/>
      <c r="AN414" s="5"/>
      <c r="AO414" s="5"/>
      <c r="AP414" s="5"/>
      <c r="AQ414" s="3"/>
    </row>
    <row x14ac:dyDescent="0.25" r="415" customHeight="1" ht="12.75">
      <c r="A415" s="5" t="s">
        <v>532</v>
      </c>
      <c r="B415" s="3" t="s">
        <v>1102</v>
      </c>
      <c r="C415" s="3" t="s">
        <v>856</v>
      </c>
      <c r="D415" s="3"/>
      <c r="E415" s="38" t="s">
        <v>859</v>
      </c>
      <c r="F415" s="3" t="s">
        <v>1510</v>
      </c>
      <c r="G415" s="3" t="s">
        <v>1511</v>
      </c>
      <c r="H415" s="6">
        <v>11.4</v>
      </c>
      <c r="I415" s="6">
        <v>2.3</v>
      </c>
      <c r="J415" s="6">
        <v>3.3</v>
      </c>
      <c r="K415" s="5"/>
      <c r="L415" s="6"/>
      <c r="M415" s="6"/>
      <c r="N415" s="7"/>
      <c r="O415" s="23"/>
      <c r="P415" s="6"/>
      <c r="Q415" s="6"/>
      <c r="R415" s="31"/>
      <c r="S415" s="6"/>
      <c r="T415" s="31"/>
      <c r="U415" s="6"/>
      <c r="V415" s="23"/>
      <c r="W415" s="6"/>
      <c r="X415" s="6"/>
      <c r="Y415" s="5"/>
      <c r="Z415" s="3"/>
      <c r="AA415" s="6">
        <f>H415*I415/100</f>
      </c>
      <c r="AB415" s="6">
        <f>H415*J415/100</f>
      </c>
      <c r="AC415" s="7">
        <f>H415*K415</f>
      </c>
      <c r="AD415" s="7">
        <f>H415*M415</f>
      </c>
      <c r="AE415" s="6">
        <f>H415*L415/100</f>
      </c>
      <c r="AF415" s="6">
        <f>AA415+AB415+AE415</f>
      </c>
      <c r="AG415" s="6">
        <f>I415+J415+L415</f>
      </c>
      <c r="AH415" s="53">
        <f>$H415*I415</f>
      </c>
      <c r="AI415" s="53">
        <f>$H415*J415</f>
      </c>
      <c r="AJ415" s="53">
        <f>$H415*K415</f>
      </c>
      <c r="AK415" s="53">
        <f>$H415*L415</f>
      </c>
      <c r="AL415" s="53">
        <f>$H415*M415</f>
      </c>
      <c r="AM415" s="3"/>
      <c r="AN415" s="5"/>
      <c r="AO415" s="5"/>
      <c r="AP415" s="5"/>
      <c r="AQ415" s="3"/>
    </row>
    <row x14ac:dyDescent="0.25" r="416" customHeight="1" ht="12.75">
      <c r="A416" s="5" t="s">
        <v>406</v>
      </c>
      <c r="B416" s="3" t="s">
        <v>1102</v>
      </c>
      <c r="C416" s="3" t="s">
        <v>869</v>
      </c>
      <c r="D416" s="3"/>
      <c r="E416" s="38" t="s">
        <v>859</v>
      </c>
      <c r="F416" s="3" t="s">
        <v>1512</v>
      </c>
      <c r="G416" s="3" t="s">
        <v>1513</v>
      </c>
      <c r="H416" s="6">
        <v>14.21</v>
      </c>
      <c r="I416" s="6">
        <v>1.97</v>
      </c>
      <c r="J416" s="6">
        <v>5.53</v>
      </c>
      <c r="K416" s="7">
        <f>464/14.21</f>
      </c>
      <c r="L416" s="6"/>
      <c r="M416" s="6"/>
      <c r="N416" s="7"/>
      <c r="O416" s="23"/>
      <c r="P416" s="6"/>
      <c r="Q416" s="6"/>
      <c r="R416" s="31"/>
      <c r="S416" s="23"/>
      <c r="T416" s="31"/>
      <c r="U416" s="6"/>
      <c r="V416" s="23"/>
      <c r="W416" s="6"/>
      <c r="X416" s="6"/>
      <c r="Y416" s="23">
        <f>100*4122/14210000</f>
      </c>
      <c r="Z416" s="3" t="s">
        <v>932</v>
      </c>
      <c r="AA416" s="6">
        <f>H416*I416/100</f>
      </c>
      <c r="AB416" s="6">
        <f>H416*J416/100</f>
      </c>
      <c r="AC416" s="7">
        <f>H416*K416</f>
      </c>
      <c r="AD416" s="7">
        <f>H416*M416</f>
      </c>
      <c r="AE416" s="6">
        <f>H416*L416/100</f>
      </c>
      <c r="AF416" s="6">
        <f>AA416+AB416+AE416</f>
      </c>
      <c r="AG416" s="6">
        <f>I416+J416+L416</f>
      </c>
      <c r="AH416" s="53">
        <f>$H416*I416</f>
      </c>
      <c r="AI416" s="53">
        <f>$H416*J416</f>
      </c>
      <c r="AJ416" s="53">
        <f>$H416*K416</f>
      </c>
      <c r="AK416" s="53">
        <f>$H416*L416</f>
      </c>
      <c r="AL416" s="53">
        <f>$H416*M416</f>
      </c>
      <c r="AM416" s="3"/>
      <c r="AN416" s="5"/>
      <c r="AO416" s="5"/>
      <c r="AP416" s="5"/>
      <c r="AQ416" s="3"/>
    </row>
    <row x14ac:dyDescent="0.25" r="417" customHeight="1" ht="12.75">
      <c r="A417" s="5" t="s">
        <v>218</v>
      </c>
      <c r="B417" s="3" t="s">
        <v>1102</v>
      </c>
      <c r="C417" s="3" t="s">
        <v>869</v>
      </c>
      <c r="D417" s="3"/>
      <c r="E417" s="38" t="s">
        <v>859</v>
      </c>
      <c r="F417" s="3" t="s">
        <v>1514</v>
      </c>
      <c r="G417" s="3" t="s">
        <v>1515</v>
      </c>
      <c r="H417" s="6">
        <v>77.1</v>
      </c>
      <c r="I417" s="6">
        <v>2.01</v>
      </c>
      <c r="J417" s="6">
        <f>(1.38*38.4)/H417</f>
      </c>
      <c r="K417" s="31">
        <f>(44.82*172.8)/H417</f>
      </c>
      <c r="L417" s="6"/>
      <c r="M417" s="6"/>
      <c r="N417" s="7"/>
      <c r="O417" s="23"/>
      <c r="P417" s="6"/>
      <c r="Q417" s="6"/>
      <c r="R417" s="31"/>
      <c r="S417" s="6"/>
      <c r="T417" s="31"/>
      <c r="U417" s="6"/>
      <c r="V417" s="23"/>
      <c r="W417" s="6"/>
      <c r="X417" s="6"/>
      <c r="Y417" s="5"/>
      <c r="Z417" s="3"/>
      <c r="AA417" s="6">
        <f>H417*I417/100</f>
      </c>
      <c r="AB417" s="6">
        <f>H417*J417/100</f>
      </c>
      <c r="AC417" s="7">
        <f>H417*K417</f>
      </c>
      <c r="AD417" s="7">
        <f>H417*M417</f>
      </c>
      <c r="AE417" s="6">
        <f>H417*L417/100</f>
      </c>
      <c r="AF417" s="6">
        <f>AA417+AB417+AE417</f>
      </c>
      <c r="AG417" s="6">
        <f>I417+J417+L417</f>
      </c>
      <c r="AH417" s="53">
        <f>$H417*I417</f>
      </c>
      <c r="AI417" s="53">
        <f>$H417*J417</f>
      </c>
      <c r="AJ417" s="53">
        <f>$H417*K417</f>
      </c>
      <c r="AK417" s="53">
        <f>$H417*L417</f>
      </c>
      <c r="AL417" s="53">
        <f>$H417*M417</f>
      </c>
      <c r="AM417" s="3"/>
      <c r="AN417" s="5"/>
      <c r="AO417" s="5"/>
      <c r="AP417" s="5"/>
      <c r="AQ417" s="3"/>
    </row>
    <row x14ac:dyDescent="0.25" r="418" customHeight="1" ht="12.75">
      <c r="A418" s="5" t="s">
        <v>467</v>
      </c>
      <c r="B418" s="3" t="s">
        <v>1102</v>
      </c>
      <c r="C418" s="3" t="s">
        <v>866</v>
      </c>
      <c r="D418" s="3" t="s">
        <v>989</v>
      </c>
      <c r="E418" s="3" t="s">
        <v>855</v>
      </c>
      <c r="F418" s="3" t="s">
        <v>1516</v>
      </c>
      <c r="G418" s="3" t="s">
        <v>1463</v>
      </c>
      <c r="H418" s="6">
        <f>19.85+12.27</f>
      </c>
      <c r="I418" s="6">
        <f>(0.69*19.85+0.65*12.27)/$H418</f>
      </c>
      <c r="J418" s="6">
        <f>(1.56*19.85+2.18*12.27)/$H418</f>
      </c>
      <c r="K418" s="5"/>
      <c r="L418" s="6"/>
      <c r="M418" s="6"/>
      <c r="N418" s="7"/>
      <c r="O418" s="23"/>
      <c r="P418" s="6"/>
      <c r="Q418" s="6"/>
      <c r="R418" s="31"/>
      <c r="S418" s="6"/>
      <c r="T418" s="31"/>
      <c r="U418" s="6"/>
      <c r="V418" s="23"/>
      <c r="W418" s="6"/>
      <c r="X418" s="6"/>
      <c r="Y418" s="5"/>
      <c r="Z418" s="3"/>
      <c r="AA418" s="6">
        <f>H418*I418/100</f>
      </c>
      <c r="AB418" s="6">
        <f>H418*J418/100</f>
      </c>
      <c r="AC418" s="7">
        <f>H418*K418</f>
      </c>
      <c r="AD418" s="7">
        <f>H418*M418</f>
      </c>
      <c r="AE418" s="6">
        <f>H418*L418/100</f>
      </c>
      <c r="AF418" s="6">
        <f>AA418+AB418+AE418</f>
      </c>
      <c r="AG418" s="6">
        <f>I418+J418+L418</f>
      </c>
      <c r="AH418" s="53">
        <f>$H418*I418</f>
      </c>
      <c r="AI418" s="53">
        <f>$H418*J418</f>
      </c>
      <c r="AJ418" s="53">
        <f>$H418*K418</f>
      </c>
      <c r="AK418" s="53">
        <f>$H418*L418</f>
      </c>
      <c r="AL418" s="53">
        <f>$H418*M418</f>
      </c>
      <c r="AM418" s="3"/>
      <c r="AN418" s="5"/>
      <c r="AO418" s="5"/>
      <c r="AP418" s="5"/>
      <c r="AQ418" s="3"/>
    </row>
    <row x14ac:dyDescent="0.25" r="419" customHeight="1" ht="12.75">
      <c r="A419" s="5" t="s">
        <v>242</v>
      </c>
      <c r="B419" s="3" t="s">
        <v>1102</v>
      </c>
      <c r="C419" s="3" t="s">
        <v>869</v>
      </c>
      <c r="D419" s="3"/>
      <c r="E419" s="3" t="s">
        <v>855</v>
      </c>
      <c r="F419" s="3" t="s">
        <v>1517</v>
      </c>
      <c r="G419" s="3" t="s">
        <v>1204</v>
      </c>
      <c r="H419" s="6">
        <v>49.4</v>
      </c>
      <c r="I419" s="6">
        <v>0.4</v>
      </c>
      <c r="J419" s="6">
        <v>4.1</v>
      </c>
      <c r="K419" s="6">
        <v>23.9</v>
      </c>
      <c r="L419" s="6"/>
      <c r="M419" s="6">
        <v>0.5</v>
      </c>
      <c r="N419" s="7"/>
      <c r="O419" s="23"/>
      <c r="P419" s="6"/>
      <c r="Q419" s="6"/>
      <c r="R419" s="31"/>
      <c r="S419" s="6"/>
      <c r="T419" s="31"/>
      <c r="U419" s="6"/>
      <c r="V419" s="23"/>
      <c r="W419" s="6"/>
      <c r="X419" s="6"/>
      <c r="Y419" s="5"/>
      <c r="Z419" s="3"/>
      <c r="AA419" s="6">
        <f>H419*I419/100</f>
      </c>
      <c r="AB419" s="6">
        <f>H419*J419/100</f>
      </c>
      <c r="AC419" s="7">
        <f>H419*K419</f>
      </c>
      <c r="AD419" s="7">
        <f>H419*M419</f>
      </c>
      <c r="AE419" s="6">
        <f>H419*L419/100</f>
      </c>
      <c r="AF419" s="6">
        <f>AA419+AB419+AE419</f>
      </c>
      <c r="AG419" s="6">
        <f>I419+J419+L419</f>
      </c>
      <c r="AH419" s="53">
        <f>$H419*I419</f>
      </c>
      <c r="AI419" s="53">
        <f>$H419*J419</f>
      </c>
      <c r="AJ419" s="53">
        <f>$H419*K419</f>
      </c>
      <c r="AK419" s="53">
        <f>$H419*L419</f>
      </c>
      <c r="AL419" s="53">
        <f>$H419*M419</f>
      </c>
      <c r="AM419" s="3"/>
      <c r="AN419" s="5"/>
      <c r="AO419" s="5"/>
      <c r="AP419" s="5"/>
      <c r="AQ419" s="3"/>
    </row>
    <row x14ac:dyDescent="0.25" r="420" customHeight="1" ht="12.75">
      <c r="A420" s="5" t="s">
        <v>173</v>
      </c>
      <c r="B420" s="3" t="s">
        <v>1102</v>
      </c>
      <c r="C420" s="3" t="s">
        <v>866</v>
      </c>
      <c r="D420" s="3" t="s">
        <v>988</v>
      </c>
      <c r="E420" s="38" t="s">
        <v>859</v>
      </c>
      <c r="F420" s="3" t="s">
        <v>1518</v>
      </c>
      <c r="G420" s="3" t="s">
        <v>1519</v>
      </c>
      <c r="H420" s="6">
        <v>13.5</v>
      </c>
      <c r="I420" s="5">
        <v>2</v>
      </c>
      <c r="J420" s="5">
        <v>11</v>
      </c>
      <c r="K420" s="5"/>
      <c r="L420" s="6"/>
      <c r="M420" s="6"/>
      <c r="N420" s="7"/>
      <c r="O420" s="23"/>
      <c r="P420" s="6"/>
      <c r="Q420" s="6"/>
      <c r="R420" s="31"/>
      <c r="S420" s="6"/>
      <c r="T420" s="31"/>
      <c r="U420" s="6"/>
      <c r="V420" s="23"/>
      <c r="W420" s="6"/>
      <c r="X420" s="6"/>
      <c r="Y420" s="5"/>
      <c r="Z420" s="3"/>
      <c r="AA420" s="6">
        <f>H420*I420/100</f>
      </c>
      <c r="AB420" s="6">
        <f>H420*J420/100</f>
      </c>
      <c r="AC420" s="7">
        <f>H420*K420</f>
      </c>
      <c r="AD420" s="7">
        <f>H420*M420</f>
      </c>
      <c r="AE420" s="6">
        <f>H420*L420/100</f>
      </c>
      <c r="AF420" s="6">
        <f>AA420+AB420+AE420</f>
      </c>
      <c r="AG420" s="6">
        <f>I420+J420+L420</f>
      </c>
      <c r="AH420" s="53">
        <f>$H420*I420</f>
      </c>
      <c r="AI420" s="53">
        <f>$H420*J420</f>
      </c>
      <c r="AJ420" s="53">
        <f>$H420*K420</f>
      </c>
      <c r="AK420" s="53">
        <f>$H420*L420</f>
      </c>
      <c r="AL420" s="53">
        <f>$H420*M420</f>
      </c>
      <c r="AM420" s="3"/>
      <c r="AN420" s="5"/>
      <c r="AO420" s="5"/>
      <c r="AP420" s="5"/>
      <c r="AQ420" s="3"/>
    </row>
    <row x14ac:dyDescent="0.25" r="421" customHeight="1" ht="12.75">
      <c r="A421" s="5" t="s">
        <v>486</v>
      </c>
      <c r="B421" s="3" t="s">
        <v>1102</v>
      </c>
      <c r="C421" s="3" t="s">
        <v>869</v>
      </c>
      <c r="D421" s="3"/>
      <c r="E421" s="3" t="s">
        <v>855</v>
      </c>
      <c r="F421" s="3" t="s">
        <v>1520</v>
      </c>
      <c r="G421" s="3" t="s">
        <v>1204</v>
      </c>
      <c r="H421" s="23">
        <f>226700/0.052/1000000</f>
      </c>
      <c r="I421" s="6">
        <v>2.69</v>
      </c>
      <c r="J421" s="6">
        <v>5.2</v>
      </c>
      <c r="K421" s="6">
        <v>54.16</v>
      </c>
      <c r="L421" s="6"/>
      <c r="M421" s="6"/>
      <c r="N421" s="7"/>
      <c r="O421" s="23"/>
      <c r="P421" s="6"/>
      <c r="Q421" s="6"/>
      <c r="R421" s="31"/>
      <c r="S421" s="6"/>
      <c r="T421" s="31"/>
      <c r="U421" s="6"/>
      <c r="V421" s="23"/>
      <c r="W421" s="6"/>
      <c r="X421" s="6"/>
      <c r="Y421" s="5"/>
      <c r="Z421" s="3"/>
      <c r="AA421" s="6">
        <f>H421*I421/100</f>
      </c>
      <c r="AB421" s="6">
        <f>H421*J421/100</f>
      </c>
      <c r="AC421" s="7">
        <f>H421*K421</f>
      </c>
      <c r="AD421" s="7">
        <f>H421*M421</f>
      </c>
      <c r="AE421" s="6">
        <f>H421*L421/100</f>
      </c>
      <c r="AF421" s="6">
        <f>AA421+AB421+AE421</f>
      </c>
      <c r="AG421" s="6">
        <f>I421+J421+L421</f>
      </c>
      <c r="AH421" s="53">
        <f>$H421*I421</f>
      </c>
      <c r="AI421" s="53">
        <f>$H421*J421</f>
      </c>
      <c r="AJ421" s="53">
        <f>$H421*K421</f>
      </c>
      <c r="AK421" s="53">
        <f>$H421*L421</f>
      </c>
      <c r="AL421" s="53">
        <f>$H421*M421</f>
      </c>
      <c r="AM421" s="3"/>
      <c r="AN421" s="5"/>
      <c r="AO421" s="5"/>
      <c r="AP421" s="5"/>
      <c r="AQ421" s="3"/>
    </row>
    <row x14ac:dyDescent="0.25" r="422" customHeight="1" ht="12.75">
      <c r="A422" s="5" t="s">
        <v>425</v>
      </c>
      <c r="B422" s="3" t="s">
        <v>1102</v>
      </c>
      <c r="C422" s="3" t="s">
        <v>856</v>
      </c>
      <c r="D422" s="3" t="s">
        <v>929</v>
      </c>
      <c r="E422" s="3" t="s">
        <v>855</v>
      </c>
      <c r="F422" s="3" t="s">
        <v>1439</v>
      </c>
      <c r="G422" s="3" t="s">
        <v>1185</v>
      </c>
      <c r="H422" s="23">
        <f>13.948+2.027+10.241+1.049</f>
      </c>
      <c r="I422" s="6">
        <f>(0.2*13.948+0.2*2.027+0.26*10.241+0.37*1.049)/H422</f>
      </c>
      <c r="J422" s="6">
        <f>(0.56*13.948+0.61*2.027+0.72*10.241+0.86*1.049)/H422</f>
      </c>
      <c r="K422" s="31">
        <f>(188*13.948+142*2.027+171*10.241+212*1.049)/H422</f>
      </c>
      <c r="L422" s="6"/>
      <c r="M422" s="6">
        <f>(0.17*13.948+0.4*2.027+0.26*10.241+0.29*1.049)/H422</f>
      </c>
      <c r="N422" s="7"/>
      <c r="O422" s="23"/>
      <c r="P422" s="6"/>
      <c r="Q422" s="6"/>
      <c r="R422" s="31"/>
      <c r="S422" s="6"/>
      <c r="T422" s="31"/>
      <c r="U422" s="6"/>
      <c r="V422" s="23"/>
      <c r="W422" s="6"/>
      <c r="X422" s="6"/>
      <c r="Y422" s="5"/>
      <c r="Z422" s="3"/>
      <c r="AA422" s="6">
        <f>H422*I422/100</f>
      </c>
      <c r="AB422" s="6">
        <f>H422*J422/100</f>
      </c>
      <c r="AC422" s="7">
        <f>H422*K422</f>
      </c>
      <c r="AD422" s="7">
        <f>H422*M422</f>
      </c>
      <c r="AE422" s="6">
        <f>H422*L422/100</f>
      </c>
      <c r="AF422" s="6">
        <f>AA422+AB422+AE422</f>
      </c>
      <c r="AG422" s="6">
        <f>I422+J422+L422</f>
      </c>
      <c r="AH422" s="53">
        <f>$H422*I422</f>
      </c>
      <c r="AI422" s="53">
        <f>$H422*J422</f>
      </c>
      <c r="AJ422" s="53">
        <f>$H422*K422</f>
      </c>
      <c r="AK422" s="53">
        <f>$H422*L422</f>
      </c>
      <c r="AL422" s="53">
        <f>$H422*M422</f>
      </c>
      <c r="AM422" s="3"/>
      <c r="AN422" s="5"/>
      <c r="AO422" s="5"/>
      <c r="AP422" s="5"/>
      <c r="AQ422" s="3"/>
    </row>
    <row x14ac:dyDescent="0.25" r="423" customHeight="1" ht="12.75">
      <c r="A423" s="5" t="s">
        <v>197</v>
      </c>
      <c r="B423" s="3" t="s">
        <v>1102</v>
      </c>
      <c r="C423" s="3" t="s">
        <v>869</v>
      </c>
      <c r="D423" s="3"/>
      <c r="E423" s="38" t="s">
        <v>859</v>
      </c>
      <c r="F423" s="3" t="s">
        <v>1171</v>
      </c>
      <c r="G423" s="3" t="s">
        <v>1521</v>
      </c>
      <c r="H423" s="6">
        <v>22.43</v>
      </c>
      <c r="I423" s="6">
        <v>3.6</v>
      </c>
      <c r="J423" s="6">
        <v>8</v>
      </c>
      <c r="K423" s="5"/>
      <c r="L423" s="6"/>
      <c r="M423" s="6"/>
      <c r="N423" s="7"/>
      <c r="O423" s="23"/>
      <c r="P423" s="6"/>
      <c r="Q423" s="6"/>
      <c r="R423" s="31"/>
      <c r="S423" s="6"/>
      <c r="T423" s="31"/>
      <c r="U423" s="6"/>
      <c r="V423" s="23"/>
      <c r="W423" s="6"/>
      <c r="X423" s="6"/>
      <c r="Y423" s="5"/>
      <c r="Z423" s="3"/>
      <c r="AA423" s="6">
        <f>H423*I423/100</f>
      </c>
      <c r="AB423" s="6">
        <f>H423*J423/100</f>
      </c>
      <c r="AC423" s="7">
        <f>H423*K423</f>
      </c>
      <c r="AD423" s="7">
        <f>H423*M423</f>
      </c>
      <c r="AE423" s="6">
        <f>H423*L423/100</f>
      </c>
      <c r="AF423" s="6">
        <f>AA423+AB423+AE423</f>
      </c>
      <c r="AG423" s="6">
        <f>I423+J423+L423</f>
      </c>
      <c r="AH423" s="53">
        <f>$H423*I423</f>
      </c>
      <c r="AI423" s="53">
        <f>$H423*J423</f>
      </c>
      <c r="AJ423" s="53">
        <f>$H423*K423</f>
      </c>
      <c r="AK423" s="53">
        <f>$H423*L423</f>
      </c>
      <c r="AL423" s="53">
        <f>$H423*M423</f>
      </c>
      <c r="AM423" s="3"/>
      <c r="AN423" s="5"/>
      <c r="AO423" s="5"/>
      <c r="AP423" s="5"/>
      <c r="AQ423" s="3"/>
    </row>
    <row x14ac:dyDescent="0.25" r="424" customHeight="1" ht="12.75">
      <c r="A424" s="5" t="s">
        <v>289</v>
      </c>
      <c r="B424" s="3" t="s">
        <v>1102</v>
      </c>
      <c r="C424" s="3" t="s">
        <v>866</v>
      </c>
      <c r="D424" s="3" t="s">
        <v>989</v>
      </c>
      <c r="E424" s="38" t="s">
        <v>859</v>
      </c>
      <c r="F424" s="3" t="s">
        <v>1171</v>
      </c>
      <c r="G424" s="3" t="s">
        <v>1173</v>
      </c>
      <c r="H424" s="5">
        <v>50</v>
      </c>
      <c r="I424" s="6"/>
      <c r="J424" s="6">
        <v>3.4</v>
      </c>
      <c r="K424" s="5"/>
      <c r="L424" s="6"/>
      <c r="M424" s="6"/>
      <c r="N424" s="7"/>
      <c r="O424" s="23"/>
      <c r="P424" s="6"/>
      <c r="Q424" s="6"/>
      <c r="R424" s="31"/>
      <c r="S424" s="6"/>
      <c r="T424" s="31"/>
      <c r="U424" s="6"/>
      <c r="V424" s="23"/>
      <c r="W424" s="6"/>
      <c r="X424" s="6"/>
      <c r="Y424" s="5"/>
      <c r="Z424" s="3"/>
      <c r="AA424" s="6">
        <f>H424*I424/100</f>
      </c>
      <c r="AB424" s="6">
        <f>H424*J424/100</f>
      </c>
      <c r="AC424" s="7">
        <f>H424*K424</f>
      </c>
      <c r="AD424" s="7">
        <f>H424*M424</f>
      </c>
      <c r="AE424" s="6">
        <f>H424*L424/100</f>
      </c>
      <c r="AF424" s="6">
        <f>AA424+AB424+AE424</f>
      </c>
      <c r="AG424" s="6">
        <f>I424+J424+L424</f>
      </c>
      <c r="AH424" s="53">
        <f>$H424*I424</f>
      </c>
      <c r="AI424" s="53">
        <f>$H424*J424</f>
      </c>
      <c r="AJ424" s="53">
        <f>$H424*K424</f>
      </c>
      <c r="AK424" s="53">
        <f>$H424*L424</f>
      </c>
      <c r="AL424" s="53">
        <f>$H424*M424</f>
      </c>
      <c r="AM424" s="3"/>
      <c r="AN424" s="5"/>
      <c r="AO424" s="5"/>
      <c r="AP424" s="5"/>
      <c r="AQ424" s="3"/>
    </row>
    <row x14ac:dyDescent="0.25" r="425" customHeight="1" ht="12.75">
      <c r="A425" s="5" t="s">
        <v>150</v>
      </c>
      <c r="B425" s="3" t="s">
        <v>1102</v>
      </c>
      <c r="C425" s="3" t="s">
        <v>866</v>
      </c>
      <c r="D425" s="3" t="s">
        <v>988</v>
      </c>
      <c r="E425" s="3" t="s">
        <v>855</v>
      </c>
      <c r="F425" s="3" t="s">
        <v>1522</v>
      </c>
      <c r="G425" s="3" t="s">
        <v>1204</v>
      </c>
      <c r="H425" s="5">
        <v>133</v>
      </c>
      <c r="I425" s="6">
        <v>0.5</v>
      </c>
      <c r="J425" s="6">
        <v>2.25</v>
      </c>
      <c r="K425" s="5"/>
      <c r="L425" s="6"/>
      <c r="M425" s="6"/>
      <c r="N425" s="7"/>
      <c r="O425" s="23"/>
      <c r="P425" s="6"/>
      <c r="Q425" s="6"/>
      <c r="R425" s="31"/>
      <c r="S425" s="6"/>
      <c r="T425" s="31"/>
      <c r="U425" s="6"/>
      <c r="V425" s="23"/>
      <c r="W425" s="6"/>
      <c r="X425" s="6"/>
      <c r="Y425" s="5"/>
      <c r="Z425" s="3"/>
      <c r="AA425" s="6">
        <f>H425*I425/100</f>
      </c>
      <c r="AB425" s="6">
        <f>H425*J425/100</f>
      </c>
      <c r="AC425" s="7">
        <f>H425*K425</f>
      </c>
      <c r="AD425" s="7">
        <f>H425*M425</f>
      </c>
      <c r="AE425" s="6">
        <f>H425*L425/100</f>
      </c>
      <c r="AF425" s="6">
        <f>AA425+AB425+AE425</f>
      </c>
      <c r="AG425" s="6">
        <f>I425+J425+L425</f>
      </c>
      <c r="AH425" s="53">
        <f>$H425*I425</f>
      </c>
      <c r="AI425" s="53">
        <f>$H425*J425</f>
      </c>
      <c r="AJ425" s="53">
        <f>$H425*K425</f>
      </c>
      <c r="AK425" s="53">
        <f>$H425*L425</f>
      </c>
      <c r="AL425" s="53">
        <f>$H425*M425</f>
      </c>
      <c r="AM425" s="3"/>
      <c r="AN425" s="5"/>
      <c r="AO425" s="5"/>
      <c r="AP425" s="5"/>
      <c r="AQ425" s="3"/>
    </row>
    <row x14ac:dyDescent="0.25" r="426" customHeight="1" ht="12.75">
      <c r="A426" s="5" t="s">
        <v>28</v>
      </c>
      <c r="B426" s="3" t="s">
        <v>1102</v>
      </c>
      <c r="C426" s="3" t="s">
        <v>865</v>
      </c>
      <c r="D426" s="3" t="s">
        <v>984</v>
      </c>
      <c r="E426" s="3" t="s">
        <v>855</v>
      </c>
      <c r="F426" s="3" t="s">
        <v>1523</v>
      </c>
      <c r="G426" s="3" t="s">
        <v>1415</v>
      </c>
      <c r="H426" s="7">
        <f>76+977.1+395.9</f>
      </c>
      <c r="I426" s="6">
        <f>(0.07*76+0.03*977.1+0.09*395.9)/$H426</f>
      </c>
      <c r="J426" s="6">
        <f>(0.04*76+0.02*977.1+0.05*395.9)/$H426</f>
      </c>
      <c r="K426" s="7">
        <f>(10.97*450.8+12.26*186.2)/$H426</f>
      </c>
      <c r="L426" s="6">
        <f>(0.48*76+0.44*977.1+0.42*395.9)/$H426</f>
      </c>
      <c r="M426" s="6">
        <f>(0.21*450.8+0.28*186.2)/$H426</f>
      </c>
      <c r="N426" s="7"/>
      <c r="O426" s="23"/>
      <c r="P426" s="6"/>
      <c r="Q426" s="6"/>
      <c r="R426" s="31"/>
      <c r="S426" s="23">
        <f>(0.042*76+0.036*977.1+0.039*395.9)/$H426</f>
      </c>
      <c r="T426" s="31"/>
      <c r="U426" s="6"/>
      <c r="V426" s="23"/>
      <c r="W426" s="6"/>
      <c r="X426" s="6"/>
      <c r="Y426" s="5"/>
      <c r="Z426" s="3"/>
      <c r="AA426" s="6">
        <f>H426*I426/100</f>
      </c>
      <c r="AB426" s="6">
        <f>H426*J426/100</f>
      </c>
      <c r="AC426" s="7">
        <f>H426*K426</f>
      </c>
      <c r="AD426" s="7">
        <f>H426*M426</f>
      </c>
      <c r="AE426" s="6">
        <f>H426*L426/100</f>
      </c>
      <c r="AF426" s="6">
        <f>AA426+AB426+AE426</f>
      </c>
      <c r="AG426" s="6">
        <f>I426+J426+L426</f>
      </c>
      <c r="AH426" s="53">
        <f>$H426*I426</f>
      </c>
      <c r="AI426" s="53">
        <f>$H426*J426</f>
      </c>
      <c r="AJ426" s="53">
        <f>$H426*K426</f>
      </c>
      <c r="AK426" s="53">
        <f>$H426*L426</f>
      </c>
      <c r="AL426" s="53">
        <f>$H426*M426</f>
      </c>
      <c r="AM426" s="3"/>
      <c r="AN426" s="5"/>
      <c r="AO426" s="5"/>
      <c r="AP426" s="5"/>
      <c r="AQ426" s="3"/>
    </row>
    <row x14ac:dyDescent="0.25" r="427" customHeight="1" ht="12.75">
      <c r="A427" s="5" t="s">
        <v>430</v>
      </c>
      <c r="B427" s="3" t="s">
        <v>1102</v>
      </c>
      <c r="C427" s="3" t="s">
        <v>856</v>
      </c>
      <c r="D427" s="3"/>
      <c r="E427" s="38" t="s">
        <v>859</v>
      </c>
      <c r="F427" s="3" t="s">
        <v>1524</v>
      </c>
      <c r="G427" s="3" t="s">
        <v>1519</v>
      </c>
      <c r="H427" s="7">
        <v>5</v>
      </c>
      <c r="I427" s="6">
        <v>3.3</v>
      </c>
      <c r="J427" s="6">
        <v>5.2</v>
      </c>
      <c r="K427" s="5">
        <v>125</v>
      </c>
      <c r="L427" s="6"/>
      <c r="M427" s="6">
        <v>0.4</v>
      </c>
      <c r="N427" s="7"/>
      <c r="O427" s="23"/>
      <c r="P427" s="6"/>
      <c r="Q427" s="6"/>
      <c r="R427" s="31"/>
      <c r="S427" s="6"/>
      <c r="T427" s="31"/>
      <c r="U427" s="6"/>
      <c r="V427" s="23"/>
      <c r="W427" s="6"/>
      <c r="X427" s="6"/>
      <c r="Y427" s="5"/>
      <c r="Z427" s="3"/>
      <c r="AA427" s="6">
        <f>H427*I427/100</f>
      </c>
      <c r="AB427" s="6">
        <f>H427*J427/100</f>
      </c>
      <c r="AC427" s="7">
        <f>H427*K427</f>
      </c>
      <c r="AD427" s="7">
        <f>H427*M427</f>
      </c>
      <c r="AE427" s="6">
        <f>H427*L427/100</f>
      </c>
      <c r="AF427" s="6">
        <f>AA427+AB427+AE427</f>
      </c>
      <c r="AG427" s="6">
        <f>I427+J427+L427</f>
      </c>
      <c r="AH427" s="53">
        <f>$H427*I427</f>
      </c>
      <c r="AI427" s="53">
        <f>$H427*J427</f>
      </c>
      <c r="AJ427" s="53">
        <f>$H427*K427</f>
      </c>
      <c r="AK427" s="53">
        <f>$H427*L427</f>
      </c>
      <c r="AL427" s="53">
        <f>$H427*M427</f>
      </c>
      <c r="AM427" s="3"/>
      <c r="AN427" s="5"/>
      <c r="AO427" s="5"/>
      <c r="AP427" s="5"/>
      <c r="AQ427" s="3"/>
    </row>
    <row x14ac:dyDescent="0.25" r="428" customHeight="1" ht="12.75">
      <c r="A428" s="5" t="s">
        <v>188</v>
      </c>
      <c r="B428" s="3" t="s">
        <v>1102</v>
      </c>
      <c r="C428" s="3" t="s">
        <v>866</v>
      </c>
      <c r="D428" s="3" t="s">
        <v>993</v>
      </c>
      <c r="E428" s="3" t="s">
        <v>855</v>
      </c>
      <c r="F428" s="3" t="s">
        <v>1520</v>
      </c>
      <c r="G428" s="3" t="s">
        <v>1204</v>
      </c>
      <c r="H428" s="6">
        <f>0.6063+0.5904</f>
      </c>
      <c r="I428" s="6">
        <f>(3.81*0.6063+12.45*0.5904)/$H428</f>
      </c>
      <c r="J428" s="6">
        <f>(4.83*0.6063+2.9*0.5904)/$H428</f>
      </c>
      <c r="K428" s="31">
        <f>(123.4*0.6063+278.78*0.5904)/$H428</f>
      </c>
      <c r="L428" s="6">
        <f>(0.99*0.6063+0.78*0.5904)/$H428</f>
      </c>
      <c r="M428" s="6"/>
      <c r="N428" s="7"/>
      <c r="O428" s="23"/>
      <c r="P428" s="6"/>
      <c r="Q428" s="6"/>
      <c r="R428" s="31"/>
      <c r="S428" s="6"/>
      <c r="T428" s="31"/>
      <c r="U428" s="6"/>
      <c r="V428" s="23"/>
      <c r="W428" s="6"/>
      <c r="X428" s="6"/>
      <c r="Y428" s="5"/>
      <c r="Z428" s="3"/>
      <c r="AA428" s="6">
        <f>H428*I428/100</f>
      </c>
      <c r="AB428" s="6">
        <f>H428*J428/100</f>
      </c>
      <c r="AC428" s="7">
        <f>H428*K428</f>
      </c>
      <c r="AD428" s="7">
        <f>H428*M428</f>
      </c>
      <c r="AE428" s="6">
        <f>H428*L428/100</f>
      </c>
      <c r="AF428" s="6">
        <f>AA428+AB428+AE428</f>
      </c>
      <c r="AG428" s="6">
        <f>I428+J428+L428</f>
      </c>
      <c r="AH428" s="53">
        <f>$H428*I428</f>
      </c>
      <c r="AI428" s="53">
        <f>$H428*J428</f>
      </c>
      <c r="AJ428" s="53">
        <f>$H428*K428</f>
      </c>
      <c r="AK428" s="53">
        <f>$H428*L428</f>
      </c>
      <c r="AL428" s="53">
        <f>$H428*M428</f>
      </c>
      <c r="AM428" s="3"/>
      <c r="AN428" s="5"/>
      <c r="AO428" s="5"/>
      <c r="AP428" s="5"/>
      <c r="AQ428" s="3"/>
    </row>
    <row x14ac:dyDescent="0.25" r="429" customHeight="1" ht="12.75">
      <c r="A429" s="5" t="s">
        <v>53</v>
      </c>
      <c r="B429" s="3" t="s">
        <v>1102</v>
      </c>
      <c r="C429" s="3" t="s">
        <v>866</v>
      </c>
      <c r="D429" s="3" t="s">
        <v>993</v>
      </c>
      <c r="E429" s="3" t="s">
        <v>855</v>
      </c>
      <c r="F429" s="3" t="s">
        <v>1520</v>
      </c>
      <c r="G429" s="3" t="s">
        <v>1204</v>
      </c>
      <c r="H429" s="23">
        <f>32200/0.138/1000000</f>
      </c>
      <c r="I429" s="6">
        <v>13.8</v>
      </c>
      <c r="J429" s="6">
        <v>7.8</v>
      </c>
      <c r="K429" s="5"/>
      <c r="L429" s="6"/>
      <c r="M429" s="6"/>
      <c r="N429" s="7"/>
      <c r="O429" s="23"/>
      <c r="P429" s="6"/>
      <c r="Q429" s="6"/>
      <c r="R429" s="31"/>
      <c r="S429" s="6"/>
      <c r="T429" s="31"/>
      <c r="U429" s="6"/>
      <c r="V429" s="23"/>
      <c r="W429" s="6"/>
      <c r="X429" s="6"/>
      <c r="Y429" s="5"/>
      <c r="Z429" s="3"/>
      <c r="AA429" s="6">
        <f>H429*I429/100</f>
      </c>
      <c r="AB429" s="6">
        <f>H429*J429/100</f>
      </c>
      <c r="AC429" s="7">
        <f>H429*K429</f>
      </c>
      <c r="AD429" s="7">
        <f>H429*M429</f>
      </c>
      <c r="AE429" s="6">
        <f>H429*L429/100</f>
      </c>
      <c r="AF429" s="6">
        <f>AA429+AB429+AE429</f>
      </c>
      <c r="AG429" s="6">
        <f>I429+J429+L429</f>
      </c>
      <c r="AH429" s="53">
        <f>$H429*I429</f>
      </c>
      <c r="AI429" s="53">
        <f>$H429*J429</f>
      </c>
      <c r="AJ429" s="53">
        <f>$H429*K429</f>
      </c>
      <c r="AK429" s="53">
        <f>$H429*L429</f>
      </c>
      <c r="AL429" s="53">
        <f>$H429*M429</f>
      </c>
      <c r="AM429" s="3"/>
      <c r="AN429" s="5"/>
      <c r="AO429" s="5"/>
      <c r="AP429" s="5"/>
      <c r="AQ429" s="3"/>
    </row>
    <row x14ac:dyDescent="0.25" r="430" customHeight="1" ht="12.75">
      <c r="A430" s="5" t="s">
        <v>61</v>
      </c>
      <c r="B430" s="3" t="s">
        <v>1102</v>
      </c>
      <c r="C430" s="3" t="s">
        <v>869</v>
      </c>
      <c r="D430" s="3"/>
      <c r="E430" s="38" t="s">
        <v>859</v>
      </c>
      <c r="F430" s="3" t="s">
        <v>1525</v>
      </c>
      <c r="G430" s="3" t="s">
        <v>1519</v>
      </c>
      <c r="H430" s="7">
        <v>2</v>
      </c>
      <c r="I430" s="5">
        <v>10</v>
      </c>
      <c r="J430" s="5">
        <v>10</v>
      </c>
      <c r="K430" s="5"/>
      <c r="L430" s="6">
        <v>0.5</v>
      </c>
      <c r="M430" s="6"/>
      <c r="N430" s="7"/>
      <c r="O430" s="23"/>
      <c r="P430" s="6"/>
      <c r="Q430" s="6"/>
      <c r="R430" s="31"/>
      <c r="S430" s="6"/>
      <c r="T430" s="31"/>
      <c r="U430" s="6"/>
      <c r="V430" s="23"/>
      <c r="W430" s="6"/>
      <c r="X430" s="6"/>
      <c r="Y430" s="5"/>
      <c r="Z430" s="3"/>
      <c r="AA430" s="6">
        <f>H430*I430/100</f>
      </c>
      <c r="AB430" s="6">
        <f>H430*J430/100</f>
      </c>
      <c r="AC430" s="7">
        <f>H430*K430</f>
      </c>
      <c r="AD430" s="7">
        <f>H430*M430</f>
      </c>
      <c r="AE430" s="6">
        <f>H430*L430/100</f>
      </c>
      <c r="AF430" s="6">
        <f>AA430+AB430+AE430</f>
      </c>
      <c r="AG430" s="6">
        <f>I430+J430+L430</f>
      </c>
      <c r="AH430" s="53">
        <f>$H430*I430</f>
      </c>
      <c r="AI430" s="53">
        <f>$H430*J430</f>
      </c>
      <c r="AJ430" s="53">
        <f>$H430*K430</f>
      </c>
      <c r="AK430" s="53">
        <f>$H430*L430</f>
      </c>
      <c r="AL430" s="53">
        <f>$H430*M430</f>
      </c>
      <c r="AM430" s="3"/>
      <c r="AN430" s="5"/>
      <c r="AO430" s="5"/>
      <c r="AP430" s="5"/>
      <c r="AQ430" s="3"/>
    </row>
    <row x14ac:dyDescent="0.25" r="431" customHeight="1" ht="12.75">
      <c r="A431" s="5" t="s">
        <v>531</v>
      </c>
      <c r="B431" s="3" t="s">
        <v>1102</v>
      </c>
      <c r="C431" s="3" t="s">
        <v>1079</v>
      </c>
      <c r="D431" s="3"/>
      <c r="E431" s="3" t="s">
        <v>855</v>
      </c>
      <c r="F431" s="3" t="s">
        <v>1526</v>
      </c>
      <c r="G431" s="3" t="s">
        <v>1527</v>
      </c>
      <c r="H431" s="6">
        <v>20.416</v>
      </c>
      <c r="I431" s="6">
        <v>1.8</v>
      </c>
      <c r="J431" s="6">
        <v>1.4</v>
      </c>
      <c r="K431" s="6">
        <v>16.6</v>
      </c>
      <c r="L431" s="6"/>
      <c r="M431" s="6"/>
      <c r="N431" s="7"/>
      <c r="O431" s="23"/>
      <c r="P431" s="6"/>
      <c r="Q431" s="6"/>
      <c r="R431" s="31"/>
      <c r="S431" s="6"/>
      <c r="T431" s="31"/>
      <c r="U431" s="6"/>
      <c r="V431" s="23"/>
      <c r="W431" s="6"/>
      <c r="X431" s="6"/>
      <c r="Y431" s="5"/>
      <c r="Z431" s="3"/>
      <c r="AA431" s="6">
        <f>H431*I431/100</f>
      </c>
      <c r="AB431" s="6">
        <f>H431*J431/100</f>
      </c>
      <c r="AC431" s="7">
        <f>H431*K431</f>
      </c>
      <c r="AD431" s="7">
        <f>H431*M431</f>
      </c>
      <c r="AE431" s="6">
        <f>H431*L431/100</f>
      </c>
      <c r="AF431" s="6">
        <f>AA431+AB431+AE431</f>
      </c>
      <c r="AG431" s="6">
        <f>I431+J431+L431</f>
      </c>
      <c r="AH431" s="53">
        <f>$H431*I431</f>
      </c>
      <c r="AI431" s="53">
        <f>$H431*J431</f>
      </c>
      <c r="AJ431" s="53">
        <f>$H431*K431</f>
      </c>
      <c r="AK431" s="53">
        <f>$H431*L431</f>
      </c>
      <c r="AL431" s="53">
        <f>$H431*M431</f>
      </c>
      <c r="AM431" s="3"/>
      <c r="AN431" s="5"/>
      <c r="AO431" s="5"/>
      <c r="AP431" s="5"/>
      <c r="AQ431" s="3"/>
    </row>
    <row x14ac:dyDescent="0.25" r="432" customHeight="1" ht="12.75">
      <c r="A432" s="5" t="s">
        <v>219</v>
      </c>
      <c r="B432" s="3" t="s">
        <v>1102</v>
      </c>
      <c r="C432" s="3" t="s">
        <v>866</v>
      </c>
      <c r="D432" s="3" t="s">
        <v>989</v>
      </c>
      <c r="E432" s="38" t="s">
        <v>859</v>
      </c>
      <c r="F432" s="3" t="s">
        <v>1528</v>
      </c>
      <c r="G432" s="3" t="s">
        <v>1519</v>
      </c>
      <c r="H432" s="7">
        <v>25</v>
      </c>
      <c r="I432" s="6">
        <v>1.8</v>
      </c>
      <c r="J432" s="6">
        <v>7.7</v>
      </c>
      <c r="K432" s="5"/>
      <c r="L432" s="6"/>
      <c r="M432" s="6"/>
      <c r="N432" s="7"/>
      <c r="O432" s="23"/>
      <c r="P432" s="6"/>
      <c r="Q432" s="6"/>
      <c r="R432" s="31"/>
      <c r="S432" s="6"/>
      <c r="T432" s="31"/>
      <c r="U432" s="6"/>
      <c r="V432" s="23"/>
      <c r="W432" s="6"/>
      <c r="X432" s="6"/>
      <c r="Y432" s="5"/>
      <c r="Z432" s="3"/>
      <c r="AA432" s="6">
        <f>H432*I432/100</f>
      </c>
      <c r="AB432" s="6">
        <f>H432*J432/100</f>
      </c>
      <c r="AC432" s="7">
        <f>H432*K432</f>
      </c>
      <c r="AD432" s="7">
        <f>H432*M432</f>
      </c>
      <c r="AE432" s="6">
        <f>H432*L432/100</f>
      </c>
      <c r="AF432" s="15">
        <f>AA432+AB432+AE432</f>
      </c>
      <c r="AG432" s="6">
        <f>I432+J432+L432</f>
      </c>
      <c r="AH432" s="53">
        <f>$H432*I432</f>
      </c>
      <c r="AI432" s="53">
        <f>$H432*J432</f>
      </c>
      <c r="AJ432" s="53">
        <f>$H432*K432</f>
      </c>
      <c r="AK432" s="53">
        <f>$H432*L432</f>
      </c>
      <c r="AL432" s="53">
        <f>$H432*M432</f>
      </c>
      <c r="AM432" s="3"/>
      <c r="AN432" s="5"/>
      <c r="AO432" s="5"/>
      <c r="AP432" s="5"/>
      <c r="AQ432" s="3"/>
    </row>
    <row x14ac:dyDescent="0.25" r="433" customHeight="1" ht="12.75">
      <c r="A433" s="5" t="s">
        <v>556</v>
      </c>
      <c r="B433" s="3" t="s">
        <v>1102</v>
      </c>
      <c r="C433" s="3" t="s">
        <v>870</v>
      </c>
      <c r="D433" s="3"/>
      <c r="E433" s="3" t="s">
        <v>855</v>
      </c>
      <c r="F433" s="3" t="s">
        <v>1522</v>
      </c>
      <c r="G433" s="3" t="s">
        <v>1204</v>
      </c>
      <c r="H433" s="6">
        <v>20.6</v>
      </c>
      <c r="I433" s="6"/>
      <c r="J433" s="6">
        <v>0.4</v>
      </c>
      <c r="K433" s="5"/>
      <c r="L433" s="6">
        <v>1.16</v>
      </c>
      <c r="M433" s="6"/>
      <c r="N433" s="7"/>
      <c r="O433" s="23"/>
      <c r="P433" s="6">
        <v>0.07</v>
      </c>
      <c r="Q433" s="6"/>
      <c r="R433" s="31"/>
      <c r="S433" s="6"/>
      <c r="T433" s="31"/>
      <c r="U433" s="6"/>
      <c r="V433" s="23"/>
      <c r="W433" s="6"/>
      <c r="X433" s="6"/>
      <c r="Y433" s="5"/>
      <c r="Z433" s="3"/>
      <c r="AA433" s="6">
        <f>H433*I433/100</f>
      </c>
      <c r="AB433" s="6">
        <f>H433*J433/100</f>
      </c>
      <c r="AC433" s="7">
        <f>H433*K433</f>
      </c>
      <c r="AD433" s="7">
        <f>H433*M433</f>
      </c>
      <c r="AE433" s="6">
        <f>H433*L433/100</f>
      </c>
      <c r="AF433" s="6">
        <f>AA433+AB433+AE433</f>
      </c>
      <c r="AG433" s="6">
        <f>I433+J433+L433</f>
      </c>
      <c r="AH433" s="53">
        <f>$H433*I433</f>
      </c>
      <c r="AI433" s="53">
        <f>$H433*J433</f>
      </c>
      <c r="AJ433" s="53">
        <f>$H433*K433</f>
      </c>
      <c r="AK433" s="53">
        <f>$H433*L433</f>
      </c>
      <c r="AL433" s="53">
        <f>$H433*M433</f>
      </c>
      <c r="AM433" s="3"/>
      <c r="AN433" s="5"/>
      <c r="AO433" s="5"/>
      <c r="AP433" s="5"/>
      <c r="AQ433" s="3"/>
    </row>
    <row x14ac:dyDescent="0.25" r="434" customHeight="1" ht="12.75">
      <c r="A434" s="5" t="s">
        <v>132</v>
      </c>
      <c r="B434" s="3" t="s">
        <v>1102</v>
      </c>
      <c r="C434" s="3" t="s">
        <v>869</v>
      </c>
      <c r="D434" s="3"/>
      <c r="E434" s="3" t="s">
        <v>855</v>
      </c>
      <c r="F434" s="3" t="s">
        <v>1520</v>
      </c>
      <c r="G434" s="3" t="s">
        <v>1204</v>
      </c>
      <c r="H434" s="23">
        <v>8.501788</v>
      </c>
      <c r="I434" s="6">
        <v>9.4</v>
      </c>
      <c r="J434" s="7">
        <v>6</v>
      </c>
      <c r="K434" s="7">
        <v>256</v>
      </c>
      <c r="L434" s="6"/>
      <c r="M434" s="6"/>
      <c r="N434" s="7"/>
      <c r="O434" s="23"/>
      <c r="P434" s="6"/>
      <c r="Q434" s="6"/>
      <c r="R434" s="31"/>
      <c r="S434" s="6"/>
      <c r="T434" s="31"/>
      <c r="U434" s="6"/>
      <c r="V434" s="23"/>
      <c r="W434" s="6"/>
      <c r="X434" s="6"/>
      <c r="Y434" s="5"/>
      <c r="Z434" s="3"/>
      <c r="AA434" s="6">
        <f>H434*I434/100</f>
      </c>
      <c r="AB434" s="6">
        <f>H434*J434/100</f>
      </c>
      <c r="AC434" s="7">
        <f>H434*K434</f>
      </c>
      <c r="AD434" s="7">
        <f>H434*M434</f>
      </c>
      <c r="AE434" s="6">
        <f>H434*L434/100</f>
      </c>
      <c r="AF434" s="6">
        <f>AA434+AB434+AE434</f>
      </c>
      <c r="AG434" s="6">
        <f>I434+J434+L434</f>
      </c>
      <c r="AH434" s="53">
        <f>$H434*I434</f>
      </c>
      <c r="AI434" s="53">
        <f>$H434*J434</f>
      </c>
      <c r="AJ434" s="53">
        <f>$H434*K434</f>
      </c>
      <c r="AK434" s="53">
        <f>$H434*L434</f>
      </c>
      <c r="AL434" s="53">
        <f>$H434*M434</f>
      </c>
      <c r="AM434" s="3"/>
      <c r="AN434" s="5"/>
      <c r="AO434" s="5"/>
      <c r="AP434" s="5"/>
      <c r="AQ434" s="3"/>
    </row>
    <row x14ac:dyDescent="0.25" r="435" customHeight="1" ht="12.75">
      <c r="A435" s="5" t="s">
        <v>172</v>
      </c>
      <c r="B435" s="3" t="s">
        <v>1102</v>
      </c>
      <c r="C435" s="3" t="s">
        <v>869</v>
      </c>
      <c r="D435" s="3"/>
      <c r="E435" s="3" t="s">
        <v>855</v>
      </c>
      <c r="F435" s="3" t="s">
        <v>1529</v>
      </c>
      <c r="G435" s="3" t="s">
        <v>1373</v>
      </c>
      <c r="H435" s="6">
        <v>219.8</v>
      </c>
      <c r="I435" s="6"/>
      <c r="J435" s="6">
        <v>0.08</v>
      </c>
      <c r="K435" s="6">
        <v>3.81</v>
      </c>
      <c r="L435" s="6">
        <v>0.43</v>
      </c>
      <c r="M435" s="6">
        <v>0.61</v>
      </c>
      <c r="N435" s="7"/>
      <c r="O435" s="23"/>
      <c r="P435" s="6"/>
      <c r="Q435" s="6"/>
      <c r="R435" s="31"/>
      <c r="S435" s="6"/>
      <c r="T435" s="31"/>
      <c r="U435" s="6"/>
      <c r="V435" s="23"/>
      <c r="W435" s="6"/>
      <c r="X435" s="6"/>
      <c r="Y435" s="5"/>
      <c r="Z435" s="3"/>
      <c r="AA435" s="6">
        <f>H435*I435/100</f>
      </c>
      <c r="AB435" s="6">
        <f>H435*J435/100</f>
      </c>
      <c r="AC435" s="7">
        <f>H435*K435</f>
      </c>
      <c r="AD435" s="7">
        <f>H435*M435</f>
      </c>
      <c r="AE435" s="6">
        <f>H435*L435/100</f>
      </c>
      <c r="AF435" s="6">
        <f>AA435+AB435+AE435</f>
      </c>
      <c r="AG435" s="6">
        <f>I435+J435+L435</f>
      </c>
      <c r="AH435" s="53">
        <f>$H435*I435</f>
      </c>
      <c r="AI435" s="53">
        <f>$H435*J435</f>
      </c>
      <c r="AJ435" s="53">
        <f>$H435*K435</f>
      </c>
      <c r="AK435" s="53">
        <f>$H435*L435</f>
      </c>
      <c r="AL435" s="53">
        <f>$H435*M435</f>
      </c>
      <c r="AM435" s="3"/>
      <c r="AN435" s="5"/>
      <c r="AO435" s="5"/>
      <c r="AP435" s="5"/>
      <c r="AQ435" s="3"/>
    </row>
    <row x14ac:dyDescent="0.25" r="436" customHeight="1" ht="12.75">
      <c r="A436" s="5" t="s">
        <v>309</v>
      </c>
      <c r="B436" s="3" t="s">
        <v>1102</v>
      </c>
      <c r="C436" s="3" t="s">
        <v>870</v>
      </c>
      <c r="D436" s="3"/>
      <c r="E436" s="3" t="s">
        <v>855</v>
      </c>
      <c r="F436" s="3" t="s">
        <v>1522</v>
      </c>
      <c r="G436" s="3" t="s">
        <v>1204</v>
      </c>
      <c r="H436" s="6">
        <f>23.99+11.21</f>
      </c>
      <c r="I436" s="6"/>
      <c r="J436" s="6">
        <f>(0.95*23.99+0.64*11.21)/$H436</f>
      </c>
      <c r="K436" s="5"/>
      <c r="L436" s="6">
        <f>(2.03*23.99+2.04*11.21)/$H436</f>
      </c>
      <c r="M436" s="6"/>
      <c r="N436" s="7"/>
      <c r="O436" s="23"/>
      <c r="P436" s="6"/>
      <c r="Q436" s="6"/>
      <c r="R436" s="31"/>
      <c r="S436" s="6"/>
      <c r="T436" s="31"/>
      <c r="U436" s="6"/>
      <c r="V436" s="23"/>
      <c r="W436" s="6"/>
      <c r="X436" s="6"/>
      <c r="Y436" s="5"/>
      <c r="Z436" s="3"/>
      <c r="AA436" s="6">
        <f>H436*I436/100</f>
      </c>
      <c r="AB436" s="6">
        <f>H436*J436/100</f>
      </c>
      <c r="AC436" s="7">
        <f>H436*K436</f>
      </c>
      <c r="AD436" s="7">
        <f>H436*M436</f>
      </c>
      <c r="AE436" s="6">
        <f>H436*L436/100</f>
      </c>
      <c r="AF436" s="6">
        <f>AA436+AB436+AE436</f>
      </c>
      <c r="AG436" s="6">
        <f>I436+J436+L436</f>
      </c>
      <c r="AH436" s="53">
        <f>$H436*I436</f>
      </c>
      <c r="AI436" s="53">
        <f>$H436*J436</f>
      </c>
      <c r="AJ436" s="53">
        <f>$H436*K436</f>
      </c>
      <c r="AK436" s="53">
        <f>$H436*L436</f>
      </c>
      <c r="AL436" s="53">
        <f>$H436*M436</f>
      </c>
      <c r="AM436" s="3"/>
      <c r="AN436" s="5"/>
      <c r="AO436" s="5"/>
      <c r="AP436" s="5"/>
      <c r="AQ436" s="3"/>
    </row>
    <row x14ac:dyDescent="0.25" r="437" customHeight="1" ht="12.75">
      <c r="A437" s="5" t="s">
        <v>143</v>
      </c>
      <c r="B437" s="3" t="s">
        <v>1102</v>
      </c>
      <c r="C437" s="3" t="s">
        <v>1079</v>
      </c>
      <c r="D437" s="3"/>
      <c r="E437" s="3" t="s">
        <v>855</v>
      </c>
      <c r="F437" s="3" t="s">
        <v>1522</v>
      </c>
      <c r="G437" s="3" t="s">
        <v>1204</v>
      </c>
      <c r="H437" s="6">
        <v>136.4</v>
      </c>
      <c r="I437" s="6">
        <v>0.48</v>
      </c>
      <c r="J437" s="6">
        <v>2.46</v>
      </c>
      <c r="K437" s="5"/>
      <c r="L437" s="6"/>
      <c r="M437" s="6"/>
      <c r="N437" s="7"/>
      <c r="O437" s="23"/>
      <c r="P437" s="6"/>
      <c r="Q437" s="6"/>
      <c r="R437" s="31"/>
      <c r="S437" s="6"/>
      <c r="T437" s="31"/>
      <c r="U437" s="6"/>
      <c r="V437" s="23"/>
      <c r="W437" s="6"/>
      <c r="X437" s="6"/>
      <c r="Y437" s="5"/>
      <c r="Z437" s="3"/>
      <c r="AA437" s="6">
        <f>H437*I437/100</f>
      </c>
      <c r="AB437" s="6">
        <f>H437*J437/100</f>
      </c>
      <c r="AC437" s="7">
        <f>H437*K437</f>
      </c>
      <c r="AD437" s="7">
        <f>H437*M437</f>
      </c>
      <c r="AE437" s="6">
        <f>H437*L437/100</f>
      </c>
      <c r="AF437" s="6">
        <f>AA437+AB437+AE437</f>
      </c>
      <c r="AG437" s="6">
        <f>I437+J437+L437</f>
      </c>
      <c r="AH437" s="53">
        <f>$H437*I437</f>
      </c>
      <c r="AI437" s="53">
        <f>$H437*J437</f>
      </c>
      <c r="AJ437" s="53">
        <f>$H437*K437</f>
      </c>
      <c r="AK437" s="53">
        <f>$H437*L437</f>
      </c>
      <c r="AL437" s="53">
        <f>$H437*M437</f>
      </c>
      <c r="AM437" s="3"/>
      <c r="AN437" s="5"/>
      <c r="AO437" s="5"/>
      <c r="AP437" s="5"/>
      <c r="AQ437" s="3"/>
    </row>
    <row x14ac:dyDescent="0.25" r="438" customHeight="1" ht="12.75">
      <c r="A438" s="5" t="s">
        <v>331</v>
      </c>
      <c r="B438" s="3" t="s">
        <v>1102</v>
      </c>
      <c r="C438" s="3" t="s">
        <v>863</v>
      </c>
      <c r="D438" s="3" t="s">
        <v>974</v>
      </c>
      <c r="E438" s="3" t="s">
        <v>855</v>
      </c>
      <c r="F438" s="3" t="s">
        <v>1516</v>
      </c>
      <c r="G438" s="3" t="s">
        <v>1530</v>
      </c>
      <c r="H438" s="6">
        <f>2.74+2.33+2.8+0.29+0.38+0.17+0.66+0.5+0.43+0.28+0.87+0.6+0.3+1.79+1.44+1.3+2.57+2.09</f>
      </c>
      <c r="I438" s="6">
        <f>(5.81*2.74+4.42*2.33+4.55*2.8+1.56*0.29+1.46*0.38+1.01*0.17+5.45*0.66+3.72*0.5+3.88*0.43+1.63*0.28+1.39*0.87+1.46*0.6+2.49*0.3+2.59*1.79+2.15*1.44+3.23*1.3+2.84*2.57+2.87*2.09)/$H438</f>
      </c>
      <c r="J438" s="6">
        <f>(3.01*2.74+2.36*2.33+2.01*2.8+0.25*0.29+0.17*0.38+0.19*0.17+1.09*0.66+1.43*0.5+1.55*0.43+0.29*0.28+0.37*0.87+0.45*0.6+0.21*0.3+0.28*1.79+0.31*1.44+0.22*1.3+0.27*2.57+0.22*2.09)/$H438</f>
      </c>
      <c r="K438" s="31">
        <f>(304*2.74+244*2.33+282*2.8+417*0.29+336*0.38+374*0.17+118*0.66+93*0.5+77*0.43+343*0.28+322*0.87+294*0.6+321*0.3+244*1.79+313*1.44+157*1.3+175*2.57+176*2.09)/$H438</f>
      </c>
      <c r="L438" s="6"/>
      <c r="M438" s="6">
        <f>(0*2.74+0*2.33+0*2.8+0*0.29+0*0.38+0*0.17+1.12*0.66+1.25*0.5+1.07*0.43+0*0.28+0*0.87+0*0.6+0*0.3+0*1.79+0*1.44+0*1.3+0*2.57+0*2.09)/$H438</f>
      </c>
      <c r="N438" s="7"/>
      <c r="O438" s="23"/>
      <c r="P438" s="6"/>
      <c r="Q438" s="6"/>
      <c r="R438" s="31"/>
      <c r="S438" s="6"/>
      <c r="T438" s="31"/>
      <c r="U438" s="6"/>
      <c r="V438" s="23"/>
      <c r="W438" s="6"/>
      <c r="X438" s="6"/>
      <c r="Y438" s="5"/>
      <c r="Z438" s="3"/>
      <c r="AA438" s="6">
        <f>H438*I438/100</f>
      </c>
      <c r="AB438" s="6">
        <f>H438*J438/100</f>
      </c>
      <c r="AC438" s="7">
        <f>H438*K438</f>
      </c>
      <c r="AD438" s="7">
        <f>H438*M438</f>
      </c>
      <c r="AE438" s="6">
        <f>H438*L438/100</f>
      </c>
      <c r="AF438" s="6">
        <f>AA438+AB438+AE438</f>
      </c>
      <c r="AG438" s="6">
        <f>I438+J438+L438</f>
      </c>
      <c r="AH438" s="53">
        <f>$H438*I438</f>
      </c>
      <c r="AI438" s="53">
        <f>$H438*J438</f>
      </c>
      <c r="AJ438" s="53">
        <f>$H438*K438</f>
      </c>
      <c r="AK438" s="53">
        <f>$H438*L438</f>
      </c>
      <c r="AL438" s="53">
        <f>$H438*M438</f>
      </c>
      <c r="AM438" s="3"/>
      <c r="AN438" s="5"/>
      <c r="AO438" s="5"/>
      <c r="AP438" s="5"/>
      <c r="AQ438" s="3"/>
    </row>
    <row x14ac:dyDescent="0.25" r="439" customHeight="1" ht="12.75">
      <c r="A439" s="5" t="s">
        <v>183</v>
      </c>
      <c r="B439" s="3" t="s">
        <v>1103</v>
      </c>
      <c r="C439" s="3" t="s">
        <v>868</v>
      </c>
      <c r="D439" s="3"/>
      <c r="E439" s="3" t="s">
        <v>855</v>
      </c>
      <c r="F439" s="3" t="s">
        <v>1531</v>
      </c>
      <c r="G439" s="3" t="s">
        <v>1532</v>
      </c>
      <c r="H439" s="6">
        <f>0.6+8.1</f>
      </c>
      <c r="I439" s="6"/>
      <c r="J439" s="7">
        <f>(0.3*0.6+3*8.1)/$H439</f>
      </c>
      <c r="K439" s="7">
        <f>(2.8*0.6+3.4*8.1)/$H439</f>
      </c>
      <c r="L439" s="6"/>
      <c r="M439" s="6"/>
      <c r="N439" s="7"/>
      <c r="O439" s="7">
        <f>(0.2*0.6+0.2*8.1)/$H439</f>
      </c>
      <c r="P439" s="6"/>
      <c r="Q439" s="6"/>
      <c r="R439" s="31"/>
      <c r="S439" s="31">
        <f>(570*0.6+620*8.1)/$H439</f>
      </c>
      <c r="T439" s="31"/>
      <c r="U439" s="6"/>
      <c r="V439" s="6">
        <f>(0.11*0.6+0.11*8.1)/$H439</f>
      </c>
      <c r="W439" s="6"/>
      <c r="X439" s="7">
        <f>(0.4*0.6+0.5*8.1)/$H439</f>
      </c>
      <c r="Y439" s="6">
        <f>(8.4*0.6+9.4*8.1)/$H439</f>
      </c>
      <c r="Z439" s="3" t="s">
        <v>1533</v>
      </c>
      <c r="AA439" s="6">
        <f>H439*I439/100</f>
      </c>
      <c r="AB439" s="6">
        <f>H439*J439/100</f>
      </c>
      <c r="AC439" s="7">
        <f>H439*K439</f>
      </c>
      <c r="AD439" s="7">
        <f>H439*M439</f>
      </c>
      <c r="AE439" s="6">
        <f>H439*L439/100</f>
      </c>
      <c r="AF439" s="6">
        <f>AA439+AB439+AE439</f>
      </c>
      <c r="AG439" s="6">
        <f>I439+J439+L439</f>
      </c>
      <c r="AH439" s="53">
        <f>$H439*I439</f>
      </c>
      <c r="AI439" s="53">
        <f>$H439*J439</f>
      </c>
      <c r="AJ439" s="53">
        <f>$H439*K439</f>
      </c>
      <c r="AK439" s="53">
        <f>$H439*L439</f>
      </c>
      <c r="AL439" s="53">
        <f>$H439*M439</f>
      </c>
      <c r="AM439" s="3"/>
      <c r="AN439" s="5"/>
      <c r="AO439" s="5"/>
      <c r="AP439" s="5"/>
      <c r="AQ439" s="3"/>
    </row>
    <row x14ac:dyDescent="0.25" r="440" customHeight="1" ht="12.75">
      <c r="A440" s="5" t="s">
        <v>355</v>
      </c>
      <c r="B440" s="3" t="s">
        <v>1104</v>
      </c>
      <c r="C440" s="3" t="s">
        <v>866</v>
      </c>
      <c r="D440" s="3" t="s">
        <v>988</v>
      </c>
      <c r="E440" s="38" t="s">
        <v>859</v>
      </c>
      <c r="F440" s="3" t="s">
        <v>1171</v>
      </c>
      <c r="G440" s="3" t="s">
        <v>1173</v>
      </c>
      <c r="H440" s="6">
        <v>14.8</v>
      </c>
      <c r="I440" s="6">
        <v>0.24</v>
      </c>
      <c r="J440" s="6">
        <v>0.51</v>
      </c>
      <c r="K440" s="5"/>
      <c r="L440" s="6">
        <v>4.39</v>
      </c>
      <c r="M440" s="6"/>
      <c r="N440" s="7"/>
      <c r="O440" s="23"/>
      <c r="P440" s="6"/>
      <c r="Q440" s="6"/>
      <c r="R440" s="31"/>
      <c r="S440" s="6"/>
      <c r="T440" s="31"/>
      <c r="U440" s="6"/>
      <c r="V440" s="23"/>
      <c r="W440" s="6"/>
      <c r="X440" s="6"/>
      <c r="Y440" s="5"/>
      <c r="Z440" s="3"/>
      <c r="AA440" s="6">
        <f>H440*I440/100</f>
      </c>
      <c r="AB440" s="6">
        <f>H440*J440/100</f>
      </c>
      <c r="AC440" s="7">
        <f>H440*K440</f>
      </c>
      <c r="AD440" s="7">
        <f>H440*M440</f>
      </c>
      <c r="AE440" s="6">
        <f>H440*L440/100</f>
      </c>
      <c r="AF440" s="6">
        <f>AA440+AB440+AE440</f>
      </c>
      <c r="AG440" s="6">
        <f>I440+J440+L440</f>
      </c>
      <c r="AH440" s="53">
        <f>$H440*I440</f>
      </c>
      <c r="AI440" s="53">
        <f>$H440*J440</f>
      </c>
      <c r="AJ440" s="53">
        <f>$H440*K440</f>
      </c>
      <c r="AK440" s="53">
        <f>$H440*L440</f>
      </c>
      <c r="AL440" s="53">
        <f>$H440*M440</f>
      </c>
      <c r="AM440" s="3"/>
      <c r="AN440" s="5"/>
      <c r="AO440" s="5"/>
      <c r="AP440" s="5"/>
      <c r="AQ440" s="3"/>
    </row>
    <row x14ac:dyDescent="0.25" r="441" customHeight="1" ht="12.75">
      <c r="A441" s="5" t="s">
        <v>854</v>
      </c>
      <c r="B441" s="3" t="s">
        <v>1104</v>
      </c>
      <c r="C441" s="3" t="s">
        <v>870</v>
      </c>
      <c r="D441" s="3"/>
      <c r="E441" s="38" t="s">
        <v>859</v>
      </c>
      <c r="F441" s="3" t="s">
        <v>1171</v>
      </c>
      <c r="G441" s="3" t="s">
        <v>1534</v>
      </c>
      <c r="H441" s="6">
        <v>0.54</v>
      </c>
      <c r="I441" s="6">
        <f>0.39/3</f>
      </c>
      <c r="J441" s="6">
        <f>0.39*(2/3)</f>
      </c>
      <c r="K441" s="5"/>
      <c r="L441" s="6"/>
      <c r="M441" s="6"/>
      <c r="N441" s="7"/>
      <c r="O441" s="23"/>
      <c r="P441" s="6"/>
      <c r="Q441" s="6"/>
      <c r="R441" s="31"/>
      <c r="S441" s="6"/>
      <c r="T441" s="31"/>
      <c r="U441" s="6"/>
      <c r="V441" s="23"/>
      <c r="W441" s="6"/>
      <c r="X441" s="6"/>
      <c r="Y441" s="5"/>
      <c r="Z441" s="3"/>
      <c r="AA441" s="6">
        <f>H441*I441/100</f>
      </c>
      <c r="AB441" s="6">
        <f>H441*J441/100</f>
      </c>
      <c r="AC441" s="7">
        <f>H441*K441</f>
      </c>
      <c r="AD441" s="7">
        <f>H441*M441</f>
      </c>
      <c r="AE441" s="6">
        <f>H441*L441/100</f>
      </c>
      <c r="AF441" s="6">
        <f>AA441+AB441+AE441</f>
      </c>
      <c r="AG441" s="6">
        <f>I441+J441+L441</f>
      </c>
      <c r="AH441" s="53">
        <f>$H441*I441</f>
      </c>
      <c r="AI441" s="53">
        <f>$H441*J441</f>
      </c>
      <c r="AJ441" s="53">
        <f>$H441*K441</f>
      </c>
      <c r="AK441" s="53">
        <f>$H441*L441</f>
      </c>
      <c r="AL441" s="53">
        <f>$H441*M441</f>
      </c>
      <c r="AM441" s="3"/>
      <c r="AN441" s="5"/>
      <c r="AO441" s="5"/>
      <c r="AP441" s="5"/>
      <c r="AQ441" s="3"/>
    </row>
    <row x14ac:dyDescent="0.25" r="442" customHeight="1" ht="12.75">
      <c r="A442" s="5" t="s">
        <v>513</v>
      </c>
      <c r="B442" s="3" t="s">
        <v>1104</v>
      </c>
      <c r="C442" s="3" t="s">
        <v>866</v>
      </c>
      <c r="D442" s="3" t="s">
        <v>988</v>
      </c>
      <c r="E442" s="38" t="s">
        <v>859</v>
      </c>
      <c r="F442" s="3" t="s">
        <v>1535</v>
      </c>
      <c r="G442" s="3" t="s">
        <v>1519</v>
      </c>
      <c r="H442" s="5">
        <v>12</v>
      </c>
      <c r="I442" s="6">
        <v>3.2</v>
      </c>
      <c r="J442" s="6">
        <v>2.4</v>
      </c>
      <c r="K442" s="5">
        <v>43</v>
      </c>
      <c r="L442" s="6"/>
      <c r="M442" s="6"/>
      <c r="N442" s="7"/>
      <c r="O442" s="23"/>
      <c r="P442" s="6"/>
      <c r="Q442" s="6"/>
      <c r="R442" s="31"/>
      <c r="S442" s="6"/>
      <c r="T442" s="31"/>
      <c r="U442" s="6"/>
      <c r="V442" s="23"/>
      <c r="W442" s="6"/>
      <c r="X442" s="6"/>
      <c r="Y442" s="5"/>
      <c r="Z442" s="3"/>
      <c r="AA442" s="6">
        <f>H442*I442/100</f>
      </c>
      <c r="AB442" s="6">
        <f>H442*J442/100</f>
      </c>
      <c r="AC442" s="7">
        <f>H442*K442</f>
      </c>
      <c r="AD442" s="7">
        <f>H442*M442</f>
      </c>
      <c r="AE442" s="6">
        <f>H442*L442/100</f>
      </c>
      <c r="AF442" s="15">
        <f>AA442+AB442+AE442</f>
      </c>
      <c r="AG442" s="6">
        <f>I442+J442+L442</f>
      </c>
      <c r="AH442" s="53">
        <f>$H442*I442</f>
      </c>
      <c r="AI442" s="53">
        <f>$H442*J442</f>
      </c>
      <c r="AJ442" s="53">
        <f>$H442*K442</f>
      </c>
      <c r="AK442" s="53">
        <f>$H442*L442</f>
      </c>
      <c r="AL442" s="53">
        <f>$H442*M442</f>
      </c>
      <c r="AM442" s="3"/>
      <c r="AN442" s="5"/>
      <c r="AO442" s="5"/>
      <c r="AP442" s="5"/>
      <c r="AQ442" s="3"/>
    </row>
    <row x14ac:dyDescent="0.25" r="443" customHeight="1" ht="12.75">
      <c r="A443" s="5" t="s">
        <v>56</v>
      </c>
      <c r="B443" s="3" t="s">
        <v>1105</v>
      </c>
      <c r="C443" s="3" t="s">
        <v>866</v>
      </c>
      <c r="D443" s="3" t="s">
        <v>994</v>
      </c>
      <c r="E443" s="38" t="s">
        <v>859</v>
      </c>
      <c r="F443" s="3" t="s">
        <v>1536</v>
      </c>
      <c r="G443" s="3" t="s">
        <v>1537</v>
      </c>
      <c r="H443" s="23">
        <f>16.929106+9.046352</f>
      </c>
      <c r="I443" s="6"/>
      <c r="J443" s="6">
        <f>(16.76*16.929106+23.32*9.046352)/$H443</f>
      </c>
      <c r="K443" s="5"/>
      <c r="L443" s="6">
        <f>(2.32*16.929106+1.93*9.046352)/$H443</f>
      </c>
      <c r="M443" s="6"/>
      <c r="N443" s="7"/>
      <c r="O443" s="23"/>
      <c r="P443" s="6"/>
      <c r="Q443" s="6"/>
      <c r="R443" s="31"/>
      <c r="S443" s="6"/>
      <c r="T443" s="31"/>
      <c r="U443" s="6"/>
      <c r="V443" s="23"/>
      <c r="W443" s="6"/>
      <c r="X443" s="6"/>
      <c r="Y443" s="5"/>
      <c r="Z443" s="3"/>
      <c r="AA443" s="6">
        <f>H443*I443/100</f>
      </c>
      <c r="AB443" s="6">
        <f>H443*J443/100</f>
      </c>
      <c r="AC443" s="7">
        <f>H443*K443</f>
      </c>
      <c r="AD443" s="7">
        <f>H443*M443</f>
      </c>
      <c r="AE443" s="6">
        <f>H443*L443/100</f>
      </c>
      <c r="AF443" s="6">
        <f>AA443+AB443+AE443</f>
      </c>
      <c r="AG443" s="6">
        <f>I443+J443+L443</f>
      </c>
      <c r="AH443" s="53">
        <f>$H443*I443</f>
      </c>
      <c r="AI443" s="53">
        <f>$H443*J443</f>
      </c>
      <c r="AJ443" s="53">
        <f>$H443*K443</f>
      </c>
      <c r="AK443" s="53">
        <f>$H443*L443</f>
      </c>
      <c r="AL443" s="53">
        <f>$H443*M443</f>
      </c>
      <c r="AM443" s="3"/>
      <c r="AN443" s="5"/>
      <c r="AO443" s="5"/>
      <c r="AP443" s="5"/>
      <c r="AQ443" s="3"/>
    </row>
    <row x14ac:dyDescent="0.25" r="444" customHeight="1" ht="12.75">
      <c r="A444" s="5" t="s">
        <v>1038</v>
      </c>
      <c r="B444" s="3" t="s">
        <v>1105</v>
      </c>
      <c r="C444" s="3" t="s">
        <v>1086</v>
      </c>
      <c r="D444" s="3" t="s">
        <v>994</v>
      </c>
      <c r="E444" s="16" t="s">
        <v>1247</v>
      </c>
      <c r="F444" s="3" t="s">
        <v>1538</v>
      </c>
      <c r="G444" s="3" t="s">
        <v>1539</v>
      </c>
      <c r="H444" s="6">
        <v>5.3</v>
      </c>
      <c r="I444" s="6"/>
      <c r="J444" s="6">
        <v>4.9</v>
      </c>
      <c r="K444" s="5"/>
      <c r="L444" s="6"/>
      <c r="M444" s="6"/>
      <c r="N444" s="7"/>
      <c r="O444" s="23"/>
      <c r="P444" s="6"/>
      <c r="Q444" s="6"/>
      <c r="R444" s="31"/>
      <c r="S444" s="6"/>
      <c r="T444" s="31"/>
      <c r="U444" s="6"/>
      <c r="V444" s="23"/>
      <c r="W444" s="6"/>
      <c r="X444" s="6"/>
      <c r="Y444" s="5"/>
      <c r="Z444" s="3"/>
      <c r="AA444" s="6">
        <f>H444*I444/100</f>
      </c>
      <c r="AB444" s="6">
        <f>H444*J444/100</f>
      </c>
      <c r="AC444" s="7">
        <f>H444*K444</f>
      </c>
      <c r="AD444" s="7">
        <f>H444*M444</f>
      </c>
      <c r="AE444" s="6">
        <f>H444*L444/100</f>
      </c>
      <c r="AF444" s="6">
        <f>AA444+AB444+AE444</f>
      </c>
      <c r="AG444" s="6">
        <f>I444+J444+L444</f>
      </c>
      <c r="AH444" s="53">
        <f>$H444*I444</f>
      </c>
      <c r="AI444" s="53">
        <f>$H444*J444</f>
      </c>
      <c r="AJ444" s="53">
        <f>$H444*K444</f>
      </c>
      <c r="AK444" s="53">
        <f>$H444*L444</f>
      </c>
      <c r="AL444" s="53">
        <f>$H444*M444</f>
      </c>
      <c r="AM444" s="3"/>
      <c r="AN444" s="5"/>
      <c r="AO444" s="5"/>
      <c r="AP444" s="5"/>
      <c r="AQ444" s="3"/>
    </row>
    <row x14ac:dyDescent="0.25" r="445" customHeight="1" ht="12.75">
      <c r="A445" s="5" t="s">
        <v>772</v>
      </c>
      <c r="B445" s="3" t="s">
        <v>1540</v>
      </c>
      <c r="C445" s="3" t="s">
        <v>856</v>
      </c>
      <c r="D445" s="3" t="s">
        <v>925</v>
      </c>
      <c r="E445" s="38" t="s">
        <v>859</v>
      </c>
      <c r="F445" s="3" t="s">
        <v>1541</v>
      </c>
      <c r="G445" s="3" t="s">
        <v>1542</v>
      </c>
      <c r="H445" s="23">
        <f>1.087645+0.272667+0.330095+0.29+0.514832</f>
      </c>
      <c r="I445" s="6"/>
      <c r="J445" s="6">
        <f>(0.77*1.087645+1.67*0.272667+1.45*0.330095+1.49*0.29+0.0289*0.514832)/$H445</f>
      </c>
      <c r="K445" s="6">
        <f>(4.36*1.087645+0*0.272667+0*0.330095+0*0.29+3.09*0.514832)/$H445</f>
      </c>
      <c r="L445" s="6">
        <f>(2.22*1.087645+2*0.272667+1.9*0.330095+1.55*0.29+0.17*0.514832)/$H445</f>
      </c>
      <c r="M445" s="6">
        <f>(0.16*1.087645+0*0.272667+0*0.330095+1.34*0.29+1.32*0.514832)/$H445</f>
      </c>
      <c r="N445" s="7"/>
      <c r="O445" s="23"/>
      <c r="P445" s="6"/>
      <c r="Q445" s="6"/>
      <c r="R445" s="31"/>
      <c r="S445" s="6"/>
      <c r="T445" s="31"/>
      <c r="U445" s="6"/>
      <c r="V445" s="23"/>
      <c r="W445" s="6"/>
      <c r="X445" s="6"/>
      <c r="Y445" s="5"/>
      <c r="Z445" s="3"/>
      <c r="AA445" s="6">
        <f>H445*I445/100</f>
      </c>
      <c r="AB445" s="6">
        <f>H445*J445/100</f>
      </c>
      <c r="AC445" s="7">
        <f>H445*K445</f>
      </c>
      <c r="AD445" s="7">
        <f>H445*M445</f>
      </c>
      <c r="AE445" s="6">
        <f>H445*L445/100</f>
      </c>
      <c r="AF445" s="6">
        <f>AA445+AB445+AE445</f>
      </c>
      <c r="AG445" s="6">
        <f>I445+J445+L445</f>
      </c>
      <c r="AH445" s="53">
        <f>$H445*I445</f>
      </c>
      <c r="AI445" s="53">
        <f>$H445*J445</f>
      </c>
      <c r="AJ445" s="53">
        <f>$H445*K445</f>
      </c>
      <c r="AK445" s="53">
        <f>$H445*L445</f>
      </c>
      <c r="AL445" s="53">
        <f>$H445*M445</f>
      </c>
      <c r="AM445" s="3"/>
      <c r="AN445" s="5"/>
      <c r="AO445" s="5"/>
      <c r="AP445" s="5"/>
      <c r="AQ445" s="3"/>
    </row>
    <row x14ac:dyDescent="0.25" r="446" customHeight="1" ht="12.75">
      <c r="A446" s="5" t="s">
        <v>613</v>
      </c>
      <c r="B446" s="3" t="s">
        <v>1540</v>
      </c>
      <c r="C446" s="3" t="s">
        <v>870</v>
      </c>
      <c r="D446" s="3"/>
      <c r="E446" s="3" t="s">
        <v>855</v>
      </c>
      <c r="F446" s="3" t="s">
        <v>1541</v>
      </c>
      <c r="G446" s="3" t="s">
        <v>1347</v>
      </c>
      <c r="H446" s="23">
        <f>5.628632+1.739214+0.142283</f>
      </c>
      <c r="I446" s="6"/>
      <c r="J446" s="6">
        <f>(1.46*5.628632+1.31*1.739214+1.12*0.142283)/$H446</f>
      </c>
      <c r="K446" s="7">
        <f>(33.3*5.628632+28.7*1.739214+34.6*0.142283)/$H446</f>
      </c>
      <c r="L446" s="6">
        <f>(2.3*5.628632+1.25*1.739214+1.2*0.142283)/$H446</f>
      </c>
      <c r="M446" s="6">
        <f>(0.91*5.628632+0.73*1.739214+0.71*0.142283)/$H446</f>
      </c>
      <c r="N446" s="7"/>
      <c r="O446" s="23"/>
      <c r="P446" s="6"/>
      <c r="Q446" s="6"/>
      <c r="R446" s="31"/>
      <c r="S446" s="6"/>
      <c r="T446" s="31"/>
      <c r="U446" s="6"/>
      <c r="V446" s="23"/>
      <c r="W446" s="6"/>
      <c r="X446" s="6"/>
      <c r="Y446" s="5"/>
      <c r="Z446" s="3"/>
      <c r="AA446" s="6">
        <f>H446*I446/100</f>
      </c>
      <c r="AB446" s="6">
        <f>H446*J446/100</f>
      </c>
      <c r="AC446" s="7">
        <f>H446*K446</f>
      </c>
      <c r="AD446" s="7">
        <f>H446*M446</f>
      </c>
      <c r="AE446" s="6">
        <f>H446*L446/100</f>
      </c>
      <c r="AF446" s="6">
        <f>AA446+AB446+AE446</f>
      </c>
      <c r="AG446" s="6">
        <f>I446+J446+L446</f>
      </c>
      <c r="AH446" s="53">
        <f>$H446*I446</f>
      </c>
      <c r="AI446" s="53">
        <f>$H446*J446</f>
      </c>
      <c r="AJ446" s="53">
        <f>$H446*K446</f>
      </c>
      <c r="AK446" s="53">
        <f>$H446*L446</f>
      </c>
      <c r="AL446" s="53">
        <f>$H446*M446</f>
      </c>
      <c r="AM446" s="3"/>
      <c r="AN446" s="5"/>
      <c r="AO446" s="5"/>
      <c r="AP446" s="5"/>
      <c r="AQ446" s="3"/>
    </row>
    <row x14ac:dyDescent="0.25" r="447" customHeight="1" ht="12.75">
      <c r="A447" s="5" t="s">
        <v>290</v>
      </c>
      <c r="B447" s="3" t="s">
        <v>1540</v>
      </c>
      <c r="C447" s="3" t="s">
        <v>870</v>
      </c>
      <c r="D447" s="3"/>
      <c r="E447" s="3" t="s">
        <v>855</v>
      </c>
      <c r="F447" s="3" t="s">
        <v>1543</v>
      </c>
      <c r="G447" s="3" t="s">
        <v>1480</v>
      </c>
      <c r="H447" s="6">
        <f>1.011+0.439</f>
      </c>
      <c r="I447" s="6"/>
      <c r="J447" s="6">
        <f>(2.57*1.011+4.67*0.439)/$H447</f>
      </c>
      <c r="K447" s="7">
        <f>(49.58*1.011+36.907*0.439)/$H447</f>
      </c>
      <c r="L447" s="6">
        <f>(2.4*1.011+2.558*0.439)/$H447</f>
      </c>
      <c r="M447" s="6">
        <f>(2.81*1.011+1.68*0.439)/$H447</f>
      </c>
      <c r="N447" s="7"/>
      <c r="O447" s="23"/>
      <c r="P447" s="6"/>
      <c r="Q447" s="6"/>
      <c r="R447" s="31"/>
      <c r="S447" s="6"/>
      <c r="T447" s="31"/>
      <c r="U447" s="6"/>
      <c r="V447" s="23"/>
      <c r="W447" s="6"/>
      <c r="X447" s="6"/>
      <c r="Y447" s="5"/>
      <c r="Z447" s="3"/>
      <c r="AA447" s="6">
        <f>H447*I447/100</f>
      </c>
      <c r="AB447" s="6">
        <f>H447*J447/100</f>
      </c>
      <c r="AC447" s="7">
        <f>H447*K447</f>
      </c>
      <c r="AD447" s="7">
        <f>H447*M447</f>
      </c>
      <c r="AE447" s="6">
        <f>H447*L447/100</f>
      </c>
      <c r="AF447" s="6">
        <f>AA447+AB447+AE447</f>
      </c>
      <c r="AG447" s="6">
        <f>I447+J447+L447</f>
      </c>
      <c r="AH447" s="53">
        <f>$H447*I447</f>
      </c>
      <c r="AI447" s="53">
        <f>$H447*J447</f>
      </c>
      <c r="AJ447" s="53">
        <f>$H447*K447</f>
      </c>
      <c r="AK447" s="53">
        <f>$H447*L447</f>
      </c>
      <c r="AL447" s="53">
        <f>$H447*M447</f>
      </c>
      <c r="AM447" s="3"/>
      <c r="AN447" s="5"/>
      <c r="AO447" s="5"/>
      <c r="AP447" s="5"/>
      <c r="AQ447" s="3"/>
    </row>
    <row x14ac:dyDescent="0.25" r="448" customHeight="1" ht="12.75">
      <c r="A448" s="5" t="s">
        <v>323</v>
      </c>
      <c r="B448" s="3" t="s">
        <v>1540</v>
      </c>
      <c r="C448" s="3" t="s">
        <v>856</v>
      </c>
      <c r="D448" s="3" t="s">
        <v>927</v>
      </c>
      <c r="E448" s="3" t="s">
        <v>855</v>
      </c>
      <c r="F448" s="3" t="s">
        <v>1543</v>
      </c>
      <c r="G448" s="3" t="s">
        <v>1422</v>
      </c>
      <c r="H448" s="6">
        <f>27.49+24.42+2.55+3.09</f>
      </c>
      <c r="I448" s="6"/>
      <c r="J448" s="6">
        <f>(0.28*27.49+0.41*24.42+0.16*2.55+0.18*3.09)/$H448</f>
      </c>
      <c r="K448" s="7">
        <f>(3.7*27.49+3.6*24.42+1.5*2.55+2.5*3.09)/$H448</f>
      </c>
      <c r="L448" s="6">
        <f>(0.51*27.49+0.23*24.42+0.21*2.55+0.15*3.09)/$H448</f>
      </c>
      <c r="M448" s="6">
        <f>(1.78*27.49+0.87*24.42+2.87*2.55+1.21*3.09)/$H448</f>
      </c>
      <c r="N448" s="7"/>
      <c r="O448" s="23"/>
      <c r="P448" s="6"/>
      <c r="Q448" s="6"/>
      <c r="R448" s="31"/>
      <c r="S448" s="6"/>
      <c r="T448" s="31"/>
      <c r="U448" s="6"/>
      <c r="V448" s="23"/>
      <c r="W448" s="6"/>
      <c r="X448" s="6"/>
      <c r="Y448" s="5"/>
      <c r="Z448" s="3"/>
      <c r="AA448" s="6">
        <f>H448*I448/100</f>
      </c>
      <c r="AB448" s="6">
        <f>H448*J448/100</f>
      </c>
      <c r="AC448" s="7">
        <f>H448*K448</f>
      </c>
      <c r="AD448" s="7">
        <f>H448*M448</f>
      </c>
      <c r="AE448" s="6">
        <f>H448*L448/100</f>
      </c>
      <c r="AF448" s="6">
        <f>AA448+AB448+AE448</f>
      </c>
      <c r="AG448" s="6">
        <f>I448+J448+L448</f>
      </c>
      <c r="AH448" s="53">
        <f>$H448*I448</f>
      </c>
      <c r="AI448" s="53">
        <f>$H448*J448</f>
      </c>
      <c r="AJ448" s="53">
        <f>$H448*K448</f>
      </c>
      <c r="AK448" s="53">
        <f>$H448*L448</f>
      </c>
      <c r="AL448" s="53">
        <f>$H448*M448</f>
      </c>
      <c r="AM448" s="3"/>
      <c r="AN448" s="5"/>
      <c r="AO448" s="5"/>
      <c r="AP448" s="5"/>
      <c r="AQ448" s="3"/>
    </row>
    <row x14ac:dyDescent="0.25" r="449" customHeight="1" ht="12.75">
      <c r="A449" s="5" t="s">
        <v>322</v>
      </c>
      <c r="B449" s="3" t="s">
        <v>1107</v>
      </c>
      <c r="C449" s="3" t="s">
        <v>870</v>
      </c>
      <c r="D449" s="3"/>
      <c r="E449" s="3" t="s">
        <v>855</v>
      </c>
      <c r="F449" s="3" t="s">
        <v>1544</v>
      </c>
      <c r="G449" s="3" t="s">
        <v>1337</v>
      </c>
      <c r="H449" s="6">
        <f>6.08+3.882</f>
      </c>
      <c r="I449" s="6">
        <f>(0.28*6.08+0.16*3.882)/$H449</f>
      </c>
      <c r="J449" s="6">
        <f>(3.06*6.08+2.19*3.882)/$H449</f>
      </c>
      <c r="K449" s="7">
        <f>(55.81*6.08+42.92*3.882)/$H449</f>
      </c>
      <c r="L449" s="6">
        <f>(2.33*6.08+1.56*3.882)/$H449</f>
      </c>
      <c r="M449" s="6">
        <f>(2.99*6.08+2.03*3.882)/$H449</f>
      </c>
      <c r="N449" s="7"/>
      <c r="O449" s="23"/>
      <c r="P449" s="6"/>
      <c r="Q449" s="6"/>
      <c r="R449" s="31"/>
      <c r="S449" s="6"/>
      <c r="T449" s="31"/>
      <c r="U449" s="6"/>
      <c r="V449" s="23"/>
      <c r="W449" s="6"/>
      <c r="X449" s="6"/>
      <c r="Y449" s="5"/>
      <c r="Z449" s="3"/>
      <c r="AA449" s="6">
        <f>H449*I449/100</f>
      </c>
      <c r="AB449" s="6">
        <f>H449*J449/100</f>
      </c>
      <c r="AC449" s="7">
        <f>H449*K449</f>
      </c>
      <c r="AD449" s="7">
        <f>H449*M449</f>
      </c>
      <c r="AE449" s="6">
        <f>H449*L449/100</f>
      </c>
      <c r="AF449" s="6">
        <f>AA449+AB449+AE449</f>
      </c>
      <c r="AG449" s="6">
        <f>I449+J449+L449</f>
      </c>
      <c r="AH449" s="53">
        <f>$H449*I449</f>
      </c>
      <c r="AI449" s="53">
        <f>$H449*J449</f>
      </c>
      <c r="AJ449" s="53">
        <f>$H449*K449</f>
      </c>
      <c r="AK449" s="53">
        <f>$H449*L449</f>
      </c>
      <c r="AL449" s="53">
        <f>$H449*M449</f>
      </c>
      <c r="AM449" s="3"/>
      <c r="AN449" s="5"/>
      <c r="AO449" s="5"/>
      <c r="AP449" s="5"/>
      <c r="AQ449" s="3"/>
    </row>
    <row x14ac:dyDescent="0.25" r="450" customHeight="1" ht="12.75">
      <c r="A450" s="5" t="s">
        <v>755</v>
      </c>
      <c r="B450" s="3" t="s">
        <v>1108</v>
      </c>
      <c r="C450" s="3" t="s">
        <v>864</v>
      </c>
      <c r="D450" s="3"/>
      <c r="E450" s="3" t="s">
        <v>855</v>
      </c>
      <c r="F450" s="3" t="s">
        <v>1545</v>
      </c>
      <c r="G450" s="3" t="s">
        <v>1415</v>
      </c>
      <c r="H450" s="6">
        <v>2.9</v>
      </c>
      <c r="I450" s="6"/>
      <c r="J450" s="6">
        <v>1.15</v>
      </c>
      <c r="K450" s="7">
        <v>29.3</v>
      </c>
      <c r="L450" s="6">
        <v>0.77</v>
      </c>
      <c r="M450" s="6">
        <v>1.75</v>
      </c>
      <c r="N450" s="7"/>
      <c r="O450" s="23"/>
      <c r="P450" s="6"/>
      <c r="Q450" s="6"/>
      <c r="R450" s="31"/>
      <c r="S450" s="6"/>
      <c r="T450" s="31"/>
      <c r="U450" s="6"/>
      <c r="V450" s="23"/>
      <c r="W450" s="6"/>
      <c r="X450" s="6"/>
      <c r="Y450" s="5"/>
      <c r="Z450" s="3"/>
      <c r="AA450" s="6">
        <f>H450*I450/100</f>
      </c>
      <c r="AB450" s="6">
        <f>H450*J450/100</f>
      </c>
      <c r="AC450" s="7">
        <f>H450*K450</f>
      </c>
      <c r="AD450" s="7">
        <f>H450*M450</f>
      </c>
      <c r="AE450" s="6">
        <f>H450*L450/100</f>
      </c>
      <c r="AF450" s="6">
        <f>AA450+AB450+AE450</f>
      </c>
      <c r="AG450" s="6">
        <f>I450+J450+L450</f>
      </c>
      <c r="AH450" s="53">
        <f>$H450*I450</f>
      </c>
      <c r="AI450" s="53">
        <f>$H450*J450</f>
      </c>
      <c r="AJ450" s="53">
        <f>$H450*K450</f>
      </c>
      <c r="AK450" s="53">
        <f>$H450*L450</f>
      </c>
      <c r="AL450" s="53">
        <f>$H450*M450</f>
      </c>
      <c r="AM450" s="3"/>
      <c r="AN450" s="5"/>
      <c r="AO450" s="5"/>
      <c r="AP450" s="5"/>
      <c r="AQ450" s="3"/>
    </row>
    <row x14ac:dyDescent="0.25" r="451" customHeight="1" ht="12.75">
      <c r="A451" s="5" t="s">
        <v>206</v>
      </c>
      <c r="B451" s="3" t="s">
        <v>1108</v>
      </c>
      <c r="C451" s="3" t="s">
        <v>866</v>
      </c>
      <c r="D451" s="3" t="s">
        <v>989</v>
      </c>
      <c r="E451" s="38" t="s">
        <v>859</v>
      </c>
      <c r="F451" s="3" t="s">
        <v>1171</v>
      </c>
      <c r="G451" s="3" t="s">
        <v>1173</v>
      </c>
      <c r="H451" s="6">
        <v>1.5</v>
      </c>
      <c r="I451" s="6">
        <v>1.3</v>
      </c>
      <c r="J451" s="5">
        <v>11</v>
      </c>
      <c r="K451" s="5"/>
      <c r="L451" s="6"/>
      <c r="M451" s="6"/>
      <c r="N451" s="7"/>
      <c r="O451" s="23"/>
      <c r="P451" s="6"/>
      <c r="Q451" s="6"/>
      <c r="R451" s="31"/>
      <c r="S451" s="6"/>
      <c r="T451" s="31"/>
      <c r="U451" s="6"/>
      <c r="V451" s="23"/>
      <c r="W451" s="6"/>
      <c r="X451" s="6"/>
      <c r="Y451" s="5"/>
      <c r="Z451" s="3"/>
      <c r="AA451" s="6">
        <f>H451*I451/100</f>
      </c>
      <c r="AB451" s="6">
        <f>H451*J451/100</f>
      </c>
      <c r="AC451" s="7">
        <f>H451*K451</f>
      </c>
      <c r="AD451" s="7">
        <f>H451*M451</f>
      </c>
      <c r="AE451" s="6">
        <f>H451*L451/100</f>
      </c>
      <c r="AF451" s="6">
        <f>AA451+AB451+AE451</f>
      </c>
      <c r="AG451" s="6">
        <f>I451+J451+L451</f>
      </c>
      <c r="AH451" s="53">
        <f>$H451*I451</f>
      </c>
      <c r="AI451" s="53">
        <f>$H451*J451</f>
      </c>
      <c r="AJ451" s="53">
        <f>$H451*K451</f>
      </c>
      <c r="AK451" s="53">
        <f>$H451*L451</f>
      </c>
      <c r="AL451" s="53">
        <f>$H451*M451</f>
      </c>
      <c r="AM451" s="3"/>
      <c r="AN451" s="5"/>
      <c r="AO451" s="5"/>
      <c r="AP451" s="5"/>
      <c r="AQ451" s="3"/>
    </row>
    <row x14ac:dyDescent="0.25" r="452" customHeight="1" ht="12.75">
      <c r="A452" s="5" t="s">
        <v>113</v>
      </c>
      <c r="B452" s="3" t="s">
        <v>1109</v>
      </c>
      <c r="C452" s="3" t="s">
        <v>870</v>
      </c>
      <c r="D452" s="3"/>
      <c r="E452" s="3" t="s">
        <v>855</v>
      </c>
      <c r="F452" s="3" t="s">
        <v>1546</v>
      </c>
      <c r="G452" s="3" t="s">
        <v>1480</v>
      </c>
      <c r="H452" s="6">
        <v>1.841</v>
      </c>
      <c r="I452" s="6"/>
      <c r="J452" s="6">
        <v>10.05</v>
      </c>
      <c r="K452" s="5">
        <v>115</v>
      </c>
      <c r="L452" s="6">
        <v>1.78</v>
      </c>
      <c r="M452" s="6">
        <v>3.31</v>
      </c>
      <c r="N452" s="7"/>
      <c r="O452" s="23"/>
      <c r="P452" s="6"/>
      <c r="Q452" s="6"/>
      <c r="R452" s="31"/>
      <c r="S452" s="6"/>
      <c r="T452" s="31"/>
      <c r="U452" s="6"/>
      <c r="V452" s="23"/>
      <c r="W452" s="6"/>
      <c r="X452" s="6"/>
      <c r="Y452" s="5"/>
      <c r="Z452" s="3"/>
      <c r="AA452" s="6">
        <f>H452*I452/100</f>
      </c>
      <c r="AB452" s="6">
        <f>H452*J452/100</f>
      </c>
      <c r="AC452" s="7">
        <f>H452*K452</f>
      </c>
      <c r="AD452" s="7">
        <f>H452*M452</f>
      </c>
      <c r="AE452" s="6">
        <f>H452*L452/100</f>
      </c>
      <c r="AF452" s="6">
        <f>AA452+AB452+AE452</f>
      </c>
      <c r="AG452" s="6">
        <f>I452+J452+L452</f>
      </c>
      <c r="AH452" s="53">
        <f>$H452*I452</f>
      </c>
      <c r="AI452" s="53">
        <f>$H452*J452</f>
      </c>
      <c r="AJ452" s="53">
        <f>$H452*K452</f>
      </c>
      <c r="AK452" s="53">
        <f>$H452*L452</f>
      </c>
      <c r="AL452" s="53">
        <f>$H452*M452</f>
      </c>
      <c r="AM452" s="3"/>
      <c r="AN452" s="5"/>
      <c r="AO452" s="5"/>
      <c r="AP452" s="5"/>
      <c r="AQ452" s="3"/>
    </row>
    <row x14ac:dyDescent="0.25" r="453" customHeight="1" ht="12.75">
      <c r="A453" s="5" t="s">
        <v>488</v>
      </c>
      <c r="B453" s="3" t="s">
        <v>1109</v>
      </c>
      <c r="C453" s="3" t="s">
        <v>870</v>
      </c>
      <c r="D453" s="3"/>
      <c r="E453" s="3" t="s">
        <v>855</v>
      </c>
      <c r="F453" s="3" t="s">
        <v>1546</v>
      </c>
      <c r="G453" s="3" t="s">
        <v>1480</v>
      </c>
      <c r="H453" s="6">
        <f>0.371+0.72+1.389+0.774+0.058+0.239+0.138+0.144+0.154+0.006</f>
      </c>
      <c r="I453" s="6"/>
      <c r="J453" s="6">
        <f>(0.04*0.371+0.05*0.72+0.07*1.389+3.92*0.774+3.05*0.058+0.1*0.239+0*0.138+0.1*0.144+3.6*0.154+3.3*0.006)/$H453</f>
      </c>
      <c r="K453" s="31">
        <f>(6*0.371+27*0.72+33*1.389+29*0.774+22*0.058+5*0.239+22*0.138+31*0.144+41*0.154+21*0.006)/$H453</f>
      </c>
      <c r="L453" s="6">
        <f>(0.06*0.371+0.08*0.72+5.15*1.389+2.34*0.774+0.36*0.058+0.1*0.239+0.1*0.138+2.7*0.144+1.2*0.154+0.4*0.006)/$H453</f>
      </c>
      <c r="M453" s="6">
        <f>(1.47*0.371+2.85*0.72+1.4*1.389+1.3*0.774+1.24*0.058+1.1*0.239+1.4*0.138+0.6*0.144+2.6*0.154+1.1*0.006)/$H453</f>
      </c>
      <c r="N453" s="7"/>
      <c r="O453" s="23"/>
      <c r="P453" s="6"/>
      <c r="Q453" s="6"/>
      <c r="R453" s="31"/>
      <c r="S453" s="6"/>
      <c r="T453" s="31"/>
      <c r="U453" s="6"/>
      <c r="V453" s="23"/>
      <c r="W453" s="6"/>
      <c r="X453" s="6"/>
      <c r="Y453" s="5"/>
      <c r="Z453" s="3"/>
      <c r="AA453" s="6">
        <f>H453*I453/100</f>
      </c>
      <c r="AB453" s="6">
        <f>H453*J453/100</f>
      </c>
      <c r="AC453" s="7">
        <f>H453*K453</f>
      </c>
      <c r="AD453" s="7">
        <f>H453*M453</f>
      </c>
      <c r="AE453" s="6">
        <f>H453*L453/100</f>
      </c>
      <c r="AF453" s="6">
        <f>AA453+AB453+AE453</f>
      </c>
      <c r="AG453" s="6">
        <f>I453+J453+L453</f>
      </c>
      <c r="AH453" s="53">
        <f>$H453*I453</f>
      </c>
      <c r="AI453" s="53">
        <f>$H453*J453</f>
      </c>
      <c r="AJ453" s="53">
        <f>$H453*K453</f>
      </c>
      <c r="AK453" s="53">
        <f>$H453*L453</f>
      </c>
      <c r="AL453" s="53">
        <f>$H453*M453</f>
      </c>
      <c r="AM453" s="3"/>
      <c r="AN453" s="5"/>
      <c r="AO453" s="5"/>
      <c r="AP453" s="5"/>
      <c r="AQ453" s="3"/>
    </row>
    <row x14ac:dyDescent="0.25" r="454" customHeight="1" ht="12.75">
      <c r="A454" s="5" t="s">
        <v>251</v>
      </c>
      <c r="B454" s="3" t="s">
        <v>1109</v>
      </c>
      <c r="C454" s="3" t="s">
        <v>870</v>
      </c>
      <c r="D454" s="3"/>
      <c r="E454" s="3" t="s">
        <v>855</v>
      </c>
      <c r="F454" s="3" t="s">
        <v>1546</v>
      </c>
      <c r="G454" s="3" t="s">
        <v>1480</v>
      </c>
      <c r="H454" s="6">
        <f>1.74+1.64+49.8+16.8+13.28+1.77</f>
      </c>
      <c r="I454" s="6"/>
      <c r="J454" s="6">
        <f>(0.04*1.74+0.38*1.64+0.93*49.8+2.8*16.8+0.89*13.28+1.94*1.77)/$H454</f>
      </c>
      <c r="K454" s="7">
        <f>(4.3*1.74+12.2*1.64+7.7*49.8+9.9*16.8+10*13.28+11*1.77)/$H454</f>
      </c>
      <c r="L454" s="6">
        <f>(0.07*1.74+0.94*1.64+0.83*49.8+0.14*16.8+0.87*13.28+0.2*1.77)/$H454</f>
      </c>
      <c r="M454" s="6">
        <f>(1.06*1.74+0.17*1.64+0.17*49.8+0.31*16.8+0.25*13.28+0.39*1.77)/$H454</f>
      </c>
      <c r="N454" s="7"/>
      <c r="O454" s="23"/>
      <c r="P454" s="6"/>
      <c r="Q454" s="6"/>
      <c r="R454" s="31"/>
      <c r="S454" s="6"/>
      <c r="T454" s="31"/>
      <c r="U454" s="6"/>
      <c r="V454" s="23"/>
      <c r="W454" s="6"/>
      <c r="X454" s="6"/>
      <c r="Y454" s="5"/>
      <c r="Z454" s="3"/>
      <c r="AA454" s="6">
        <f>H454*I454/100</f>
      </c>
      <c r="AB454" s="6">
        <f>H454*J454/100</f>
      </c>
      <c r="AC454" s="7">
        <f>H454*K454</f>
      </c>
      <c r="AD454" s="7">
        <f>H454*M454</f>
      </c>
      <c r="AE454" s="6">
        <f>H454*L454/100</f>
      </c>
      <c r="AF454" s="6">
        <f>AA454+AB454+AE454</f>
      </c>
      <c r="AG454" s="6">
        <f>I454+J454+L454</f>
      </c>
      <c r="AH454" s="53">
        <f>$H454*I454</f>
      </c>
      <c r="AI454" s="53">
        <f>$H454*J454</f>
      </c>
      <c r="AJ454" s="53">
        <f>$H454*K454</f>
      </c>
      <c r="AK454" s="53">
        <f>$H454*L454</f>
      </c>
      <c r="AL454" s="53">
        <f>$H454*M454</f>
      </c>
      <c r="AM454" s="3"/>
      <c r="AN454" s="5"/>
      <c r="AO454" s="5"/>
      <c r="AP454" s="5"/>
      <c r="AQ454" s="3"/>
    </row>
    <row x14ac:dyDescent="0.25" r="455" customHeight="1" ht="12.75">
      <c r="A455" s="5" t="s">
        <v>236</v>
      </c>
      <c r="B455" s="3" t="s">
        <v>1109</v>
      </c>
      <c r="C455" s="3" t="s">
        <v>870</v>
      </c>
      <c r="D455" s="3"/>
      <c r="E455" s="3" t="s">
        <v>855</v>
      </c>
      <c r="F455" s="3" t="s">
        <v>1547</v>
      </c>
      <c r="G455" s="3" t="s">
        <v>1185</v>
      </c>
      <c r="H455" s="6">
        <f>0.41+7.46+21.07+0.03+0.01+1.3</f>
      </c>
      <c r="I455" s="6"/>
      <c r="J455" s="6">
        <f>(0*0.41+0*7.46+5.87*21.07+0*0.03+0*0.01+4.5*1.3)/$H455</f>
      </c>
      <c r="K455" s="31">
        <f>(21*0.41+27*7.46+47*21.07+39*0.03+10*0.01+36*1.3)/$H455</f>
      </c>
      <c r="L455" s="6">
        <f>(0*0.41+3.68*7.46+1.05*21.07+0*0.03+7.23*0.01+0.8*1.3)/$H455</f>
      </c>
      <c r="M455" s="7">
        <f>(6.8*0.41+0.6*7.46+0.7*21.07+7.3*0.03+0.1*0.01+0.5*1.3)/$H455</f>
      </c>
      <c r="N455" s="7"/>
      <c r="O455" s="23"/>
      <c r="P455" s="6"/>
      <c r="Q455" s="6"/>
      <c r="R455" s="31"/>
      <c r="S455" s="6"/>
      <c r="T455" s="31"/>
      <c r="U455" s="6"/>
      <c r="V455" s="23"/>
      <c r="W455" s="6"/>
      <c r="X455" s="6"/>
      <c r="Y455" s="5"/>
      <c r="Z455" s="3"/>
      <c r="AA455" s="6">
        <f>H455*I455/100</f>
      </c>
      <c r="AB455" s="6">
        <f>H455*J455/100</f>
      </c>
      <c r="AC455" s="7">
        <f>H455*K455</f>
      </c>
      <c r="AD455" s="7">
        <f>H455*M455</f>
      </c>
      <c r="AE455" s="6">
        <f>H455*L455/100</f>
      </c>
      <c r="AF455" s="6">
        <f>AA455+AB455+AE455</f>
      </c>
      <c r="AG455" s="6">
        <f>I455+J455+L455</f>
      </c>
      <c r="AH455" s="53">
        <f>$H455*I455</f>
      </c>
      <c r="AI455" s="53">
        <f>$H455*J455</f>
      </c>
      <c r="AJ455" s="53">
        <f>$H455*K455</f>
      </c>
      <c r="AK455" s="53">
        <f>$H455*L455</f>
      </c>
      <c r="AL455" s="53">
        <f>$H455*M455</f>
      </c>
      <c r="AM455" s="3"/>
      <c r="AN455" s="5"/>
      <c r="AO455" s="5"/>
      <c r="AP455" s="5"/>
      <c r="AQ455" s="3"/>
    </row>
    <row x14ac:dyDescent="0.25" r="456" customHeight="1" ht="12.75">
      <c r="A456" s="5" t="s">
        <v>710</v>
      </c>
      <c r="B456" s="3" t="s">
        <v>1109</v>
      </c>
      <c r="C456" s="3" t="s">
        <v>870</v>
      </c>
      <c r="D456" s="3"/>
      <c r="E456" s="3" t="s">
        <v>855</v>
      </c>
      <c r="F456" s="3" t="s">
        <v>1547</v>
      </c>
      <c r="G456" s="3" t="s">
        <v>1185</v>
      </c>
      <c r="H456" s="6">
        <f>6.86+0.02+0.002</f>
      </c>
      <c r="I456" s="6"/>
      <c r="J456" s="6">
        <f>(1.86*6.86+0*0.02+0.2*0.002)/$H456</f>
      </c>
      <c r="K456" s="31">
        <f>(10*6.86+17*0.02+8*0.002)/$H456</f>
      </c>
      <c r="L456" s="6">
        <f>(1.14*6.86+0*0.02+0.9*0.002)/$H456</f>
      </c>
      <c r="M456" s="7">
        <f>(0.2*6.86+1.5*0.02+0.2*0.002)/$H456</f>
      </c>
      <c r="N456" s="7"/>
      <c r="O456" s="23"/>
      <c r="P456" s="6"/>
      <c r="Q456" s="6"/>
      <c r="R456" s="31"/>
      <c r="S456" s="6"/>
      <c r="T456" s="31"/>
      <c r="U456" s="6"/>
      <c r="V456" s="23"/>
      <c r="W456" s="6"/>
      <c r="X456" s="6"/>
      <c r="Y456" s="5"/>
      <c r="Z456" s="3"/>
      <c r="AA456" s="6">
        <f>H456*I456/100</f>
      </c>
      <c r="AB456" s="6">
        <f>H456*J456/100</f>
      </c>
      <c r="AC456" s="7">
        <f>H456*K456</f>
      </c>
      <c r="AD456" s="7">
        <f>H456*M456</f>
      </c>
      <c r="AE456" s="6">
        <f>H456*L456/100</f>
      </c>
      <c r="AF456" s="6">
        <f>AA456+AB456+AE456</f>
      </c>
      <c r="AG456" s="6">
        <f>I456+J456+L456</f>
      </c>
      <c r="AH456" s="53">
        <f>$H456*I456</f>
      </c>
      <c r="AI456" s="53">
        <f>$H456*J456</f>
      </c>
      <c r="AJ456" s="53">
        <f>$H456*K456</f>
      </c>
      <c r="AK456" s="53">
        <f>$H456*L456</f>
      </c>
      <c r="AL456" s="53">
        <f>$H456*M456</f>
      </c>
      <c r="AM456" s="3"/>
      <c r="AN456" s="5"/>
      <c r="AO456" s="5"/>
      <c r="AP456" s="5"/>
      <c r="AQ456" s="3"/>
    </row>
    <row x14ac:dyDescent="0.25" r="457" customHeight="1" ht="12.75">
      <c r="A457" s="5" t="s">
        <v>735</v>
      </c>
      <c r="B457" s="3" t="s">
        <v>1109</v>
      </c>
      <c r="C457" s="3" t="s">
        <v>870</v>
      </c>
      <c r="D457" s="3"/>
      <c r="E457" s="3" t="s">
        <v>855</v>
      </c>
      <c r="F457" s="3" t="s">
        <v>1547</v>
      </c>
      <c r="G457" s="3" t="s">
        <v>1185</v>
      </c>
      <c r="H457" s="6">
        <f>0.07+1.8+0.02+0.35</f>
      </c>
      <c r="I457" s="6"/>
      <c r="J457" s="6">
        <f>(0*0.07+3.91*1.8+0*0.02+4.1*0.35)/$H457</f>
      </c>
      <c r="K457" s="31">
        <f>(14*0.07+23*1.8+8*0.02+32*0.35)/$H457</f>
      </c>
      <c r="L457" s="6">
        <f>(0*0.07+0.65*1.8+0*0.02+0.75*0.35)/$H457</f>
      </c>
      <c r="M457" s="7">
        <f>(5.5*0.07+0.6*1.8+5.9*0.02+0.8*0.35)/$H457</f>
      </c>
      <c r="N457" s="7"/>
      <c r="O457" s="23"/>
      <c r="P457" s="6"/>
      <c r="Q457" s="6"/>
      <c r="R457" s="31"/>
      <c r="S457" s="6"/>
      <c r="T457" s="31"/>
      <c r="U457" s="6"/>
      <c r="V457" s="23"/>
      <c r="W457" s="6"/>
      <c r="X457" s="6"/>
      <c r="Y457" s="5"/>
      <c r="Z457" s="3"/>
      <c r="AA457" s="6">
        <f>H457*I457/100</f>
      </c>
      <c r="AB457" s="6">
        <f>H457*J457/100</f>
      </c>
      <c r="AC457" s="7">
        <f>H457*K457</f>
      </c>
      <c r="AD457" s="7">
        <f>H457*M457</f>
      </c>
      <c r="AE457" s="6">
        <f>H457*L457/100</f>
      </c>
      <c r="AF457" s="6">
        <f>AA457+AB457+AE457</f>
      </c>
      <c r="AG457" s="6">
        <f>I457+J457+L457</f>
      </c>
      <c r="AH457" s="53">
        <f>$H457*I457</f>
      </c>
      <c r="AI457" s="53">
        <f>$H457*J457</f>
      </c>
      <c r="AJ457" s="53">
        <f>$H457*K457</f>
      </c>
      <c r="AK457" s="53">
        <f>$H457*L457</f>
      </c>
      <c r="AL457" s="53">
        <f>$H457*M457</f>
      </c>
      <c r="AM457" s="3"/>
      <c r="AN457" s="5"/>
      <c r="AO457" s="5"/>
      <c r="AP457" s="5"/>
      <c r="AQ457" s="3"/>
    </row>
    <row x14ac:dyDescent="0.25" r="458" customHeight="1" ht="12.75">
      <c r="A458" s="5" t="s">
        <v>769</v>
      </c>
      <c r="B458" s="3" t="s">
        <v>1109</v>
      </c>
      <c r="C458" s="3" t="s">
        <v>870</v>
      </c>
      <c r="D458" s="3"/>
      <c r="E458" s="3" t="s">
        <v>855</v>
      </c>
      <c r="F458" s="3" t="s">
        <v>1547</v>
      </c>
      <c r="G458" s="3" t="s">
        <v>1185</v>
      </c>
      <c r="H458" s="6">
        <f>1.02+2.53+0.5+0.1+0.1</f>
      </c>
      <c r="I458" s="6"/>
      <c r="J458" s="6">
        <f>(0*1.02+1.08*2.53+0*0.5+0*0.1+0.9*0.1)/$H458</f>
      </c>
      <c r="K458" s="31">
        <f>(10*1.02+13*2.53+18*0.5+19*0.1+15*0.1)/$H458</f>
      </c>
      <c r="L458" s="6">
        <f>(1.47*1.02+1.04*2.53+0*0.5+0.8*0.1+0.9*0.1)/$H458</f>
      </c>
      <c r="M458" s="6">
        <f>(0.2*1.02+0.3*2.53+3.7*0.5+3.7*0.1+2.9*0.1)/$H458</f>
      </c>
      <c r="N458" s="7"/>
      <c r="O458" s="23"/>
      <c r="P458" s="6"/>
      <c r="Q458" s="6"/>
      <c r="R458" s="31"/>
      <c r="S458" s="6"/>
      <c r="T458" s="31"/>
      <c r="U458" s="6"/>
      <c r="V458" s="23"/>
      <c r="W458" s="6"/>
      <c r="X458" s="6"/>
      <c r="Y458" s="5"/>
      <c r="Z458" s="3"/>
      <c r="AA458" s="6">
        <f>H458*I458/100</f>
      </c>
      <c r="AB458" s="6">
        <f>H458*J458/100</f>
      </c>
      <c r="AC458" s="7">
        <f>H458*K458</f>
      </c>
      <c r="AD458" s="7">
        <f>H458*M458</f>
      </c>
      <c r="AE458" s="6">
        <f>H458*L458/100</f>
      </c>
      <c r="AF458" s="6">
        <f>AA458+AB458+AE458</f>
      </c>
      <c r="AG458" s="6">
        <f>I458+J458+L458</f>
      </c>
      <c r="AH458" s="53">
        <f>$H458*I458</f>
      </c>
      <c r="AI458" s="53">
        <f>$H458*J458</f>
      </c>
      <c r="AJ458" s="53">
        <f>$H458*K458</f>
      </c>
      <c r="AK458" s="53">
        <f>$H458*L458</f>
      </c>
      <c r="AL458" s="53">
        <f>$H458*M458</f>
      </c>
      <c r="AM458" s="3"/>
      <c r="AN458" s="5"/>
      <c r="AO458" s="5"/>
      <c r="AP458" s="5"/>
      <c r="AQ458" s="3"/>
    </row>
    <row x14ac:dyDescent="0.25" r="459" customHeight="1" ht="12.75">
      <c r="A459" s="5" t="s">
        <v>727</v>
      </c>
      <c r="B459" s="3" t="s">
        <v>1110</v>
      </c>
      <c r="C459" s="3" t="s">
        <v>870</v>
      </c>
      <c r="D459" s="3"/>
      <c r="E459" s="3" t="s">
        <v>855</v>
      </c>
      <c r="F459" s="3" t="s">
        <v>1548</v>
      </c>
      <c r="G459" s="3" t="s">
        <v>1204</v>
      </c>
      <c r="H459" s="6">
        <f>1.03+1.23+0.9</f>
      </c>
      <c r="I459" s="6"/>
      <c r="J459" s="6">
        <f>(0.06*1.03+0.07*1.23+0.1*0.9)/$H459</f>
      </c>
      <c r="K459" s="5"/>
      <c r="L459" s="6">
        <f>(0.47*1.03+0.3*1.23+0.3*0.9)/$H459</f>
      </c>
      <c r="M459" s="6"/>
      <c r="N459" s="7"/>
      <c r="O459" s="6">
        <f>(0.13*1.03+0.11*1.23+0.1*0.9)/$H459</f>
      </c>
      <c r="P459" s="6">
        <f>(0.47*1.03+0.42*1.23+0.4*0.9)/$H459</f>
      </c>
      <c r="Q459" s="6"/>
      <c r="R459" s="31"/>
      <c r="S459" s="6"/>
      <c r="T459" s="31"/>
      <c r="U459" s="6"/>
      <c r="V459" s="23"/>
      <c r="W459" s="6"/>
      <c r="X459" s="6"/>
      <c r="Y459" s="5"/>
      <c r="Z459" s="3"/>
      <c r="AA459" s="6">
        <f>H459*I459/100</f>
      </c>
      <c r="AB459" s="6">
        <f>H459*J459/100</f>
      </c>
      <c r="AC459" s="7">
        <f>H459*K459</f>
      </c>
      <c r="AD459" s="7">
        <f>H459*M459</f>
      </c>
      <c r="AE459" s="6">
        <f>H459*L459/100</f>
      </c>
      <c r="AF459" s="6">
        <f>AA459+AB459+AE459</f>
      </c>
      <c r="AG459" s="6">
        <f>I459+J459+L459</f>
      </c>
      <c r="AH459" s="53">
        <f>$H459*I459</f>
      </c>
      <c r="AI459" s="53">
        <f>$H459*J459</f>
      </c>
      <c r="AJ459" s="53">
        <f>$H459*K459</f>
      </c>
      <c r="AK459" s="53">
        <f>$H459*L459</f>
      </c>
      <c r="AL459" s="53">
        <f>$H459*M459</f>
      </c>
      <c r="AM459" s="3"/>
      <c r="AN459" s="5"/>
      <c r="AO459" s="5"/>
      <c r="AP459" s="5"/>
      <c r="AQ459" s="3"/>
    </row>
    <row x14ac:dyDescent="0.25" r="460" customHeight="1" ht="12.75">
      <c r="A460" s="5" t="s">
        <v>622</v>
      </c>
      <c r="B460" s="3" t="s">
        <v>1110</v>
      </c>
      <c r="C460" s="3" t="s">
        <v>1003</v>
      </c>
      <c r="D460" s="3" t="s">
        <v>1004</v>
      </c>
      <c r="E460" s="3" t="s">
        <v>855</v>
      </c>
      <c r="F460" s="3" t="s">
        <v>1549</v>
      </c>
      <c r="G460" s="3" t="s">
        <v>1415</v>
      </c>
      <c r="H460" s="6">
        <v>34.4</v>
      </c>
      <c r="I460" s="6"/>
      <c r="J460" s="6">
        <v>0.38</v>
      </c>
      <c r="K460" s="5"/>
      <c r="L460" s="6">
        <v>0.1</v>
      </c>
      <c r="M460" s="6"/>
      <c r="N460" s="7"/>
      <c r="O460" s="6">
        <v>0.19</v>
      </c>
      <c r="P460" s="6"/>
      <c r="Q460" s="6"/>
      <c r="R460" s="31"/>
      <c r="S460" s="6"/>
      <c r="T460" s="31"/>
      <c r="U460" s="6"/>
      <c r="V460" s="23"/>
      <c r="W460" s="6"/>
      <c r="X460" s="6"/>
      <c r="Y460" s="5"/>
      <c r="Z460" s="3"/>
      <c r="AA460" s="6">
        <f>H460*I460/100</f>
      </c>
      <c r="AB460" s="6">
        <f>H460*J460/100</f>
      </c>
      <c r="AC460" s="7">
        <f>H460*K460</f>
      </c>
      <c r="AD460" s="7">
        <f>H460*M460</f>
      </c>
      <c r="AE460" s="6">
        <f>H460*L460/100</f>
      </c>
      <c r="AF460" s="6">
        <f>AA460+AB460+AE460</f>
      </c>
      <c r="AG460" s="6">
        <f>I460+J460+L460</f>
      </c>
      <c r="AH460" s="53">
        <f>$H460*I460</f>
      </c>
      <c r="AI460" s="53">
        <f>$H460*J460</f>
      </c>
      <c r="AJ460" s="53">
        <f>$H460*K460</f>
      </c>
      <c r="AK460" s="53">
        <f>$H460*L460</f>
      </c>
      <c r="AL460" s="53">
        <f>$H460*M460</f>
      </c>
      <c r="AM460" s="3"/>
      <c r="AN460" s="5"/>
      <c r="AO460" s="5"/>
      <c r="AP460" s="5"/>
      <c r="AQ460" s="3"/>
    </row>
    <row x14ac:dyDescent="0.25" r="461" customHeight="1" ht="12.75">
      <c r="A461" s="5" t="s">
        <v>848</v>
      </c>
      <c r="B461" s="3" t="s">
        <v>1110</v>
      </c>
      <c r="C461" s="3" t="s">
        <v>870</v>
      </c>
      <c r="D461" s="3"/>
      <c r="E461" s="38" t="s">
        <v>859</v>
      </c>
      <c r="F461" s="3" t="s">
        <v>1171</v>
      </c>
      <c r="G461" s="3" t="s">
        <v>1550</v>
      </c>
      <c r="H461" s="6">
        <v>0.4</v>
      </c>
      <c r="I461" s="6"/>
      <c r="J461" s="6">
        <v>0.1</v>
      </c>
      <c r="K461" s="5"/>
      <c r="L461" s="6">
        <v>0.44</v>
      </c>
      <c r="M461" s="6"/>
      <c r="N461" s="7"/>
      <c r="O461" s="6">
        <v>0.18</v>
      </c>
      <c r="P461" s="6">
        <v>0.07</v>
      </c>
      <c r="Q461" s="6"/>
      <c r="R461" s="31"/>
      <c r="S461" s="6"/>
      <c r="T461" s="31"/>
      <c r="U461" s="6"/>
      <c r="V461" s="23"/>
      <c r="W461" s="6"/>
      <c r="X461" s="6"/>
      <c r="Y461" s="5"/>
      <c r="Z461" s="3"/>
      <c r="AA461" s="6">
        <f>H461*I461/100</f>
      </c>
      <c r="AB461" s="6">
        <f>H461*J461/100</f>
      </c>
      <c r="AC461" s="7">
        <f>H461*K461</f>
      </c>
      <c r="AD461" s="7">
        <f>H461*M461</f>
      </c>
      <c r="AE461" s="6">
        <f>H461*L461/100</f>
      </c>
      <c r="AF461" s="6">
        <f>AA461+AB461+AE461</f>
      </c>
      <c r="AG461" s="6">
        <f>I461+J461+L461</f>
      </c>
      <c r="AH461" s="53">
        <f>$H461*I461</f>
      </c>
      <c r="AI461" s="53">
        <f>$H461*J461</f>
      </c>
      <c r="AJ461" s="53">
        <f>$H461*K461</f>
      </c>
      <c r="AK461" s="53">
        <f>$H461*L461</f>
      </c>
      <c r="AL461" s="53">
        <f>$H461*M461</f>
      </c>
      <c r="AM461" s="3"/>
      <c r="AN461" s="5"/>
      <c r="AO461" s="5"/>
      <c r="AP461" s="5"/>
      <c r="AQ461" s="3"/>
    </row>
    <row x14ac:dyDescent="0.25" r="462" customHeight="1" ht="12.75">
      <c r="A462" s="5" t="s">
        <v>590</v>
      </c>
      <c r="B462" s="3" t="s">
        <v>1110</v>
      </c>
      <c r="C462" s="3" t="s">
        <v>870</v>
      </c>
      <c r="D462" s="3"/>
      <c r="E462" s="3" t="s">
        <v>855</v>
      </c>
      <c r="F462" s="3" t="s">
        <v>1548</v>
      </c>
      <c r="G462" s="3" t="s">
        <v>1204</v>
      </c>
      <c r="H462" s="6">
        <v>7.7</v>
      </c>
      <c r="I462" s="6"/>
      <c r="J462" s="6">
        <v>0.52</v>
      </c>
      <c r="K462" s="5"/>
      <c r="L462" s="6">
        <v>1.31</v>
      </c>
      <c r="M462" s="6">
        <v>0.68</v>
      </c>
      <c r="N462" s="7"/>
      <c r="O462" s="6">
        <v>0.21</v>
      </c>
      <c r="P462" s="6">
        <v>0.23</v>
      </c>
      <c r="Q462" s="6"/>
      <c r="R462" s="31"/>
      <c r="S462" s="6"/>
      <c r="T462" s="31"/>
      <c r="U462" s="6"/>
      <c r="V462" s="23"/>
      <c r="W462" s="6"/>
      <c r="X462" s="6"/>
      <c r="Y462" s="5"/>
      <c r="Z462" s="3"/>
      <c r="AA462" s="6">
        <f>H462*I462/100</f>
      </c>
      <c r="AB462" s="6">
        <f>H462*J462/100</f>
      </c>
      <c r="AC462" s="7">
        <f>H462*K462</f>
      </c>
      <c r="AD462" s="7">
        <f>H462*M462</f>
      </c>
      <c r="AE462" s="6">
        <f>H462*L462/100</f>
      </c>
      <c r="AF462" s="6">
        <f>AA462+AB462+AE462</f>
      </c>
      <c r="AG462" s="6">
        <f>I462+J462+L462</f>
      </c>
      <c r="AH462" s="53">
        <f>$H462*I462</f>
      </c>
      <c r="AI462" s="53">
        <f>$H462*J462</f>
      </c>
      <c r="AJ462" s="53">
        <f>$H462*K462</f>
      </c>
      <c r="AK462" s="53">
        <f>$H462*L462</f>
      </c>
      <c r="AL462" s="53">
        <f>$H462*M462</f>
      </c>
      <c r="AM462" s="3"/>
      <c r="AN462" s="5"/>
      <c r="AO462" s="5"/>
      <c r="AP462" s="5"/>
      <c r="AQ462" s="3"/>
    </row>
    <row x14ac:dyDescent="0.25" r="463" customHeight="1" ht="12.75">
      <c r="A463" s="5" t="s">
        <v>510</v>
      </c>
      <c r="B463" s="3" t="s">
        <v>1110</v>
      </c>
      <c r="C463" s="3" t="s">
        <v>870</v>
      </c>
      <c r="D463" s="3"/>
      <c r="E463" s="38" t="s">
        <v>859</v>
      </c>
      <c r="F463" s="3" t="s">
        <v>1171</v>
      </c>
      <c r="G463" s="3" t="s">
        <v>1550</v>
      </c>
      <c r="H463" s="6">
        <v>1.32</v>
      </c>
      <c r="I463" s="6"/>
      <c r="J463" s="6">
        <v>1.89</v>
      </c>
      <c r="K463" s="5"/>
      <c r="L463" s="6">
        <v>2.15</v>
      </c>
      <c r="M463" s="6"/>
      <c r="N463" s="7"/>
      <c r="O463" s="6">
        <v>0.15</v>
      </c>
      <c r="P463" s="6">
        <v>0.16</v>
      </c>
      <c r="Q463" s="6"/>
      <c r="R463" s="31"/>
      <c r="S463" s="6"/>
      <c r="T463" s="31"/>
      <c r="U463" s="6"/>
      <c r="V463" s="23"/>
      <c r="W463" s="6"/>
      <c r="X463" s="6"/>
      <c r="Y463" s="5"/>
      <c r="Z463" s="3"/>
      <c r="AA463" s="6">
        <f>H463*I463/100</f>
      </c>
      <c r="AB463" s="6">
        <f>H463*J463/100</f>
      </c>
      <c r="AC463" s="7">
        <f>H463*K463</f>
      </c>
      <c r="AD463" s="7">
        <f>H463*M463</f>
      </c>
      <c r="AE463" s="6">
        <f>H463*L463/100</f>
      </c>
      <c r="AF463" s="6">
        <f>AA463+AB463+AE463</f>
      </c>
      <c r="AG463" s="6">
        <f>I463+J463+L463</f>
      </c>
      <c r="AH463" s="53">
        <f>$H463*I463</f>
      </c>
      <c r="AI463" s="53">
        <f>$H463*J463</f>
      </c>
      <c r="AJ463" s="53">
        <f>$H463*K463</f>
      </c>
      <c r="AK463" s="53">
        <f>$H463*L463</f>
      </c>
      <c r="AL463" s="53">
        <f>$H463*M463</f>
      </c>
      <c r="AM463" s="3"/>
      <c r="AN463" s="5"/>
      <c r="AO463" s="5"/>
      <c r="AP463" s="5"/>
      <c r="AQ463" s="3"/>
    </row>
    <row x14ac:dyDescent="0.25" r="464" customHeight="1" ht="12.75">
      <c r="A464" s="5" t="s">
        <v>634</v>
      </c>
      <c r="B464" s="3" t="s">
        <v>1110</v>
      </c>
      <c r="C464" s="3" t="s">
        <v>870</v>
      </c>
      <c r="D464" s="3"/>
      <c r="E464" s="3" t="s">
        <v>855</v>
      </c>
      <c r="F464" s="3" t="s">
        <v>1551</v>
      </c>
      <c r="G464" s="3" t="s">
        <v>1185</v>
      </c>
      <c r="H464" s="6">
        <f>7.22+7.393</f>
      </c>
      <c r="I464" s="6"/>
      <c r="J464" s="6">
        <f>(0.45*7.22+1.79*7.393)/$H464</f>
      </c>
      <c r="K464" s="7">
        <f>(14*7.22+14*7.393)/$H464</f>
      </c>
      <c r="L464" s="6">
        <f>(0.6*7.22+1.05*7.393)/$H464</f>
      </c>
      <c r="M464" s="6">
        <f>(0.4*7.22+0.4*7.393)/$H464</f>
      </c>
      <c r="N464" s="7"/>
      <c r="O464" s="23"/>
      <c r="P464" s="6"/>
      <c r="Q464" s="6"/>
      <c r="R464" s="31"/>
      <c r="S464" s="6"/>
      <c r="T464" s="31"/>
      <c r="U464" s="6"/>
      <c r="V464" s="23"/>
      <c r="W464" s="6"/>
      <c r="X464" s="6"/>
      <c r="Y464" s="5"/>
      <c r="Z464" s="3"/>
      <c r="AA464" s="6">
        <f>H464*I464/100</f>
      </c>
      <c r="AB464" s="6">
        <f>H464*J464/100</f>
      </c>
      <c r="AC464" s="7">
        <f>H464*K464</f>
      </c>
      <c r="AD464" s="7">
        <f>H464*M464</f>
      </c>
      <c r="AE464" s="6">
        <f>H464*L464/100</f>
      </c>
      <c r="AF464" s="6">
        <f>AA464+AB464+AE464</f>
      </c>
      <c r="AG464" s="6">
        <f>I464+J464+L464</f>
      </c>
      <c r="AH464" s="53">
        <f>$H464*I464</f>
      </c>
      <c r="AI464" s="53">
        <f>$H464*J464</f>
      </c>
      <c r="AJ464" s="53">
        <f>$H464*K464</f>
      </c>
      <c r="AK464" s="53">
        <f>$H464*L464</f>
      </c>
      <c r="AL464" s="53">
        <f>$H464*M464</f>
      </c>
      <c r="AM464" s="3"/>
      <c r="AN464" s="5"/>
      <c r="AO464" s="5"/>
      <c r="AP464" s="5"/>
      <c r="AQ464" s="3"/>
    </row>
    <row x14ac:dyDescent="0.25" r="465" customHeight="1" ht="12.75">
      <c r="A465" s="5" t="s">
        <v>533</v>
      </c>
      <c r="B465" s="3" t="s">
        <v>1110</v>
      </c>
      <c r="C465" s="3" t="s">
        <v>866</v>
      </c>
      <c r="D465" s="3" t="s">
        <v>988</v>
      </c>
      <c r="E465" s="38" t="s">
        <v>859</v>
      </c>
      <c r="F465" s="3" t="s">
        <v>1171</v>
      </c>
      <c r="G465" s="3" t="s">
        <v>1173</v>
      </c>
      <c r="H465" s="6">
        <v>1.7</v>
      </c>
      <c r="I465" s="6">
        <v>0.96</v>
      </c>
      <c r="J465" s="6">
        <v>4.97</v>
      </c>
      <c r="K465" s="5">
        <v>53</v>
      </c>
      <c r="L465" s="6">
        <v>1.33</v>
      </c>
      <c r="M465" s="6"/>
      <c r="N465" s="7"/>
      <c r="O465" s="23"/>
      <c r="P465" s="6"/>
      <c r="Q465" s="6"/>
      <c r="R465" s="31"/>
      <c r="S465" s="6"/>
      <c r="T465" s="31"/>
      <c r="U465" s="6"/>
      <c r="V465" s="23"/>
      <c r="W465" s="6"/>
      <c r="X465" s="6"/>
      <c r="Y465" s="5"/>
      <c r="Z465" s="3"/>
      <c r="AA465" s="6">
        <f>H465*I465/100</f>
      </c>
      <c r="AB465" s="6">
        <f>H465*J465/100</f>
      </c>
      <c r="AC465" s="7">
        <f>H465*K465</f>
      </c>
      <c r="AD465" s="7">
        <f>H465*M465</f>
      </c>
      <c r="AE465" s="6">
        <f>H465*L465/100</f>
      </c>
      <c r="AF465" s="6">
        <f>AA465+AB465+AE465</f>
      </c>
      <c r="AG465" s="6">
        <f>I465+J465+L465</f>
      </c>
      <c r="AH465" s="53">
        <f>$H465*I465</f>
      </c>
      <c r="AI465" s="53">
        <f>$H465*J465</f>
      </c>
      <c r="AJ465" s="53">
        <f>$H465*K465</f>
      </c>
      <c r="AK465" s="53">
        <f>$H465*L465</f>
      </c>
      <c r="AL465" s="53">
        <f>$H465*M465</f>
      </c>
      <c r="AM465" s="3"/>
      <c r="AN465" s="5"/>
      <c r="AO465" s="5"/>
      <c r="AP465" s="5"/>
      <c r="AQ465" s="3"/>
    </row>
    <row x14ac:dyDescent="0.25" r="466" customHeight="1" ht="12.75">
      <c r="A466" s="5" t="s">
        <v>620</v>
      </c>
      <c r="B466" s="3" t="s">
        <v>1110</v>
      </c>
      <c r="C466" s="3" t="s">
        <v>861</v>
      </c>
      <c r="D466" s="3"/>
      <c r="E466" s="3" t="s">
        <v>855</v>
      </c>
      <c r="F466" s="3" t="s">
        <v>1552</v>
      </c>
      <c r="G466" s="3" t="s">
        <v>1553</v>
      </c>
      <c r="H466" s="6">
        <v>34.4</v>
      </c>
      <c r="I466" s="6"/>
      <c r="J466" s="6">
        <v>0.38</v>
      </c>
      <c r="K466" s="5"/>
      <c r="L466" s="6">
        <v>0.1</v>
      </c>
      <c r="M466" s="6"/>
      <c r="N466" s="7"/>
      <c r="O466" s="6">
        <v>0.19</v>
      </c>
      <c r="P466" s="6"/>
      <c r="Q466" s="6"/>
      <c r="R466" s="31"/>
      <c r="S466" s="6"/>
      <c r="T466" s="31"/>
      <c r="U466" s="6"/>
      <c r="V466" s="23"/>
      <c r="W466" s="6"/>
      <c r="X466" s="6"/>
      <c r="Y466" s="5"/>
      <c r="Z466" s="3"/>
      <c r="AA466" s="6">
        <f>H466*I466/100</f>
      </c>
      <c r="AB466" s="6">
        <f>H466*J466/100</f>
      </c>
      <c r="AC466" s="7">
        <f>H466*K466</f>
      </c>
      <c r="AD466" s="7">
        <f>H466*M466</f>
      </c>
      <c r="AE466" s="6">
        <f>H466*L466/100</f>
      </c>
      <c r="AF466" s="6">
        <f>AA466+AB466+AE466</f>
      </c>
      <c r="AG466" s="6">
        <f>I466+J466+L466</f>
      </c>
      <c r="AH466" s="53">
        <f>$H466*I466</f>
      </c>
      <c r="AI466" s="53">
        <f>$H466*J466</f>
      </c>
      <c r="AJ466" s="53">
        <f>$H466*K466</f>
      </c>
      <c r="AK466" s="53">
        <f>$H466*L466</f>
      </c>
      <c r="AL466" s="53">
        <f>$H466*M466</f>
      </c>
      <c r="AM466" s="3"/>
      <c r="AN466" s="5"/>
      <c r="AO466" s="5"/>
      <c r="AP466" s="5"/>
      <c r="AQ466" s="3"/>
    </row>
    <row x14ac:dyDescent="0.25" r="467" customHeight="1" ht="12.75">
      <c r="A467" s="5" t="s">
        <v>842</v>
      </c>
      <c r="B467" s="3" t="s">
        <v>1110</v>
      </c>
      <c r="C467" s="3" t="s">
        <v>870</v>
      </c>
      <c r="D467" s="3"/>
      <c r="E467" s="38" t="s">
        <v>859</v>
      </c>
      <c r="F467" s="3" t="s">
        <v>1171</v>
      </c>
      <c r="G467" s="3" t="s">
        <v>1550</v>
      </c>
      <c r="H467" s="6">
        <v>0.7</v>
      </c>
      <c r="I467" s="6"/>
      <c r="J467" s="6">
        <v>0.09</v>
      </c>
      <c r="K467" s="5"/>
      <c r="L467" s="6">
        <v>0.72</v>
      </c>
      <c r="M467" s="6">
        <v>0.3</v>
      </c>
      <c r="N467" s="7"/>
      <c r="O467" s="6">
        <v>0.03</v>
      </c>
      <c r="P467" s="6">
        <v>0.09</v>
      </c>
      <c r="Q467" s="6"/>
      <c r="R467" s="31"/>
      <c r="S467" s="6"/>
      <c r="T467" s="31"/>
      <c r="U467" s="6"/>
      <c r="V467" s="23"/>
      <c r="W467" s="6"/>
      <c r="X467" s="6"/>
      <c r="Y467" s="5"/>
      <c r="Z467" s="3"/>
      <c r="AA467" s="6">
        <f>H467*I467/100</f>
      </c>
      <c r="AB467" s="6">
        <f>H467*J467/100</f>
      </c>
      <c r="AC467" s="7">
        <f>H467*K467</f>
      </c>
      <c r="AD467" s="7">
        <f>H467*M467</f>
      </c>
      <c r="AE467" s="6">
        <f>H467*L467/100</f>
      </c>
      <c r="AF467" s="6">
        <f>AA467+AB467+AE467</f>
      </c>
      <c r="AG467" s="6">
        <f>I467+J467+L467</f>
      </c>
      <c r="AH467" s="53">
        <f>$H467*I467</f>
      </c>
      <c r="AI467" s="53">
        <f>$H467*J467</f>
      </c>
      <c r="AJ467" s="53">
        <f>$H467*K467</f>
      </c>
      <c r="AK467" s="53">
        <f>$H467*L467</f>
      </c>
      <c r="AL467" s="53">
        <f>$H467*M467</f>
      </c>
      <c r="AM467" s="3"/>
      <c r="AN467" s="5"/>
      <c r="AO467" s="5"/>
      <c r="AP467" s="5"/>
      <c r="AQ467" s="3"/>
    </row>
    <row x14ac:dyDescent="0.25" r="468" customHeight="1" ht="12.75">
      <c r="A468" s="5" t="s">
        <v>815</v>
      </c>
      <c r="B468" s="3" t="s">
        <v>1110</v>
      </c>
      <c r="C468" s="3" t="s">
        <v>870</v>
      </c>
      <c r="D468" s="3"/>
      <c r="E468" s="3" t="s">
        <v>855</v>
      </c>
      <c r="F468" s="3" t="s">
        <v>1548</v>
      </c>
      <c r="G468" s="3" t="s">
        <v>1204</v>
      </c>
      <c r="H468" s="6">
        <v>3.4</v>
      </c>
      <c r="I468" s="6"/>
      <c r="J468" s="6">
        <v>0.63</v>
      </c>
      <c r="K468" s="5"/>
      <c r="L468" s="6">
        <v>0.71</v>
      </c>
      <c r="M468" s="6"/>
      <c r="N468" s="7"/>
      <c r="O468" s="6">
        <v>0.05</v>
      </c>
      <c r="P468" s="6">
        <v>0.09</v>
      </c>
      <c r="Q468" s="6"/>
      <c r="R468" s="31"/>
      <c r="S468" s="6"/>
      <c r="T468" s="31"/>
      <c r="U468" s="6"/>
      <c r="V468" s="23"/>
      <c r="W468" s="6"/>
      <c r="X468" s="6"/>
      <c r="Y468" s="5"/>
      <c r="Z468" s="3"/>
      <c r="AA468" s="6">
        <f>H468*I468/100</f>
      </c>
      <c r="AB468" s="6">
        <f>H468*J468/100</f>
      </c>
      <c r="AC468" s="7">
        <f>H468*K468</f>
      </c>
      <c r="AD468" s="7">
        <f>H468*M468</f>
      </c>
      <c r="AE468" s="6">
        <f>H468*L468/100</f>
      </c>
      <c r="AF468" s="6">
        <f>AA468+AB468+AE468</f>
      </c>
      <c r="AG468" s="6">
        <f>I468+J468+L468</f>
      </c>
      <c r="AH468" s="53">
        <f>$H468*I468</f>
      </c>
      <c r="AI468" s="53">
        <f>$H468*J468</f>
      </c>
      <c r="AJ468" s="53">
        <f>$H468*K468</f>
      </c>
      <c r="AK468" s="53">
        <f>$H468*L468</f>
      </c>
      <c r="AL468" s="53">
        <f>$H468*M468</f>
      </c>
      <c r="AM468" s="3"/>
      <c r="AN468" s="5"/>
      <c r="AO468" s="5"/>
      <c r="AP468" s="5"/>
      <c r="AQ468" s="3"/>
    </row>
    <row x14ac:dyDescent="0.25" r="469" customHeight="1" ht="12.75">
      <c r="A469" s="5" t="s">
        <v>747</v>
      </c>
      <c r="B469" s="3" t="s">
        <v>1110</v>
      </c>
      <c r="C469" s="3" t="s">
        <v>1081</v>
      </c>
      <c r="D469" s="3"/>
      <c r="E469" s="38" t="s">
        <v>859</v>
      </c>
      <c r="F469" s="3" t="s">
        <v>1171</v>
      </c>
      <c r="G469" s="3" t="s">
        <v>1550</v>
      </c>
      <c r="H469" s="6">
        <v>0.2</v>
      </c>
      <c r="I469" s="6"/>
      <c r="J469" s="6">
        <v>0.25</v>
      </c>
      <c r="K469" s="5">
        <v>52</v>
      </c>
      <c r="L469" s="6">
        <v>1.95</v>
      </c>
      <c r="M469" s="6"/>
      <c r="N469" s="7"/>
      <c r="O469" s="23"/>
      <c r="P469" s="6"/>
      <c r="Q469" s="6"/>
      <c r="R469" s="31"/>
      <c r="S469" s="6"/>
      <c r="T469" s="31"/>
      <c r="U469" s="6"/>
      <c r="V469" s="23"/>
      <c r="W469" s="6"/>
      <c r="X469" s="6"/>
      <c r="Y469" s="5"/>
      <c r="Z469" s="3"/>
      <c r="AA469" s="6">
        <f>H469*I469/100</f>
      </c>
      <c r="AB469" s="6">
        <f>H469*J469/100</f>
      </c>
      <c r="AC469" s="7">
        <f>H469*K469</f>
      </c>
      <c r="AD469" s="7">
        <f>H469*M469</f>
      </c>
      <c r="AE469" s="6">
        <f>H469*L469/100</f>
      </c>
      <c r="AF469" s="6">
        <f>AA469+AB469+AE469</f>
      </c>
      <c r="AG469" s="6">
        <f>I469+J469+L469</f>
      </c>
      <c r="AH469" s="53">
        <f>$H469*I469</f>
      </c>
      <c r="AI469" s="53">
        <f>$H469*J469</f>
      </c>
      <c r="AJ469" s="53">
        <f>$H469*K469</f>
      </c>
      <c r="AK469" s="53">
        <f>$H469*L469</f>
      </c>
      <c r="AL469" s="53">
        <f>$H469*M469</f>
      </c>
      <c r="AM469" s="3"/>
      <c r="AN469" s="5"/>
      <c r="AO469" s="5"/>
      <c r="AP469" s="5"/>
      <c r="AQ469" s="3"/>
    </row>
    <row x14ac:dyDescent="0.25" r="470" customHeight="1" ht="12.75">
      <c r="A470" s="5" t="s">
        <v>23</v>
      </c>
      <c r="B470" s="3" t="s">
        <v>1110</v>
      </c>
      <c r="C470" s="3" t="s">
        <v>1003</v>
      </c>
      <c r="D470" s="3" t="s">
        <v>1004</v>
      </c>
      <c r="E470" s="3" t="s">
        <v>855</v>
      </c>
      <c r="F470" s="3" t="s">
        <v>1554</v>
      </c>
      <c r="G470" s="3" t="s">
        <v>1201</v>
      </c>
      <c r="H470" s="7">
        <f>504+800.5+748.3</f>
      </c>
      <c r="I470" s="6"/>
      <c r="J470" s="6">
        <f>(0.5*504+0.51*800.5+0.49*748.3)/$H470</f>
      </c>
      <c r="K470" s="5"/>
      <c r="L470" s="6">
        <f>(0.13*504+0.13*800.5+0.13*748.3)/$H470</f>
      </c>
      <c r="M470" s="6"/>
      <c r="N470" s="7"/>
      <c r="O470" s="6">
        <f>(0.23*504+0.23*800.5+0.21*748.3)/$H470</f>
      </c>
      <c r="P470" s="6">
        <v>0.02</v>
      </c>
      <c r="Q470" s="6"/>
      <c r="R470" s="31"/>
      <c r="S470" s="6"/>
      <c r="T470" s="31"/>
      <c r="U470" s="6"/>
      <c r="V470" s="6">
        <v>0.0017</v>
      </c>
      <c r="W470" s="6"/>
      <c r="X470" s="6"/>
      <c r="Y470" s="5"/>
      <c r="Z470" s="3"/>
      <c r="AA470" s="6">
        <f>H470*I470/100</f>
      </c>
      <c r="AB470" s="6">
        <f>H470*J470/100</f>
      </c>
      <c r="AC470" s="7">
        <f>H470*K470</f>
      </c>
      <c r="AD470" s="7">
        <f>H470*M470</f>
      </c>
      <c r="AE470" s="6">
        <f>H470*L470/100</f>
      </c>
      <c r="AF470" s="6">
        <f>AA470+AB470+AE470</f>
      </c>
      <c r="AG470" s="6">
        <f>I470+J470+L470</f>
      </c>
      <c r="AH470" s="53">
        <f>$H470*I470</f>
      </c>
      <c r="AI470" s="53">
        <f>$H470*J470</f>
      </c>
      <c r="AJ470" s="53">
        <f>$H470*K470</f>
      </c>
      <c r="AK470" s="53">
        <f>$H470*L470</f>
      </c>
      <c r="AL470" s="53">
        <f>$H470*M470</f>
      </c>
      <c r="AM470" s="3"/>
      <c r="AN470" s="5"/>
      <c r="AO470" s="5"/>
      <c r="AP470" s="5"/>
      <c r="AQ470" s="3"/>
    </row>
    <row x14ac:dyDescent="0.25" r="471" customHeight="1" ht="12.75">
      <c r="A471" s="5" t="s">
        <v>693</v>
      </c>
      <c r="B471" s="3" t="s">
        <v>1110</v>
      </c>
      <c r="C471" s="3" t="s">
        <v>870</v>
      </c>
      <c r="D471" s="3"/>
      <c r="E471" s="3" t="s">
        <v>855</v>
      </c>
      <c r="F471" s="3" t="s">
        <v>1548</v>
      </c>
      <c r="G471" s="3" t="s">
        <v>1204</v>
      </c>
      <c r="H471" s="6">
        <v>0.76</v>
      </c>
      <c r="I471" s="6"/>
      <c r="J471" s="6">
        <v>1.33</v>
      </c>
      <c r="K471" s="5"/>
      <c r="L471" s="6">
        <v>1.76</v>
      </c>
      <c r="M471" s="6"/>
      <c r="N471" s="7"/>
      <c r="O471" s="23"/>
      <c r="P471" s="6">
        <v>0.14</v>
      </c>
      <c r="Q471" s="6"/>
      <c r="R471" s="31"/>
      <c r="S471" s="6"/>
      <c r="T471" s="31"/>
      <c r="U471" s="6"/>
      <c r="V471" s="23"/>
      <c r="W471" s="6"/>
      <c r="X471" s="6"/>
      <c r="Y471" s="5"/>
      <c r="Z471" s="3"/>
      <c r="AA471" s="6">
        <f>H471*I471/100</f>
      </c>
      <c r="AB471" s="6">
        <f>H471*J471/100</f>
      </c>
      <c r="AC471" s="7">
        <f>H471*K471</f>
      </c>
      <c r="AD471" s="7">
        <f>H471*M471</f>
      </c>
      <c r="AE471" s="6">
        <f>H471*L471/100</f>
      </c>
      <c r="AF471" s="6">
        <f>AA471+AB471+AE471</f>
      </c>
      <c r="AG471" s="6">
        <f>I471+J471+L471</f>
      </c>
      <c r="AH471" s="53">
        <f>$H471*I471</f>
      </c>
      <c r="AI471" s="53">
        <f>$H471*J471</f>
      </c>
      <c r="AJ471" s="53">
        <f>$H471*K471</f>
      </c>
      <c r="AK471" s="53">
        <f>$H471*L471</f>
      </c>
      <c r="AL471" s="53">
        <f>$H471*M471</f>
      </c>
      <c r="AM471" s="3"/>
      <c r="AN471" s="5"/>
      <c r="AO471" s="5"/>
      <c r="AP471" s="5"/>
      <c r="AQ471" s="3"/>
    </row>
    <row x14ac:dyDescent="0.25" r="472" customHeight="1" ht="12.75">
      <c r="A472" s="5" t="s">
        <v>551</v>
      </c>
      <c r="B472" s="3" t="s">
        <v>1111</v>
      </c>
      <c r="C472" s="3" t="s">
        <v>866</v>
      </c>
      <c r="D472" s="3" t="s">
        <v>988</v>
      </c>
      <c r="E472" s="38" t="s">
        <v>859</v>
      </c>
      <c r="F472" s="3" t="s">
        <v>1171</v>
      </c>
      <c r="G472" s="3" t="s">
        <v>1173</v>
      </c>
      <c r="H472" s="5">
        <v>4</v>
      </c>
      <c r="I472" s="6">
        <v>3.5</v>
      </c>
      <c r="J472" s="6">
        <v>3.5</v>
      </c>
      <c r="K472" s="5"/>
      <c r="L472" s="6"/>
      <c r="M472" s="6"/>
      <c r="N472" s="7"/>
      <c r="O472" s="23"/>
      <c r="P472" s="6"/>
      <c r="Q472" s="6"/>
      <c r="R472" s="31"/>
      <c r="S472" s="6"/>
      <c r="T472" s="31"/>
      <c r="U472" s="6"/>
      <c r="V472" s="23"/>
      <c r="W472" s="6"/>
      <c r="X472" s="6"/>
      <c r="Y472" s="5"/>
      <c r="Z472" s="3"/>
      <c r="AA472" s="6">
        <f>H472*I472/100</f>
      </c>
      <c r="AB472" s="6">
        <f>H472*J472/100</f>
      </c>
      <c r="AC472" s="7">
        <f>H472*K472</f>
      </c>
      <c r="AD472" s="7">
        <f>H472*M472</f>
      </c>
      <c r="AE472" s="6">
        <f>H472*L472/100</f>
      </c>
      <c r="AF472" s="6">
        <f>AA472+AB472+AE472</f>
      </c>
      <c r="AG472" s="6">
        <f>I472+J472+L472</f>
      </c>
      <c r="AH472" s="53">
        <f>$H472*I472</f>
      </c>
      <c r="AI472" s="53">
        <f>$H472*J472</f>
      </c>
      <c r="AJ472" s="53">
        <f>$H472*K472</f>
      </c>
      <c r="AK472" s="53">
        <f>$H472*L472</f>
      </c>
      <c r="AL472" s="53">
        <f>$H472*M472</f>
      </c>
      <c r="AM472" s="3"/>
      <c r="AN472" s="5"/>
      <c r="AO472" s="5"/>
      <c r="AP472" s="5"/>
      <c r="AQ472" s="3"/>
    </row>
    <row x14ac:dyDescent="0.25" r="473" customHeight="1" ht="12.75">
      <c r="A473" s="5" t="s">
        <v>519</v>
      </c>
      <c r="B473" s="3" t="s">
        <v>1111</v>
      </c>
      <c r="C473" s="3" t="s">
        <v>866</v>
      </c>
      <c r="D473" s="3" t="s">
        <v>989</v>
      </c>
      <c r="E473" s="38" t="s">
        <v>859</v>
      </c>
      <c r="F473" s="3" t="s">
        <v>1171</v>
      </c>
      <c r="G473" s="3" t="s">
        <v>1173</v>
      </c>
      <c r="H473" s="6">
        <v>0.06</v>
      </c>
      <c r="I473" s="6">
        <v>1.4</v>
      </c>
      <c r="J473" s="5">
        <v>6</v>
      </c>
      <c r="K473" s="5">
        <v>20</v>
      </c>
      <c r="L473" s="6"/>
      <c r="M473" s="6"/>
      <c r="N473" s="7"/>
      <c r="O473" s="23"/>
      <c r="P473" s="6"/>
      <c r="Q473" s="6"/>
      <c r="R473" s="31"/>
      <c r="S473" s="6"/>
      <c r="T473" s="31"/>
      <c r="U473" s="6"/>
      <c r="V473" s="23"/>
      <c r="W473" s="6"/>
      <c r="X473" s="6"/>
      <c r="Y473" s="5"/>
      <c r="Z473" s="3"/>
      <c r="AA473" s="6">
        <f>H473*I473/100</f>
      </c>
      <c r="AB473" s="6">
        <f>H473*J473/100</f>
      </c>
      <c r="AC473" s="7">
        <f>H473*K473</f>
      </c>
      <c r="AD473" s="7">
        <f>H473*M473</f>
      </c>
      <c r="AE473" s="6">
        <f>H473*L473/100</f>
      </c>
      <c r="AF473" s="6">
        <f>AA473+AB473+AE473</f>
      </c>
      <c r="AG473" s="6">
        <f>I473+J473+L473</f>
      </c>
      <c r="AH473" s="53">
        <f>$H473*I473</f>
      </c>
      <c r="AI473" s="53">
        <f>$H473*J473</f>
      </c>
      <c r="AJ473" s="53">
        <f>$H473*K473</f>
      </c>
      <c r="AK473" s="53">
        <f>$H473*L473</f>
      </c>
      <c r="AL473" s="53">
        <f>$H473*M473</f>
      </c>
      <c r="AM473" s="3"/>
      <c r="AN473" s="5"/>
      <c r="AO473" s="5"/>
      <c r="AP473" s="5"/>
      <c r="AQ473" s="3"/>
    </row>
    <row x14ac:dyDescent="0.25" r="474" customHeight="1" ht="12.75">
      <c r="A474" s="5" t="s">
        <v>627</v>
      </c>
      <c r="B474" s="3" t="s">
        <v>1112</v>
      </c>
      <c r="C474" s="3" t="s">
        <v>856</v>
      </c>
      <c r="D474" s="3"/>
      <c r="E474" s="3" t="s">
        <v>855</v>
      </c>
      <c r="F474" s="3" t="s">
        <v>1171</v>
      </c>
      <c r="G474" s="3" t="s">
        <v>1555</v>
      </c>
      <c r="H474" s="6">
        <v>0.285</v>
      </c>
      <c r="I474" s="6">
        <v>2.36</v>
      </c>
      <c r="J474" s="6">
        <v>3.8</v>
      </c>
      <c r="K474" s="5"/>
      <c r="L474" s="6"/>
      <c r="M474" s="6"/>
      <c r="N474" s="7"/>
      <c r="O474" s="23"/>
      <c r="P474" s="6"/>
      <c r="Q474" s="6"/>
      <c r="R474" s="31"/>
      <c r="S474" s="6"/>
      <c r="T474" s="31"/>
      <c r="U474" s="6"/>
      <c r="V474" s="23"/>
      <c r="W474" s="6"/>
      <c r="X474" s="6"/>
      <c r="Y474" s="5"/>
      <c r="Z474" s="3"/>
      <c r="AA474" s="6">
        <f>H474*I474/100</f>
      </c>
      <c r="AB474" s="6">
        <f>H474*J474/100</f>
      </c>
      <c r="AC474" s="7">
        <f>H474*K474</f>
      </c>
      <c r="AD474" s="7">
        <f>H474*M474</f>
      </c>
      <c r="AE474" s="6">
        <f>H474*L474/100</f>
      </c>
      <c r="AF474" s="15">
        <f>AA474+AB474+AE474</f>
      </c>
      <c r="AG474" s="6">
        <f>I474+J474+L474</f>
      </c>
      <c r="AH474" s="53">
        <f>$H474*I474</f>
      </c>
      <c r="AI474" s="53">
        <f>$H474*J474</f>
      </c>
      <c r="AJ474" s="53">
        <f>$H474*K474</f>
      </c>
      <c r="AK474" s="53">
        <f>$H474*L474</f>
      </c>
      <c r="AL474" s="53">
        <f>$H474*M474</f>
      </c>
      <c r="AM474" s="3"/>
      <c r="AN474" s="5"/>
      <c r="AO474" s="5"/>
      <c r="AP474" s="5"/>
      <c r="AQ474" s="3"/>
    </row>
    <row x14ac:dyDescent="0.25" r="475" customHeight="1" ht="12.75">
      <c r="A475" s="5" t="s">
        <v>845</v>
      </c>
      <c r="B475" s="3" t="s">
        <v>1112</v>
      </c>
      <c r="C475" s="3" t="s">
        <v>866</v>
      </c>
      <c r="D475" s="3" t="s">
        <v>989</v>
      </c>
      <c r="E475" s="3" t="s">
        <v>855</v>
      </c>
      <c r="F475" s="3" t="s">
        <v>1171</v>
      </c>
      <c r="G475" s="3" t="s">
        <v>1555</v>
      </c>
      <c r="H475" s="6">
        <v>0.25</v>
      </c>
      <c r="I475" s="6">
        <v>1.2</v>
      </c>
      <c r="J475" s="6">
        <v>1</v>
      </c>
      <c r="K475" s="5"/>
      <c r="L475" s="6"/>
      <c r="M475" s="6"/>
      <c r="N475" s="7"/>
      <c r="O475" s="23"/>
      <c r="P475" s="6"/>
      <c r="Q475" s="6"/>
      <c r="R475" s="31"/>
      <c r="S475" s="6"/>
      <c r="T475" s="31"/>
      <c r="U475" s="6"/>
      <c r="V475" s="23"/>
      <c r="W475" s="6"/>
      <c r="X475" s="6"/>
      <c r="Y475" s="5"/>
      <c r="Z475" s="3"/>
      <c r="AA475" s="6">
        <f>H475*I475/100</f>
      </c>
      <c r="AB475" s="6">
        <f>H475*J475/100</f>
      </c>
      <c r="AC475" s="7">
        <f>H475*K475</f>
      </c>
      <c r="AD475" s="7">
        <f>H475*M475</f>
      </c>
      <c r="AE475" s="6">
        <f>H475*L475/100</f>
      </c>
      <c r="AF475" s="15">
        <f>AA475+AB475+AE475</f>
      </c>
      <c r="AG475" s="6">
        <f>I475+J475+L475</f>
      </c>
      <c r="AH475" s="53">
        <f>$H475*I475</f>
      </c>
      <c r="AI475" s="53">
        <f>$H475*J475</f>
      </c>
      <c r="AJ475" s="53">
        <f>$H475*K475</f>
      </c>
      <c r="AK475" s="53">
        <f>$H475*L475</f>
      </c>
      <c r="AL475" s="53">
        <f>$H475*M475</f>
      </c>
      <c r="AM475" s="3"/>
      <c r="AN475" s="5"/>
      <c r="AO475" s="5"/>
      <c r="AP475" s="5"/>
      <c r="AQ475" s="3"/>
    </row>
    <row x14ac:dyDescent="0.25" r="476" customHeight="1" ht="12.75">
      <c r="A476" s="5" t="s">
        <v>333</v>
      </c>
      <c r="B476" s="3" t="s">
        <v>1112</v>
      </c>
      <c r="C476" s="3" t="s">
        <v>856</v>
      </c>
      <c r="D476" s="3" t="s">
        <v>1556</v>
      </c>
      <c r="E476" s="3" t="s">
        <v>855</v>
      </c>
      <c r="F476" s="3" t="s">
        <v>1171</v>
      </c>
      <c r="G476" s="3" t="s">
        <v>1555</v>
      </c>
      <c r="H476" s="6">
        <v>1.869</v>
      </c>
      <c r="I476" s="6">
        <v>2.67</v>
      </c>
      <c r="J476" s="6">
        <v>5.31</v>
      </c>
      <c r="K476" s="6">
        <v>30.1</v>
      </c>
      <c r="L476" s="6">
        <v>0.76</v>
      </c>
      <c r="M476" s="6">
        <v>1.9</v>
      </c>
      <c r="N476" s="7"/>
      <c r="O476" s="23"/>
      <c r="P476" s="6"/>
      <c r="Q476" s="6"/>
      <c r="R476" s="5">
        <v>26</v>
      </c>
      <c r="S476" s="6"/>
      <c r="T476" s="31"/>
      <c r="U476" s="6"/>
      <c r="V476" s="23"/>
      <c r="W476" s="6"/>
      <c r="X476" s="6"/>
      <c r="Y476" s="5"/>
      <c r="Z476" s="3" t="s">
        <v>942</v>
      </c>
      <c r="AA476" s="6">
        <f>H476*I476/100</f>
      </c>
      <c r="AB476" s="6">
        <f>H476*J476/100</f>
      </c>
      <c r="AC476" s="7">
        <f>H476*K476</f>
      </c>
      <c r="AD476" s="7">
        <f>H476*M476</f>
      </c>
      <c r="AE476" s="6">
        <f>H476*L476/100</f>
      </c>
      <c r="AF476" s="15">
        <f>AA476+AB476+AE476</f>
      </c>
      <c r="AG476" s="6">
        <f>I476+J476+L476</f>
      </c>
      <c r="AH476" s="53">
        <f>$H476*I476</f>
      </c>
      <c r="AI476" s="53">
        <f>$H476*J476</f>
      </c>
      <c r="AJ476" s="53">
        <f>$H476*K476</f>
      </c>
      <c r="AK476" s="53">
        <f>$H476*L476</f>
      </c>
      <c r="AL476" s="53">
        <f>$H476*M476</f>
      </c>
      <c r="AM476" s="3"/>
      <c r="AN476" s="5"/>
      <c r="AO476" s="5"/>
      <c r="AP476" s="5"/>
      <c r="AQ476" s="3"/>
    </row>
    <row x14ac:dyDescent="0.25" r="477" customHeight="1" ht="12.75">
      <c r="A477" s="5" t="s">
        <v>336</v>
      </c>
      <c r="B477" s="3" t="s">
        <v>1112</v>
      </c>
      <c r="C477" s="3" t="s">
        <v>856</v>
      </c>
      <c r="D477" s="3" t="s">
        <v>1556</v>
      </c>
      <c r="E477" s="3" t="s">
        <v>855</v>
      </c>
      <c r="F477" s="3" t="s">
        <v>1171</v>
      </c>
      <c r="G477" s="3" t="s">
        <v>1555</v>
      </c>
      <c r="H477" s="5">
        <v>2</v>
      </c>
      <c r="I477" s="6">
        <v>2.5</v>
      </c>
      <c r="J477" s="5">
        <v>5</v>
      </c>
      <c r="K477" s="5">
        <v>15</v>
      </c>
      <c r="L477" s="6">
        <v>0.8</v>
      </c>
      <c r="M477" s="6">
        <v>2.5</v>
      </c>
      <c r="N477" s="7">
        <f>19.6*(137.327/(137.327+96.06))</f>
      </c>
      <c r="O477" s="23"/>
      <c r="P477" s="6"/>
      <c r="Q477" s="6"/>
      <c r="R477" s="31"/>
      <c r="S477" s="6"/>
      <c r="T477" s="31"/>
      <c r="U477" s="6"/>
      <c r="V477" s="23"/>
      <c r="W477" s="6"/>
      <c r="X477" s="6"/>
      <c r="Y477" s="5"/>
      <c r="Z477" s="3"/>
      <c r="AA477" s="6">
        <f>H477*I477/100</f>
      </c>
      <c r="AB477" s="6">
        <f>H477*J477/100</f>
      </c>
      <c r="AC477" s="7">
        <f>H477*K477</f>
      </c>
      <c r="AD477" s="7">
        <f>H477*M477</f>
      </c>
      <c r="AE477" s="6">
        <f>H477*L477/100</f>
      </c>
      <c r="AF477" s="15">
        <f>AA477+AB477+AE477</f>
      </c>
      <c r="AG477" s="6">
        <f>I477+J477+L477</f>
      </c>
      <c r="AH477" s="53">
        <f>$H477*I477</f>
      </c>
      <c r="AI477" s="53">
        <f>$H477*J477</f>
      </c>
      <c r="AJ477" s="53">
        <f>$H477*K477</f>
      </c>
      <c r="AK477" s="53">
        <f>$H477*L477</f>
      </c>
      <c r="AL477" s="53">
        <f>$H477*M477</f>
      </c>
      <c r="AM477" s="3"/>
      <c r="AN477" s="5"/>
      <c r="AO477" s="5"/>
      <c r="AP477" s="5"/>
      <c r="AQ477" s="3"/>
    </row>
    <row x14ac:dyDescent="0.25" r="478" customHeight="1" ht="12.75">
      <c r="A478" s="5" t="s">
        <v>417</v>
      </c>
      <c r="B478" s="3" t="s">
        <v>1112</v>
      </c>
      <c r="C478" s="3" t="s">
        <v>856</v>
      </c>
      <c r="D478" s="3"/>
      <c r="E478" s="3" t="s">
        <v>855</v>
      </c>
      <c r="F478" s="3" t="s">
        <v>1171</v>
      </c>
      <c r="G478" s="3" t="s">
        <v>1555</v>
      </c>
      <c r="H478" s="6">
        <v>2.851</v>
      </c>
      <c r="I478" s="6">
        <v>2.24</v>
      </c>
      <c r="J478" s="6">
        <v>6.47</v>
      </c>
      <c r="K478" s="6">
        <v>15.4</v>
      </c>
      <c r="L478" s="6"/>
      <c r="M478" s="6"/>
      <c r="N478" s="7"/>
      <c r="O478" s="23"/>
      <c r="P478" s="6"/>
      <c r="Q478" s="6"/>
      <c r="R478" s="31"/>
      <c r="S478" s="6"/>
      <c r="T478" s="31"/>
      <c r="U478" s="6"/>
      <c r="V478" s="23"/>
      <c r="W478" s="6"/>
      <c r="X478" s="6"/>
      <c r="Y478" s="6">
        <v>0.02</v>
      </c>
      <c r="Z478" s="3" t="s">
        <v>932</v>
      </c>
      <c r="AA478" s="6">
        <f>H478*I478/100</f>
      </c>
      <c r="AB478" s="6">
        <f>H478*J478/100</f>
      </c>
      <c r="AC478" s="7">
        <f>H478*K478</f>
      </c>
      <c r="AD478" s="7">
        <f>H478*M478</f>
      </c>
      <c r="AE478" s="6">
        <f>H478*L478/100</f>
      </c>
      <c r="AF478" s="15">
        <f>AA478+AB478+AE478</f>
      </c>
      <c r="AG478" s="6">
        <f>I478+J478+L478</f>
      </c>
      <c r="AH478" s="53">
        <f>$H478*I478</f>
      </c>
      <c r="AI478" s="53">
        <f>$H478*J478</f>
      </c>
      <c r="AJ478" s="53">
        <f>$H478*K478</f>
      </c>
      <c r="AK478" s="53">
        <f>$H478*L478</f>
      </c>
      <c r="AL478" s="53">
        <f>$H478*M478</f>
      </c>
      <c r="AM478" s="3"/>
      <c r="AN478" s="5"/>
      <c r="AO478" s="5"/>
      <c r="AP478" s="5"/>
      <c r="AQ478" s="3"/>
    </row>
    <row x14ac:dyDescent="0.25" r="479" customHeight="1" ht="12.75">
      <c r="A479" s="5" t="s">
        <v>96</v>
      </c>
      <c r="B479" s="3" t="s">
        <v>1112</v>
      </c>
      <c r="C479" s="3" t="s">
        <v>856</v>
      </c>
      <c r="D479" s="3" t="s">
        <v>1556</v>
      </c>
      <c r="E479" s="3" t="s">
        <v>855</v>
      </c>
      <c r="F479" s="3" t="s">
        <v>1171</v>
      </c>
      <c r="G479" s="3" t="s">
        <v>1557</v>
      </c>
      <c r="H479" s="6">
        <v>93.07</v>
      </c>
      <c r="I479" s="6">
        <v>0.62</v>
      </c>
      <c r="J479" s="6">
        <v>4.09</v>
      </c>
      <c r="K479" s="6">
        <v>9.2</v>
      </c>
      <c r="L479" s="6">
        <v>1.28</v>
      </c>
      <c r="M479" s="6">
        <v>1.8</v>
      </c>
      <c r="N479" s="7"/>
      <c r="O479" s="23"/>
      <c r="P479" s="6"/>
      <c r="Q479" s="6"/>
      <c r="R479" s="31"/>
      <c r="S479" s="6"/>
      <c r="T479" s="31"/>
      <c r="U479" s="6"/>
      <c r="V479" s="23"/>
      <c r="W479" s="6"/>
      <c r="X479" s="6"/>
      <c r="Y479" s="5"/>
      <c r="Z479" s="3" t="s">
        <v>948</v>
      </c>
      <c r="AA479" s="6">
        <f>H479*I479/100</f>
      </c>
      <c r="AB479" s="6">
        <f>H479*J479/100</f>
      </c>
      <c r="AC479" s="7">
        <f>H479*K479</f>
      </c>
      <c r="AD479" s="7">
        <f>H479*M479</f>
      </c>
      <c r="AE479" s="6">
        <f>H479*L479/100</f>
      </c>
      <c r="AF479" s="15">
        <f>AA479+AB479+AE479</f>
      </c>
      <c r="AG479" s="6">
        <f>I479+J479+L479</f>
      </c>
      <c r="AH479" s="53">
        <f>$H479*I479</f>
      </c>
      <c r="AI479" s="53">
        <f>$H479*J479</f>
      </c>
      <c r="AJ479" s="53">
        <f>$H479*K479</f>
      </c>
      <c r="AK479" s="53">
        <f>$H479*L479</f>
      </c>
      <c r="AL479" s="53">
        <f>$H479*M479</f>
      </c>
      <c r="AM479" s="3"/>
      <c r="AN479" s="5"/>
      <c r="AO479" s="5"/>
      <c r="AP479" s="5"/>
      <c r="AQ479" s="3"/>
    </row>
    <row x14ac:dyDescent="0.25" r="480" customHeight="1" ht="12.75">
      <c r="A480" s="5" t="s">
        <v>392</v>
      </c>
      <c r="B480" s="3" t="s">
        <v>1112</v>
      </c>
      <c r="C480" s="3" t="s">
        <v>865</v>
      </c>
      <c r="D480" s="3"/>
      <c r="E480" s="3" t="s">
        <v>855</v>
      </c>
      <c r="F480" s="3" t="s">
        <v>1171</v>
      </c>
      <c r="G480" s="3" t="s">
        <v>1555</v>
      </c>
      <c r="H480" s="6">
        <v>3.268</v>
      </c>
      <c r="I480" s="6">
        <v>1.8</v>
      </c>
      <c r="J480" s="6">
        <v>1.4</v>
      </c>
      <c r="K480" s="6">
        <v>18.7</v>
      </c>
      <c r="L480" s="6">
        <v>2.84</v>
      </c>
      <c r="M480" s="6">
        <v>0.7</v>
      </c>
      <c r="N480" s="7"/>
      <c r="O480" s="23"/>
      <c r="P480" s="6"/>
      <c r="Q480" s="6"/>
      <c r="R480" s="31"/>
      <c r="S480" s="6"/>
      <c r="T480" s="31"/>
      <c r="U480" s="6"/>
      <c r="V480" s="23"/>
      <c r="W480" s="6"/>
      <c r="X480" s="6"/>
      <c r="Y480" s="6">
        <v>0.01</v>
      </c>
      <c r="Z480" s="3" t="s">
        <v>980</v>
      </c>
      <c r="AA480" s="6">
        <f>H480*I480/100</f>
      </c>
      <c r="AB480" s="6">
        <f>H480*J480/100</f>
      </c>
      <c r="AC480" s="7">
        <f>H480*K480</f>
      </c>
      <c r="AD480" s="7">
        <f>H480*M480</f>
      </c>
      <c r="AE480" s="6">
        <f>H480*L480/100</f>
      </c>
      <c r="AF480" s="15">
        <f>AA480+AB480+AE480</f>
      </c>
      <c r="AG480" s="6">
        <f>I480+J480+L480</f>
      </c>
      <c r="AH480" s="53">
        <f>$H480*I480</f>
      </c>
      <c r="AI480" s="53">
        <f>$H480*J480</f>
      </c>
      <c r="AJ480" s="53">
        <f>$H480*K480</f>
      </c>
      <c r="AK480" s="53">
        <f>$H480*L480</f>
      </c>
      <c r="AL480" s="53">
        <f>$H480*M480</f>
      </c>
      <c r="AM480" s="3"/>
      <c r="AN480" s="5"/>
      <c r="AO480" s="5"/>
      <c r="AP480" s="5"/>
      <c r="AQ480" s="3"/>
    </row>
    <row x14ac:dyDescent="0.25" r="481" customHeight="1" ht="12.75">
      <c r="A481" s="5" t="s">
        <v>837</v>
      </c>
      <c r="B481" s="3" t="s">
        <v>1112</v>
      </c>
      <c r="C481" s="3" t="s">
        <v>856</v>
      </c>
      <c r="D481" s="3"/>
      <c r="E481" s="3" t="s">
        <v>855</v>
      </c>
      <c r="F481" s="3" t="s">
        <v>1171</v>
      </c>
      <c r="G481" s="3" t="s">
        <v>1555</v>
      </c>
      <c r="H481" s="6">
        <v>0.34</v>
      </c>
      <c r="I481" s="6">
        <v>1.5</v>
      </c>
      <c r="J481" s="6">
        <v>1</v>
      </c>
      <c r="K481" s="5"/>
      <c r="L481" s="6"/>
      <c r="M481" s="6"/>
      <c r="N481" s="7"/>
      <c r="O481" s="23"/>
      <c r="P481" s="6"/>
      <c r="Q481" s="6"/>
      <c r="R481" s="31"/>
      <c r="S481" s="6"/>
      <c r="T481" s="31"/>
      <c r="U481" s="6"/>
      <c r="V481" s="23"/>
      <c r="W481" s="6"/>
      <c r="X481" s="6"/>
      <c r="Y481" s="5"/>
      <c r="Z481" s="3"/>
      <c r="AA481" s="6">
        <f>H481*I481/100</f>
      </c>
      <c r="AB481" s="6">
        <f>H481*J481/100</f>
      </c>
      <c r="AC481" s="7">
        <f>H481*K481</f>
      </c>
      <c r="AD481" s="7">
        <f>H481*M481</f>
      </c>
      <c r="AE481" s="6">
        <f>H481*L481/100</f>
      </c>
      <c r="AF481" s="15">
        <f>AA481+AB481+AE481</f>
      </c>
      <c r="AG481" s="6">
        <f>I481+J481+L481</f>
      </c>
      <c r="AH481" s="53">
        <f>$H481*I481</f>
      </c>
      <c r="AI481" s="53">
        <f>$H481*J481</f>
      </c>
      <c r="AJ481" s="53">
        <f>$H481*K481</f>
      </c>
      <c r="AK481" s="53">
        <f>$H481*L481</f>
      </c>
      <c r="AL481" s="53">
        <f>$H481*M481</f>
      </c>
      <c r="AM481" s="3"/>
      <c r="AN481" s="5"/>
      <c r="AO481" s="5"/>
      <c r="AP481" s="5"/>
      <c r="AQ481" s="3"/>
    </row>
    <row x14ac:dyDescent="0.25" r="482" customHeight="1" ht="12.75">
      <c r="A482" s="5" t="s">
        <v>770</v>
      </c>
      <c r="B482" s="3" t="s">
        <v>1112</v>
      </c>
      <c r="C482" s="3" t="s">
        <v>1014</v>
      </c>
      <c r="D482" s="3"/>
      <c r="E482" s="3" t="s">
        <v>855</v>
      </c>
      <c r="F482" s="3" t="s">
        <v>1171</v>
      </c>
      <c r="G482" s="3" t="s">
        <v>1555</v>
      </c>
      <c r="H482" s="6">
        <v>0.255</v>
      </c>
      <c r="I482" s="6">
        <v>1.61</v>
      </c>
      <c r="J482" s="6">
        <v>2.67</v>
      </c>
      <c r="K482" s="5"/>
      <c r="L482" s="6"/>
      <c r="M482" s="6"/>
      <c r="N482" s="7"/>
      <c r="O482" s="23"/>
      <c r="P482" s="6"/>
      <c r="Q482" s="6"/>
      <c r="R482" s="31"/>
      <c r="S482" s="6"/>
      <c r="T482" s="31"/>
      <c r="U482" s="6"/>
      <c r="V482" s="23"/>
      <c r="W482" s="6"/>
      <c r="X482" s="6"/>
      <c r="Y482" s="5"/>
      <c r="Z482" s="3"/>
      <c r="AA482" s="6">
        <f>H482*I482/100</f>
      </c>
      <c r="AB482" s="6">
        <f>H482*J482/100</f>
      </c>
      <c r="AC482" s="7">
        <f>H482*K482</f>
      </c>
      <c r="AD482" s="7">
        <f>H482*M482</f>
      </c>
      <c r="AE482" s="6">
        <f>H482*L482/100</f>
      </c>
      <c r="AF482" s="15">
        <f>AA482+AB482+AE482</f>
      </c>
      <c r="AG482" s="6">
        <f>I482+J482+L482</f>
      </c>
      <c r="AH482" s="53">
        <f>$H482*I482</f>
      </c>
      <c r="AI482" s="53">
        <f>$H482*J482</f>
      </c>
      <c r="AJ482" s="53">
        <f>$H482*K482</f>
      </c>
      <c r="AK482" s="53">
        <f>$H482*L482</f>
      </c>
      <c r="AL482" s="53">
        <f>$H482*M482</f>
      </c>
      <c r="AM482" s="3"/>
      <c r="AN482" s="5"/>
      <c r="AO482" s="5"/>
      <c r="AP482" s="5"/>
      <c r="AQ482" s="3"/>
    </row>
    <row x14ac:dyDescent="0.25" r="483" customHeight="1" ht="12.75">
      <c r="A483" s="5" t="s">
        <v>574</v>
      </c>
      <c r="B483" s="3" t="s">
        <v>1112</v>
      </c>
      <c r="C483" s="3" t="s">
        <v>856</v>
      </c>
      <c r="D483" s="3"/>
      <c r="E483" s="3" t="s">
        <v>855</v>
      </c>
      <c r="F483" s="3" t="s">
        <v>1171</v>
      </c>
      <c r="G483" s="3" t="s">
        <v>1555</v>
      </c>
      <c r="H483" s="6">
        <v>0.1745</v>
      </c>
      <c r="I483" s="6">
        <v>6.81</v>
      </c>
      <c r="J483" s="6"/>
      <c r="K483" s="5"/>
      <c r="L483" s="6"/>
      <c r="M483" s="6"/>
      <c r="N483" s="7"/>
      <c r="O483" s="23"/>
      <c r="P483" s="6"/>
      <c r="Q483" s="6"/>
      <c r="R483" s="31"/>
      <c r="S483" s="6"/>
      <c r="T483" s="31"/>
      <c r="U483" s="6"/>
      <c r="V483" s="23"/>
      <c r="W483" s="6"/>
      <c r="X483" s="6"/>
      <c r="Y483" s="5"/>
      <c r="Z483" s="3"/>
      <c r="AA483" s="6">
        <f>H483*I483/100</f>
      </c>
      <c r="AB483" s="6">
        <f>H483*J483/100</f>
      </c>
      <c r="AC483" s="7">
        <f>H483*K483</f>
      </c>
      <c r="AD483" s="7">
        <f>H483*M483</f>
      </c>
      <c r="AE483" s="6">
        <f>H483*L483/100</f>
      </c>
      <c r="AF483" s="15">
        <f>AA483+AB483+AE483</f>
      </c>
      <c r="AG483" s="6">
        <f>I483+J483+L483</f>
      </c>
      <c r="AH483" s="53">
        <f>$H483*I483</f>
      </c>
      <c r="AI483" s="53">
        <f>$H483*J483</f>
      </c>
      <c r="AJ483" s="53">
        <f>$H483*K483</f>
      </c>
      <c r="AK483" s="53">
        <f>$H483*L483</f>
      </c>
      <c r="AL483" s="53">
        <f>$H483*M483</f>
      </c>
      <c r="AM483" s="3"/>
      <c r="AN483" s="5"/>
      <c r="AO483" s="5"/>
      <c r="AP483" s="5"/>
      <c r="AQ483" s="3"/>
    </row>
    <row x14ac:dyDescent="0.25" r="484" customHeight="1" ht="12.75">
      <c r="A484" s="5" t="s">
        <v>285</v>
      </c>
      <c r="B484" s="3" t="s">
        <v>1112</v>
      </c>
      <c r="C484" s="3" t="s">
        <v>870</v>
      </c>
      <c r="D484" s="3" t="s">
        <v>1029</v>
      </c>
      <c r="E484" s="3" t="s">
        <v>855</v>
      </c>
      <c r="F484" s="3" t="s">
        <v>1171</v>
      </c>
      <c r="G484" s="3" t="s">
        <v>1555</v>
      </c>
      <c r="H484" s="6">
        <v>22.88</v>
      </c>
      <c r="I484" s="6"/>
      <c r="J484" s="6">
        <v>1.67</v>
      </c>
      <c r="K484" s="5"/>
      <c r="L484" s="6">
        <v>3.5</v>
      </c>
      <c r="M484" s="6"/>
      <c r="N484" s="7"/>
      <c r="O484" s="23"/>
      <c r="P484" s="6"/>
      <c r="Q484" s="6"/>
      <c r="R484" s="31"/>
      <c r="S484" s="6"/>
      <c r="T484" s="31"/>
      <c r="U484" s="6"/>
      <c r="V484" s="23"/>
      <c r="W484" s="6"/>
      <c r="X484" s="6"/>
      <c r="Y484" s="5"/>
      <c r="Z484" s="3"/>
      <c r="AA484" s="6">
        <f>H484*I484/100</f>
      </c>
      <c r="AB484" s="6">
        <f>H484*J484/100</f>
      </c>
      <c r="AC484" s="7">
        <f>H484*K484</f>
      </c>
      <c r="AD484" s="7">
        <f>H484*M484</f>
      </c>
      <c r="AE484" s="6">
        <f>H484*L484/100</f>
      </c>
      <c r="AF484" s="15">
        <f>AA484+AB484+AE484</f>
      </c>
      <c r="AG484" s="6">
        <f>I484+J484+L484</f>
      </c>
      <c r="AH484" s="53">
        <f>$H484*I484</f>
      </c>
      <c r="AI484" s="53">
        <f>$H484*J484</f>
      </c>
      <c r="AJ484" s="53">
        <f>$H484*K484</f>
      </c>
      <c r="AK484" s="53">
        <f>$H484*L484</f>
      </c>
      <c r="AL484" s="53">
        <f>$H484*M484</f>
      </c>
      <c r="AM484" s="3"/>
      <c r="AN484" s="5"/>
      <c r="AO484" s="5"/>
      <c r="AP484" s="5"/>
      <c r="AQ484" s="3"/>
    </row>
    <row x14ac:dyDescent="0.25" r="485" customHeight="1" ht="12.75">
      <c r="A485" s="5" t="s">
        <v>550</v>
      </c>
      <c r="B485" s="3" t="s">
        <v>1113</v>
      </c>
      <c r="C485" s="3" t="s">
        <v>869</v>
      </c>
      <c r="D485" s="3"/>
      <c r="E485" s="3" t="s">
        <v>855</v>
      </c>
      <c r="F485" s="3" t="s">
        <v>1558</v>
      </c>
      <c r="G485" s="3" t="s">
        <v>1559</v>
      </c>
      <c r="H485" s="6">
        <v>32.2</v>
      </c>
      <c r="I485" s="6"/>
      <c r="J485" s="6">
        <v>0.74</v>
      </c>
      <c r="K485" s="5"/>
      <c r="L485" s="6"/>
      <c r="M485" s="6"/>
      <c r="N485" s="7"/>
      <c r="O485" s="23"/>
      <c r="P485" s="6"/>
      <c r="Q485" s="6">
        <v>0.35</v>
      </c>
      <c r="R485" s="5">
        <v>71</v>
      </c>
      <c r="S485" s="6"/>
      <c r="T485" s="31"/>
      <c r="U485" s="6"/>
      <c r="V485" s="23"/>
      <c r="W485" s="6"/>
      <c r="X485" s="6"/>
      <c r="Y485" s="5"/>
      <c r="Z485" s="3"/>
      <c r="AA485" s="6">
        <f>H485*I485/100</f>
      </c>
      <c r="AB485" s="6">
        <f>H485*J485/100</f>
      </c>
      <c r="AC485" s="7">
        <f>H485*K485</f>
      </c>
      <c r="AD485" s="7">
        <f>H485*M485</f>
      </c>
      <c r="AE485" s="6">
        <f>H485*L485/100</f>
      </c>
      <c r="AF485" s="6">
        <f>AA485+AB485+AE485</f>
      </c>
      <c r="AG485" s="6">
        <f>I485+J485+L485</f>
      </c>
      <c r="AH485" s="53">
        <f>$H485*I485</f>
      </c>
      <c r="AI485" s="53">
        <f>$H485*J485</f>
      </c>
      <c r="AJ485" s="53">
        <f>$H485*K485</f>
      </c>
      <c r="AK485" s="53">
        <f>$H485*L485</f>
      </c>
      <c r="AL485" s="53">
        <f>$H485*M485</f>
      </c>
      <c r="AM485" s="3"/>
      <c r="AN485" s="5"/>
      <c r="AO485" s="5"/>
      <c r="AP485" s="5"/>
      <c r="AQ485" s="3"/>
    </row>
    <row x14ac:dyDescent="0.25" r="486" customHeight="1" ht="12.75">
      <c r="A486" s="5" t="s">
        <v>783</v>
      </c>
      <c r="B486" s="3" t="s">
        <v>1113</v>
      </c>
      <c r="C486" s="3" t="s">
        <v>869</v>
      </c>
      <c r="D486" s="3"/>
      <c r="E486" s="3" t="s">
        <v>855</v>
      </c>
      <c r="F486" s="3" t="s">
        <v>1560</v>
      </c>
      <c r="G486" s="3" t="s">
        <v>1559</v>
      </c>
      <c r="H486" s="6">
        <v>11.6</v>
      </c>
      <c r="I486" s="6"/>
      <c r="J486" s="6">
        <f>(0.37/0.46)*0.58</f>
      </c>
      <c r="K486" s="5"/>
      <c r="L486" s="6"/>
      <c r="M486" s="6"/>
      <c r="N486" s="7"/>
      <c r="O486" s="23"/>
      <c r="P486" s="6"/>
      <c r="Q486" s="6">
        <v>0.37</v>
      </c>
      <c r="R486" s="31">
        <f>(0.37/0.46)*35</f>
      </c>
      <c r="S486" s="6"/>
      <c r="T486" s="31"/>
      <c r="U486" s="6"/>
      <c r="V486" s="23"/>
      <c r="W486" s="6"/>
      <c r="X486" s="6"/>
      <c r="Y486" s="31">
        <f>(0.37/0.46)*28</f>
      </c>
      <c r="Z486" s="3" t="s">
        <v>995</v>
      </c>
      <c r="AA486" s="6">
        <f>H486*I486/100</f>
      </c>
      <c r="AB486" s="6">
        <f>H486*J486/100</f>
      </c>
      <c r="AC486" s="7">
        <f>H486*K486</f>
      </c>
      <c r="AD486" s="7">
        <f>H486*M486</f>
      </c>
      <c r="AE486" s="6">
        <f>H486*L486/100</f>
      </c>
      <c r="AF486" s="6">
        <f>AA486+AB486+AE486</f>
      </c>
      <c r="AG486" s="6">
        <f>I486+J486+L486</f>
      </c>
      <c r="AH486" s="53">
        <f>$H486*I486</f>
      </c>
      <c r="AI486" s="53">
        <f>$H486*J486</f>
      </c>
      <c r="AJ486" s="53">
        <f>$H486*K486</f>
      </c>
      <c r="AK486" s="53">
        <f>$H486*L486</f>
      </c>
      <c r="AL486" s="53">
        <f>$H486*M486</f>
      </c>
      <c r="AM486" s="3"/>
      <c r="AN486" s="5"/>
      <c r="AO486" s="5"/>
      <c r="AP486" s="5"/>
      <c r="AQ486" s="3"/>
    </row>
    <row x14ac:dyDescent="0.25" r="487" customHeight="1" ht="12.75">
      <c r="A487" s="5" t="s">
        <v>68</v>
      </c>
      <c r="B487" s="3" t="s">
        <v>1114</v>
      </c>
      <c r="C487" s="3" t="s">
        <v>869</v>
      </c>
      <c r="D487" s="3"/>
      <c r="E487" s="3" t="s">
        <v>855</v>
      </c>
      <c r="F487" s="3" t="s">
        <v>1561</v>
      </c>
      <c r="G487" s="3" t="s">
        <v>1562</v>
      </c>
      <c r="H487" s="6">
        <f>6.319+10.644+3.955</f>
      </c>
      <c r="I487" s="7">
        <f>(4.7*4.464+5*10.644+3.9*3.955)/$H487</f>
      </c>
      <c r="J487" s="7">
        <f>(5.8*4.464+6.8*10.644+4.3*3.955)/$H487</f>
      </c>
      <c r="K487" s="31">
        <f>(142*4.464+147*10.644+118*3.955)/$H487</f>
      </c>
      <c r="L487" s="6"/>
      <c r="M487" s="6">
        <f>(8.04*6.319+8.55*10.644+8.34*3.955)/$H487</f>
      </c>
      <c r="N487" s="7"/>
      <c r="O487" s="23"/>
      <c r="P487" s="6"/>
      <c r="Q487" s="6"/>
      <c r="R487" s="31"/>
      <c r="S487" s="6"/>
      <c r="T487" s="31"/>
      <c r="U487" s="6"/>
      <c r="V487" s="23"/>
      <c r="W487" s="6"/>
      <c r="X487" s="6"/>
      <c r="Y487" s="5"/>
      <c r="Z487" s="3"/>
      <c r="AA487" s="6">
        <f>H487*I487/100</f>
      </c>
      <c r="AB487" s="6">
        <f>H487*J487/100</f>
      </c>
      <c r="AC487" s="7">
        <f>H487*K487</f>
      </c>
      <c r="AD487" s="7">
        <f>H487*M487</f>
      </c>
      <c r="AE487" s="6">
        <f>H487*L487/100</f>
      </c>
      <c r="AF487" s="6">
        <f>AA487+AB487+AE487</f>
      </c>
      <c r="AG487" s="6">
        <f>I487+J487+L487</f>
      </c>
      <c r="AH487" s="53">
        <f>$H487*I487</f>
      </c>
      <c r="AI487" s="53">
        <f>$H487*J487</f>
      </c>
      <c r="AJ487" s="53">
        <f>$H487*K487</f>
      </c>
      <c r="AK487" s="53">
        <f>$H487*L487</f>
      </c>
      <c r="AL487" s="53">
        <f>$H487*M487</f>
      </c>
      <c r="AM487" s="3"/>
      <c r="AN487" s="5"/>
      <c r="AO487" s="5"/>
      <c r="AP487" s="5"/>
      <c r="AQ487" s="3"/>
    </row>
    <row x14ac:dyDescent="0.25" r="488" customHeight="1" ht="12.75">
      <c r="A488" s="5" t="s">
        <v>102</v>
      </c>
      <c r="B488" s="3" t="s">
        <v>1114</v>
      </c>
      <c r="C488" s="3" t="s">
        <v>869</v>
      </c>
      <c r="D488" s="3"/>
      <c r="E488" s="3" t="s">
        <v>855</v>
      </c>
      <c r="F488" s="3" t="s">
        <v>1561</v>
      </c>
      <c r="G488" s="3" t="s">
        <v>1562</v>
      </c>
      <c r="H488" s="6">
        <f>0.837+0.507+0.49</f>
      </c>
      <c r="I488" s="7">
        <f>(7.5*0.837+7.7*0.507+6.4*0.49)/$H488</f>
      </c>
      <c r="J488" s="7">
        <f>(10.5*0.837+10.7*0.507+8.8*0.49)/$H488</f>
      </c>
      <c r="K488" s="31">
        <f>(197*0.837+207*0.507+169*0.49)/$H488</f>
      </c>
      <c r="L488" s="6"/>
      <c r="M488" s="6"/>
      <c r="N488" s="7"/>
      <c r="O488" s="23"/>
      <c r="P488" s="6"/>
      <c r="Q488" s="6"/>
      <c r="R488" s="31"/>
      <c r="S488" s="6"/>
      <c r="T488" s="31"/>
      <c r="U488" s="6"/>
      <c r="V488" s="23"/>
      <c r="W488" s="6"/>
      <c r="X488" s="6"/>
      <c r="Y488" s="5"/>
      <c r="Z488" s="3"/>
      <c r="AA488" s="6">
        <f>H488*I488/100</f>
      </c>
      <c r="AB488" s="6">
        <f>H488*J488/100</f>
      </c>
      <c r="AC488" s="7">
        <f>H488*K488</f>
      </c>
      <c r="AD488" s="7">
        <f>H488*M488</f>
      </c>
      <c r="AE488" s="6">
        <f>H488*L488/100</f>
      </c>
      <c r="AF488" s="6">
        <f>AA488+AB488+AE488</f>
      </c>
      <c r="AG488" s="6">
        <f>I488+J488+L488</f>
      </c>
      <c r="AH488" s="53">
        <f>$H488*I488</f>
      </c>
      <c r="AI488" s="53">
        <f>$H488*J488</f>
      </c>
      <c r="AJ488" s="53">
        <f>$H488*K488</f>
      </c>
      <c r="AK488" s="53">
        <f>$H488*L488</f>
      </c>
      <c r="AL488" s="53">
        <f>$H488*M488</f>
      </c>
      <c r="AM488" s="3"/>
      <c r="AN488" s="5"/>
      <c r="AO488" s="5"/>
      <c r="AP488" s="5"/>
      <c r="AQ488" s="3"/>
    </row>
    <row x14ac:dyDescent="0.25" r="489" customHeight="1" ht="12.75">
      <c r="A489" s="5" t="s">
        <v>570</v>
      </c>
      <c r="B489" s="3" t="s">
        <v>1115</v>
      </c>
      <c r="C489" s="3" t="s">
        <v>866</v>
      </c>
      <c r="D489" s="3" t="s">
        <v>988</v>
      </c>
      <c r="E489" s="3" t="s">
        <v>855</v>
      </c>
      <c r="F489" s="3" t="s">
        <v>1563</v>
      </c>
      <c r="G489" s="3" t="s">
        <v>1564</v>
      </c>
      <c r="H489" s="6">
        <v>0.492</v>
      </c>
      <c r="I489" s="6">
        <v>2.2</v>
      </c>
      <c r="J489" s="6">
        <v>4.7</v>
      </c>
      <c r="K489" s="5"/>
      <c r="L489" s="6"/>
      <c r="M489" s="6"/>
      <c r="N489" s="7"/>
      <c r="O489" s="23"/>
      <c r="P489" s="6"/>
      <c r="Q489" s="6"/>
      <c r="R489" s="31"/>
      <c r="S489" s="6"/>
      <c r="T489" s="31"/>
      <c r="U489" s="6"/>
      <c r="V489" s="23"/>
      <c r="W489" s="6"/>
      <c r="X489" s="6"/>
      <c r="Y489" s="5"/>
      <c r="Z489" s="3"/>
      <c r="AA489" s="6">
        <f>H489*I489/100</f>
      </c>
      <c r="AB489" s="6">
        <f>H489*J489/100</f>
      </c>
      <c r="AC489" s="7">
        <f>H489*K489</f>
      </c>
      <c r="AD489" s="7">
        <f>H489*M489</f>
      </c>
      <c r="AE489" s="6">
        <f>H489*L489/100</f>
      </c>
      <c r="AF489" s="6">
        <f>AA489+AB489+AE489</f>
      </c>
      <c r="AG489" s="6">
        <f>I489+J489+L489</f>
      </c>
      <c r="AH489" s="53">
        <f>$H489*I489</f>
      </c>
      <c r="AI489" s="53">
        <f>$H489*J489</f>
      </c>
      <c r="AJ489" s="53">
        <f>$H489*K489</f>
      </c>
      <c r="AK489" s="53">
        <f>$H489*L489</f>
      </c>
      <c r="AL489" s="53">
        <f>$H489*M489</f>
      </c>
      <c r="AM489" s="3"/>
      <c r="AN489" s="5"/>
      <c r="AO489" s="5"/>
      <c r="AP489" s="5"/>
      <c r="AQ489" s="3"/>
    </row>
    <row x14ac:dyDescent="0.25" r="490" customHeight="1" ht="12.75">
      <c r="A490" s="5" t="s">
        <v>240</v>
      </c>
      <c r="B490" s="3" t="s">
        <v>1115</v>
      </c>
      <c r="C490" s="3" t="s">
        <v>866</v>
      </c>
      <c r="D490" s="3" t="s">
        <v>988</v>
      </c>
      <c r="E490" s="3" t="s">
        <v>855</v>
      </c>
      <c r="F490" s="3" t="s">
        <v>1563</v>
      </c>
      <c r="G490" s="3" t="s">
        <v>1564</v>
      </c>
      <c r="H490" s="6">
        <v>4.425</v>
      </c>
      <c r="I490" s="7">
        <v>3</v>
      </c>
      <c r="J490" s="6">
        <v>8.6</v>
      </c>
      <c r="K490" s="6">
        <v>17.9</v>
      </c>
      <c r="L490" s="6"/>
      <c r="M490" s="6"/>
      <c r="N490" s="7"/>
      <c r="O490" s="23"/>
      <c r="P490" s="6"/>
      <c r="Q490" s="6"/>
      <c r="R490" s="31"/>
      <c r="S490" s="6"/>
      <c r="T490" s="31"/>
      <c r="U490" s="6"/>
      <c r="V490" s="23"/>
      <c r="W490" s="6"/>
      <c r="X490" s="6"/>
      <c r="Y490" s="5"/>
      <c r="Z490" s="3"/>
      <c r="AA490" s="6">
        <f>H490*I490/100</f>
      </c>
      <c r="AB490" s="6">
        <f>H490*J490/100</f>
      </c>
      <c r="AC490" s="7">
        <f>H490*K490</f>
      </c>
      <c r="AD490" s="7">
        <f>H490*M490</f>
      </c>
      <c r="AE490" s="6">
        <f>H490*L490/100</f>
      </c>
      <c r="AF490" s="6">
        <f>AA490+AB490+AE490</f>
      </c>
      <c r="AG490" s="6">
        <f>I490+J490+L490</f>
      </c>
      <c r="AH490" s="53">
        <f>$H490*I490</f>
      </c>
      <c r="AI490" s="53">
        <f>$H490*J490</f>
      </c>
      <c r="AJ490" s="53">
        <f>$H490*K490</f>
      </c>
      <c r="AK490" s="53">
        <f>$H490*L490</f>
      </c>
      <c r="AL490" s="53">
        <f>$H490*M490</f>
      </c>
      <c r="AM490" s="3"/>
      <c r="AN490" s="5"/>
      <c r="AO490" s="5"/>
      <c r="AP490" s="5"/>
      <c r="AQ490" s="3"/>
    </row>
    <row x14ac:dyDescent="0.25" r="491" customHeight="1" ht="12.75">
      <c r="A491" s="5" t="s">
        <v>220</v>
      </c>
      <c r="B491" s="3" t="s">
        <v>1115</v>
      </c>
      <c r="C491" s="3" t="s">
        <v>866</v>
      </c>
      <c r="D491" s="3" t="s">
        <v>989</v>
      </c>
      <c r="E491" s="38" t="s">
        <v>859</v>
      </c>
      <c r="F491" s="3" t="s">
        <v>1211</v>
      </c>
      <c r="G491" s="3" t="s">
        <v>1565</v>
      </c>
      <c r="H491" s="6">
        <v>0.22</v>
      </c>
      <c r="I491" s="6">
        <v>2.1</v>
      </c>
      <c r="J491" s="6">
        <v>9.3</v>
      </c>
      <c r="K491" s="5"/>
      <c r="L491" s="6">
        <v>0.7</v>
      </c>
      <c r="M491" s="6"/>
      <c r="N491" s="7"/>
      <c r="O491" s="23"/>
      <c r="P491" s="6"/>
      <c r="Q491" s="6"/>
      <c r="R491" s="31"/>
      <c r="S491" s="6"/>
      <c r="T491" s="31"/>
      <c r="U491" s="6"/>
      <c r="V491" s="23"/>
      <c r="W491" s="6"/>
      <c r="X491" s="6"/>
      <c r="Y491" s="5"/>
      <c r="Z491" s="3"/>
      <c r="AA491" s="6">
        <f>H491*I491/100</f>
      </c>
      <c r="AB491" s="6">
        <f>H491*J491/100</f>
      </c>
      <c r="AC491" s="7">
        <f>H491*K491</f>
      </c>
      <c r="AD491" s="7">
        <f>H491*M491</f>
      </c>
      <c r="AE491" s="6">
        <f>H491*L491/100</f>
      </c>
      <c r="AF491" s="6">
        <f>AA491+AB491+AE491</f>
      </c>
      <c r="AG491" s="6">
        <f>I491+J491+L491</f>
      </c>
      <c r="AH491" s="53">
        <f>$H491*I491</f>
      </c>
      <c r="AI491" s="53">
        <f>$H491*J491</f>
      </c>
      <c r="AJ491" s="53">
        <f>$H491*K491</f>
      </c>
      <c r="AK491" s="53">
        <f>$H491*L491</f>
      </c>
      <c r="AL491" s="53">
        <f>$H491*M491</f>
      </c>
      <c r="AM491" s="3"/>
      <c r="AN491" s="5"/>
      <c r="AO491" s="5"/>
      <c r="AP491" s="5"/>
      <c r="AQ491" s="3"/>
    </row>
    <row x14ac:dyDescent="0.25" r="492" customHeight="1" ht="12.75">
      <c r="A492" s="5" t="s">
        <v>101</v>
      </c>
      <c r="B492" s="3" t="s">
        <v>1115</v>
      </c>
      <c r="C492" s="3" t="s">
        <v>866</v>
      </c>
      <c r="D492" s="3" t="s">
        <v>988</v>
      </c>
      <c r="E492" s="3" t="s">
        <v>855</v>
      </c>
      <c r="F492" s="3" t="s">
        <v>1211</v>
      </c>
      <c r="G492" s="3" t="s">
        <v>1566</v>
      </c>
      <c r="H492" s="7">
        <v>132</v>
      </c>
      <c r="I492" s="6">
        <v>0.4</v>
      </c>
      <c r="J492" s="7">
        <v>4</v>
      </c>
      <c r="K492" s="5"/>
      <c r="L492" s="6"/>
      <c r="M492" s="6"/>
      <c r="N492" s="7"/>
      <c r="O492" s="23"/>
      <c r="P492" s="6"/>
      <c r="Q492" s="6"/>
      <c r="R492" s="31"/>
      <c r="S492" s="6"/>
      <c r="T492" s="31"/>
      <c r="U492" s="6"/>
      <c r="V492" s="23"/>
      <c r="W492" s="6"/>
      <c r="X492" s="6"/>
      <c r="Y492" s="5"/>
      <c r="Z492" s="3"/>
      <c r="AA492" s="6">
        <f>H492*I492/100</f>
      </c>
      <c r="AB492" s="6">
        <f>H492*J492/100</f>
      </c>
      <c r="AC492" s="7">
        <f>H492*K492</f>
      </c>
      <c r="AD492" s="7">
        <f>H492*M492</f>
      </c>
      <c r="AE492" s="6">
        <f>H492*L492/100</f>
      </c>
      <c r="AF492" s="6">
        <f>AA492+AB492+AE492</f>
      </c>
      <c r="AG492" s="6">
        <f>I492+J492+L492</f>
      </c>
      <c r="AH492" s="53">
        <f>$H492*I492</f>
      </c>
      <c r="AI492" s="53">
        <f>$H492*J492</f>
      </c>
      <c r="AJ492" s="53">
        <f>$H492*K492</f>
      </c>
      <c r="AK492" s="53">
        <f>$H492*L492</f>
      </c>
      <c r="AL492" s="53">
        <f>$H492*M492</f>
      </c>
      <c r="AM492" s="3"/>
      <c r="AN492" s="5"/>
      <c r="AO492" s="5"/>
      <c r="AP492" s="5"/>
      <c r="AQ492" s="3"/>
    </row>
    <row x14ac:dyDescent="0.25" r="493" customHeight="1" ht="12.75">
      <c r="A493" s="5" t="s">
        <v>10</v>
      </c>
      <c r="B493" s="3" t="s">
        <v>1115</v>
      </c>
      <c r="C493" s="3" t="s">
        <v>958</v>
      </c>
      <c r="D493" s="3" t="s">
        <v>959</v>
      </c>
      <c r="E493" s="3" t="s">
        <v>855</v>
      </c>
      <c r="F493" s="3" t="s">
        <v>1567</v>
      </c>
      <c r="G493" s="3" t="s">
        <v>1204</v>
      </c>
      <c r="H493" s="5">
        <v>956</v>
      </c>
      <c r="I493" s="6"/>
      <c r="J493" s="23">
        <v>0.2351</v>
      </c>
      <c r="K493" s="5"/>
      <c r="L493" s="6"/>
      <c r="M493" s="6"/>
      <c r="N493" s="7"/>
      <c r="O493" s="23"/>
      <c r="P493" s="6"/>
      <c r="Q493" s="6"/>
      <c r="R493" s="31"/>
      <c r="S493" s="6"/>
      <c r="T493" s="31"/>
      <c r="U493" s="6"/>
      <c r="V493" s="6">
        <v>0.0273</v>
      </c>
      <c r="W493" s="6"/>
      <c r="X493" s="6"/>
      <c r="Y493" s="6">
        <v>1.08</v>
      </c>
      <c r="Z493" s="3" t="s">
        <v>960</v>
      </c>
      <c r="AA493" s="6">
        <f>H493*I493/100</f>
      </c>
      <c r="AB493" s="6">
        <f>H493*J493/100</f>
      </c>
      <c r="AC493" s="7">
        <f>H493*K493</f>
      </c>
      <c r="AD493" s="7">
        <f>H493*M493</f>
      </c>
      <c r="AE493" s="6">
        <f>H493*L493/100</f>
      </c>
      <c r="AF493" s="6">
        <f>AA493+AB493+AE493</f>
      </c>
      <c r="AG493" s="6">
        <f>I493+J493+L493</f>
      </c>
      <c r="AH493" s="53">
        <f>$H493*I493</f>
      </c>
      <c r="AI493" s="53">
        <f>$H493*J493</f>
      </c>
      <c r="AJ493" s="53">
        <f>$H493*K493</f>
      </c>
      <c r="AK493" s="53">
        <f>$H493*L493</f>
      </c>
      <c r="AL493" s="53">
        <f>$H493*M493</f>
      </c>
      <c r="AM493" s="3"/>
      <c r="AN493" s="5"/>
      <c r="AO493" s="5"/>
      <c r="AP493" s="5"/>
      <c r="AQ493" s="3"/>
    </row>
    <row x14ac:dyDescent="0.25" r="494" customHeight="1" ht="12.75">
      <c r="A494" s="5" t="s">
        <v>204</v>
      </c>
      <c r="B494" s="3" t="s">
        <v>1115</v>
      </c>
      <c r="C494" s="3" t="s">
        <v>866</v>
      </c>
      <c r="D494" s="3" t="s">
        <v>988</v>
      </c>
      <c r="E494" s="3" t="s">
        <v>855</v>
      </c>
      <c r="F494" s="3" t="s">
        <v>1563</v>
      </c>
      <c r="G494" s="3" t="s">
        <v>1564</v>
      </c>
      <c r="H494" s="6">
        <v>0.2</v>
      </c>
      <c r="I494" s="6">
        <v>3.4</v>
      </c>
      <c r="J494" s="7">
        <v>9</v>
      </c>
      <c r="K494" s="5"/>
      <c r="L494" s="6"/>
      <c r="M494" s="6"/>
      <c r="N494" s="7"/>
      <c r="O494" s="23"/>
      <c r="P494" s="6"/>
      <c r="Q494" s="6"/>
      <c r="R494" s="31"/>
      <c r="S494" s="6"/>
      <c r="T494" s="31"/>
      <c r="U494" s="6"/>
      <c r="V494" s="23"/>
      <c r="W494" s="6"/>
      <c r="X494" s="6"/>
      <c r="Y494" s="5"/>
      <c r="Z494" s="3"/>
      <c r="AA494" s="6">
        <f>H494*I494/100</f>
      </c>
      <c r="AB494" s="6">
        <f>H494*J494/100</f>
      </c>
      <c r="AC494" s="7">
        <f>H494*K494</f>
      </c>
      <c r="AD494" s="7">
        <f>H494*M494</f>
      </c>
      <c r="AE494" s="6">
        <f>H494*L494/100</f>
      </c>
      <c r="AF494" s="6">
        <f>AA494+AB494+AE494</f>
      </c>
      <c r="AG494" s="6">
        <f>I494+J494+L494</f>
      </c>
      <c r="AH494" s="53">
        <f>$H494*I494</f>
      </c>
      <c r="AI494" s="53">
        <f>$H494*J494</f>
      </c>
      <c r="AJ494" s="53">
        <f>$H494*K494</f>
      </c>
      <c r="AK494" s="53">
        <f>$H494*L494</f>
      </c>
      <c r="AL494" s="53">
        <f>$H494*M494</f>
      </c>
      <c r="AM494" s="3"/>
      <c r="AN494" s="5"/>
      <c r="AO494" s="5"/>
      <c r="AP494" s="5"/>
      <c r="AQ494" s="3"/>
    </row>
    <row x14ac:dyDescent="0.25" r="495" customHeight="1" ht="12.75">
      <c r="A495" s="5" t="s">
        <v>378</v>
      </c>
      <c r="B495" s="3" t="s">
        <v>1115</v>
      </c>
      <c r="C495" s="3" t="s">
        <v>866</v>
      </c>
      <c r="D495" s="3" t="s">
        <v>988</v>
      </c>
      <c r="E495" s="3" t="s">
        <v>855</v>
      </c>
      <c r="F495" s="3" t="s">
        <v>1563</v>
      </c>
      <c r="G495" s="3" t="s">
        <v>1564</v>
      </c>
      <c r="H495" s="6">
        <v>1.7</v>
      </c>
      <c r="I495" s="6">
        <v>2.5</v>
      </c>
      <c r="J495" s="6">
        <v>6.9</v>
      </c>
      <c r="K495" s="5"/>
      <c r="L495" s="6"/>
      <c r="M495" s="6"/>
      <c r="N495" s="7"/>
      <c r="O495" s="23"/>
      <c r="P495" s="6"/>
      <c r="Q495" s="6"/>
      <c r="R495" s="31"/>
      <c r="S495" s="6"/>
      <c r="T495" s="31"/>
      <c r="U495" s="6"/>
      <c r="V495" s="23"/>
      <c r="W495" s="6"/>
      <c r="X495" s="6"/>
      <c r="Y495" s="5"/>
      <c r="Z495" s="3"/>
      <c r="AA495" s="6">
        <f>H495*I495/100</f>
      </c>
      <c r="AB495" s="6">
        <f>H495*J495/100</f>
      </c>
      <c r="AC495" s="7">
        <f>H495*K495</f>
      </c>
      <c r="AD495" s="7">
        <f>H495*M495</f>
      </c>
      <c r="AE495" s="6">
        <f>H495*L495/100</f>
      </c>
      <c r="AF495" s="6">
        <f>AA495+AB495+AE495</f>
      </c>
      <c r="AG495" s="6">
        <f>I495+J495+L495</f>
      </c>
      <c r="AH495" s="53">
        <f>$H495*I495</f>
      </c>
      <c r="AI495" s="53">
        <f>$H495*J495</f>
      </c>
      <c r="AJ495" s="53">
        <f>$H495*K495</f>
      </c>
      <c r="AK495" s="53">
        <f>$H495*L495</f>
      </c>
      <c r="AL495" s="53">
        <f>$H495*M495</f>
      </c>
      <c r="AM495" s="3"/>
      <c r="AN495" s="5"/>
      <c r="AO495" s="5"/>
      <c r="AP495" s="5"/>
      <c r="AQ495" s="3"/>
    </row>
    <row x14ac:dyDescent="0.25" r="496" customHeight="1" ht="12.75">
      <c r="A496" s="5" t="s">
        <v>1568</v>
      </c>
      <c r="B496" s="3" t="s">
        <v>1116</v>
      </c>
      <c r="C496" s="3" t="s">
        <v>856</v>
      </c>
      <c r="D496" s="3" t="s">
        <v>928</v>
      </c>
      <c r="E496" s="3" t="s">
        <v>855</v>
      </c>
      <c r="F496" s="3" t="s">
        <v>1569</v>
      </c>
      <c r="G496" s="3" t="s">
        <v>1415</v>
      </c>
      <c r="H496" s="6">
        <f>27.1+4.6</f>
      </c>
      <c r="I496" s="6">
        <f>(0.71*27.1+0.34*4.6)/$H496</f>
      </c>
      <c r="J496" s="6">
        <f>(1.28*27.1+0.66*4.6)/$H496</f>
      </c>
      <c r="K496" s="31">
        <f>(422*27.1+254*4.6)/$H496</f>
      </c>
      <c r="L496" s="6"/>
      <c r="M496" s="6">
        <f>(0.43*27.1+0.59*4.6)/$H496</f>
      </c>
      <c r="N496" s="7"/>
      <c r="O496" s="23"/>
      <c r="P496" s="6"/>
      <c r="Q496" s="6"/>
      <c r="R496" s="31"/>
      <c r="S496" s="6"/>
      <c r="T496" s="31"/>
      <c r="U496" s="6"/>
      <c r="V496" s="23"/>
      <c r="W496" s="6"/>
      <c r="X496" s="6"/>
      <c r="Y496" s="5"/>
      <c r="Z496" s="3"/>
      <c r="AA496" s="6">
        <f>H496*I496/100</f>
      </c>
      <c r="AB496" s="6">
        <f>H496*J496/100</f>
      </c>
      <c r="AC496" s="7">
        <f>H496*K496</f>
      </c>
      <c r="AD496" s="7">
        <f>H496*M496</f>
      </c>
      <c r="AE496" s="6">
        <f>H496*L496/100</f>
      </c>
      <c r="AF496" s="6">
        <f>AA496+AB496+AE496</f>
      </c>
      <c r="AG496" s="6">
        <f>I496+J496+L496</f>
      </c>
      <c r="AH496" s="53">
        <f>$H496*I496</f>
      </c>
      <c r="AI496" s="53">
        <f>$H496*J496</f>
      </c>
      <c r="AJ496" s="53">
        <f>$H496*K496</f>
      </c>
      <c r="AK496" s="53">
        <f>$H496*L496</f>
      </c>
      <c r="AL496" s="53">
        <f>$H496*M496</f>
      </c>
      <c r="AM496" s="3"/>
      <c r="AN496" s="5"/>
      <c r="AO496" s="5"/>
      <c r="AP496" s="5"/>
      <c r="AQ496" s="3"/>
    </row>
    <row x14ac:dyDescent="0.25" r="497" customHeight="1" ht="12.75">
      <c r="A497" s="5" t="s">
        <v>383</v>
      </c>
      <c r="B497" s="3" t="s">
        <v>1116</v>
      </c>
      <c r="C497" s="3" t="s">
        <v>862</v>
      </c>
      <c r="D497" s="3" t="s">
        <v>968</v>
      </c>
      <c r="E497" s="3" t="s">
        <v>855</v>
      </c>
      <c r="F497" s="3" t="s">
        <v>1570</v>
      </c>
      <c r="G497" s="3" t="s">
        <v>1388</v>
      </c>
      <c r="H497" s="23">
        <f>0.571482+1.320154+0.169705+0.007366+0.068688+0.036291</f>
      </c>
      <c r="I497" s="6">
        <f>(2.52*0.571482+2.36*1.320154+1.96*0.169705+3.26*0.007366+2.53*0.068688+2.03*0.036291)/$H497</f>
      </c>
      <c r="J497" s="6">
        <f>(8.79*0.571482+6.69*1.320154+4.42*0.169705+4.04*0.007366+3.15*0.068688+2.79*0.036291)/$H497</f>
      </c>
      <c r="K497" s="7">
        <f>(14.01*0.571482+14.35*1.320154+12.53*0.169705+14.98*0.007366+12.23*0.068688+10.47*0.036291)/$H497</f>
      </c>
      <c r="L497" s="6"/>
      <c r="M497" s="6"/>
      <c r="N497" s="7"/>
      <c r="O497" s="23"/>
      <c r="P497" s="6"/>
      <c r="Q497" s="6"/>
      <c r="R497" s="31"/>
      <c r="S497" s="6"/>
      <c r="T497" s="31"/>
      <c r="U497" s="6"/>
      <c r="V497" s="23"/>
      <c r="W497" s="6"/>
      <c r="X497" s="6"/>
      <c r="Y497" s="5"/>
      <c r="Z497" s="3"/>
      <c r="AA497" s="6">
        <f>H497*I497/100</f>
      </c>
      <c r="AB497" s="6">
        <f>H497*J497/100</f>
      </c>
      <c r="AC497" s="7">
        <f>H497*K497</f>
      </c>
      <c r="AD497" s="7">
        <f>H497*M497</f>
      </c>
      <c r="AE497" s="6">
        <f>H497*L497/100</f>
      </c>
      <c r="AF497" s="6">
        <f>AA497+AB497+AE497</f>
      </c>
      <c r="AG497" s="6">
        <f>I497+J497+L497</f>
      </c>
      <c r="AH497" s="53">
        <f>$H497*I497</f>
      </c>
      <c r="AI497" s="53">
        <f>$H497*J497</f>
      </c>
      <c r="AJ497" s="53">
        <f>$H497*K497</f>
      </c>
      <c r="AK497" s="53">
        <f>$H497*L497</f>
      </c>
      <c r="AL497" s="53">
        <f>$H497*M497</f>
      </c>
      <c r="AM497" s="3"/>
      <c r="AN497" s="5"/>
      <c r="AO497" s="5"/>
      <c r="AP497" s="5"/>
      <c r="AQ497" s="3"/>
    </row>
    <row x14ac:dyDescent="0.25" r="498" customHeight="1" ht="12.75">
      <c r="A498" s="5" t="s">
        <v>489</v>
      </c>
      <c r="B498" s="3" t="s">
        <v>1117</v>
      </c>
      <c r="C498" s="3" t="s">
        <v>869</v>
      </c>
      <c r="D498" s="3"/>
      <c r="E498" s="3" t="s">
        <v>855</v>
      </c>
      <c r="F498" s="3" t="s">
        <v>1432</v>
      </c>
      <c r="G498" s="3" t="s">
        <v>1181</v>
      </c>
      <c r="H498" s="6">
        <f>1.06+2.86+2.5</f>
      </c>
      <c r="I498" s="6">
        <f>(3.45*1.06+1.85*2.86+2.26*2.5)/$H498</f>
      </c>
      <c r="J498" s="6">
        <f>(6.46*1.06+5.23*2.86+5.57*2.5)/$H498</f>
      </c>
      <c r="K498" s="7">
        <f>(116.2*1.06+54.8*2.86+49.1*2.5)/$H498</f>
      </c>
      <c r="L498" s="6"/>
      <c r="M498" s="6"/>
      <c r="N498" s="7"/>
      <c r="O498" s="23"/>
      <c r="P498" s="6"/>
      <c r="Q498" s="6"/>
      <c r="R498" s="31"/>
      <c r="S498" s="6"/>
      <c r="T498" s="31"/>
      <c r="U498" s="6"/>
      <c r="V498" s="23"/>
      <c r="W498" s="6"/>
      <c r="X498" s="6"/>
      <c r="Y498" s="5"/>
      <c r="Z498" s="3"/>
      <c r="AA498" s="6">
        <f>H498*I498/100</f>
      </c>
      <c r="AB498" s="6">
        <f>H498*J498/100</f>
      </c>
      <c r="AC498" s="7">
        <f>H498*K498</f>
      </c>
      <c r="AD498" s="7">
        <f>H498*M498</f>
      </c>
      <c r="AE498" s="6">
        <f>H498*L498/100</f>
      </c>
      <c r="AF498" s="6">
        <f>AA498+AB498+AE498</f>
      </c>
      <c r="AG498" s="6">
        <f>I498+J498+L498</f>
      </c>
      <c r="AH498" s="53">
        <f>$H498*I498</f>
      </c>
      <c r="AI498" s="53">
        <f>$H498*J498</f>
      </c>
      <c r="AJ498" s="53">
        <f>$H498*K498</f>
      </c>
      <c r="AK498" s="53">
        <f>$H498*L498</f>
      </c>
      <c r="AL498" s="53">
        <f>$H498*M498</f>
      </c>
      <c r="AM498" s="3"/>
      <c r="AN498" s="5"/>
      <c r="AO498" s="5"/>
      <c r="AP498" s="5"/>
      <c r="AQ498" s="3"/>
    </row>
    <row x14ac:dyDescent="0.25" r="499" customHeight="1" ht="12.75">
      <c r="A499" s="5" t="s">
        <v>726</v>
      </c>
      <c r="B499" s="3" t="s">
        <v>1118</v>
      </c>
      <c r="C499" s="3" t="s">
        <v>870</v>
      </c>
      <c r="D499" s="3"/>
      <c r="E499" s="38" t="s">
        <v>859</v>
      </c>
      <c r="F499" s="3" t="s">
        <v>1571</v>
      </c>
      <c r="G499" s="3" t="s">
        <v>1415</v>
      </c>
      <c r="H499" s="6">
        <v>0.1</v>
      </c>
      <c r="I499" s="6"/>
      <c r="J499" s="6">
        <v>3.5</v>
      </c>
      <c r="K499" s="5">
        <v>42</v>
      </c>
      <c r="L499" s="6">
        <v>0.8</v>
      </c>
      <c r="M499" s="6">
        <v>0.52</v>
      </c>
      <c r="N499" s="7"/>
      <c r="O499" s="23"/>
      <c r="P499" s="6"/>
      <c r="Q499" s="6"/>
      <c r="R499" s="31"/>
      <c r="S499" s="6"/>
      <c r="T499" s="31"/>
      <c r="U499" s="6"/>
      <c r="V499" s="23"/>
      <c r="W499" s="6"/>
      <c r="X499" s="6"/>
      <c r="Y499" s="5"/>
      <c r="Z499" s="3"/>
      <c r="AA499" s="6">
        <f>H499*I499/100</f>
      </c>
      <c r="AB499" s="6">
        <f>H499*J499/100</f>
      </c>
      <c r="AC499" s="7">
        <f>H499*K499</f>
      </c>
      <c r="AD499" s="7">
        <f>H499*M499</f>
      </c>
      <c r="AE499" s="6">
        <f>H499*L499/100</f>
      </c>
      <c r="AF499" s="6">
        <f>AA499+AB499+AE499</f>
      </c>
      <c r="AG499" s="6">
        <f>I499+J499+L499</f>
      </c>
      <c r="AH499" s="53">
        <f>$H499*I499</f>
      </c>
      <c r="AI499" s="53">
        <f>$H499*J499</f>
      </c>
      <c r="AJ499" s="53">
        <f>$H499*K499</f>
      </c>
      <c r="AK499" s="53">
        <f>$H499*L499</f>
      </c>
      <c r="AL499" s="53">
        <f>$H499*M499</f>
      </c>
      <c r="AM499" s="3"/>
      <c r="AN499" s="5"/>
      <c r="AO499" s="5"/>
      <c r="AP499" s="5"/>
      <c r="AQ499" s="3"/>
    </row>
    <row x14ac:dyDescent="0.25" r="500" customHeight="1" ht="12.75">
      <c r="A500" s="5" t="s">
        <v>400</v>
      </c>
      <c r="B500" s="3" t="s">
        <v>1118</v>
      </c>
      <c r="C500" s="3" t="s">
        <v>866</v>
      </c>
      <c r="D500" s="3" t="s">
        <v>989</v>
      </c>
      <c r="E500" s="38" t="s">
        <v>859</v>
      </c>
      <c r="F500" s="3" t="s">
        <v>1572</v>
      </c>
      <c r="G500" s="3" t="s">
        <v>1519</v>
      </c>
      <c r="H500" s="6">
        <v>8.8</v>
      </c>
      <c r="I500" s="6">
        <v>3.1</v>
      </c>
      <c r="J500" s="6">
        <v>4.2</v>
      </c>
      <c r="K500" s="5"/>
      <c r="L500" s="6">
        <v>1.6</v>
      </c>
      <c r="M500" s="6"/>
      <c r="N500" s="7"/>
      <c r="O500" s="23"/>
      <c r="P500" s="6"/>
      <c r="Q500" s="6"/>
      <c r="R500" s="31"/>
      <c r="S500" s="6"/>
      <c r="T500" s="31"/>
      <c r="U500" s="6"/>
      <c r="V500" s="23"/>
      <c r="W500" s="6"/>
      <c r="X500" s="6"/>
      <c r="Y500" s="5"/>
      <c r="Z500" s="3"/>
      <c r="AA500" s="6">
        <f>H500*I500/100</f>
      </c>
      <c r="AB500" s="6">
        <f>H500*J500/100</f>
      </c>
      <c r="AC500" s="7">
        <f>H500*K500</f>
      </c>
      <c r="AD500" s="7">
        <f>H500*M500</f>
      </c>
      <c r="AE500" s="6">
        <f>H500*L500/100</f>
      </c>
      <c r="AF500" s="6">
        <f>AA500+AB500+AE500</f>
      </c>
      <c r="AG500" s="6">
        <f>I500+J500+L500</f>
      </c>
      <c r="AH500" s="53">
        <f>$H500*I500</f>
      </c>
      <c r="AI500" s="53">
        <f>$H500*J500</f>
      </c>
      <c r="AJ500" s="53">
        <f>$H500*K500</f>
      </c>
      <c r="AK500" s="53">
        <f>$H500*L500</f>
      </c>
      <c r="AL500" s="53">
        <f>$H500*M500</f>
      </c>
      <c r="AM500" s="3"/>
      <c r="AN500" s="5"/>
      <c r="AO500" s="5"/>
      <c r="AP500" s="5"/>
      <c r="AQ500" s="3"/>
    </row>
    <row x14ac:dyDescent="0.25" r="501" customHeight="1" ht="12.75">
      <c r="A501" s="5" t="s">
        <v>163</v>
      </c>
      <c r="B501" s="3" t="s">
        <v>1118</v>
      </c>
      <c r="C501" s="3" t="s">
        <v>866</v>
      </c>
      <c r="D501" s="3" t="s">
        <v>988</v>
      </c>
      <c r="E501" s="38" t="s">
        <v>859</v>
      </c>
      <c r="F501" s="3" t="s">
        <v>1571</v>
      </c>
      <c r="G501" s="3" t="s">
        <v>1415</v>
      </c>
      <c r="H501" s="6">
        <v>8.3</v>
      </c>
      <c r="I501" s="5">
        <v>6</v>
      </c>
      <c r="J501" s="5">
        <v>6</v>
      </c>
      <c r="K501" s="5"/>
      <c r="L501" s="5">
        <v>2</v>
      </c>
      <c r="M501" s="6"/>
      <c r="N501" s="7"/>
      <c r="O501" s="23"/>
      <c r="P501" s="6"/>
      <c r="Q501" s="6"/>
      <c r="R501" s="31"/>
      <c r="S501" s="6"/>
      <c r="T501" s="31"/>
      <c r="U501" s="6"/>
      <c r="V501" s="23"/>
      <c r="W501" s="6"/>
      <c r="X501" s="6"/>
      <c r="Y501" s="5"/>
      <c r="Z501" s="3"/>
      <c r="AA501" s="6">
        <f>H501*I501/100</f>
      </c>
      <c r="AB501" s="6">
        <f>H501*J501/100</f>
      </c>
      <c r="AC501" s="7">
        <f>H501*K501</f>
      </c>
      <c r="AD501" s="7">
        <f>H501*M501</f>
      </c>
      <c r="AE501" s="6">
        <f>H501*L501/100</f>
      </c>
      <c r="AF501" s="6">
        <f>AA501+AB501+AE501</f>
      </c>
      <c r="AG501" s="6">
        <f>I501+J501+L501</f>
      </c>
      <c r="AH501" s="53">
        <f>$H501*I501</f>
      </c>
      <c r="AI501" s="53">
        <f>$H501*J501</f>
      </c>
      <c r="AJ501" s="53">
        <f>$H501*K501</f>
      </c>
      <c r="AK501" s="53">
        <f>$H501*L501</f>
      </c>
      <c r="AL501" s="53">
        <f>$H501*M501</f>
      </c>
      <c r="AM501" s="3"/>
      <c r="AN501" s="5"/>
      <c r="AO501" s="5"/>
      <c r="AP501" s="5"/>
      <c r="AQ501" s="3"/>
    </row>
    <row x14ac:dyDescent="0.25" r="502" customHeight="1" ht="12.75">
      <c r="A502" s="5" t="s">
        <v>229</v>
      </c>
      <c r="B502" s="3" t="s">
        <v>1118</v>
      </c>
      <c r="C502" s="3" t="s">
        <v>870</v>
      </c>
      <c r="D502" s="3"/>
      <c r="E502" s="3" t="s">
        <v>855</v>
      </c>
      <c r="F502" s="3" t="s">
        <v>1573</v>
      </c>
      <c r="G502" s="3" t="s">
        <v>1355</v>
      </c>
      <c r="H502" s="6">
        <f>1.86+0.149</f>
      </c>
      <c r="I502" s="6">
        <f>(3.83*1.86+1.89*0.149)/$H502</f>
      </c>
      <c r="J502" s="6">
        <f>(5.8*1.86+4.56*0.149)/$H502</f>
      </c>
      <c r="K502" s="31">
        <f>(36*1.86+29*0.149)/$H502</f>
      </c>
      <c r="L502" s="6">
        <f>(2.62*1.86+1.7*0.149)/$H502</f>
      </c>
      <c r="M502" s="6">
        <f>(0.48*1.86+0.44*0.149)/$H502</f>
      </c>
      <c r="N502" s="7"/>
      <c r="O502" s="23"/>
      <c r="P502" s="6"/>
      <c r="Q502" s="6"/>
      <c r="R502" s="31"/>
      <c r="S502" s="6"/>
      <c r="T502" s="31"/>
      <c r="U502" s="6"/>
      <c r="V502" s="23"/>
      <c r="W502" s="6"/>
      <c r="X502" s="6"/>
      <c r="Y502" s="5"/>
      <c r="Z502" s="3"/>
      <c r="AA502" s="6">
        <f>H502*I502/100</f>
      </c>
      <c r="AB502" s="6">
        <f>H502*J502/100</f>
      </c>
      <c r="AC502" s="7">
        <f>H502*K502</f>
      </c>
      <c r="AD502" s="7">
        <f>H502*M502</f>
      </c>
      <c r="AE502" s="6">
        <f>H502*L502/100</f>
      </c>
      <c r="AF502" s="6">
        <f>AA502+AB502+AE502</f>
      </c>
      <c r="AG502" s="6">
        <f>I502+J502+L502</f>
      </c>
      <c r="AH502" s="53">
        <f>$H502*I502</f>
      </c>
      <c r="AI502" s="53">
        <f>$H502*J502</f>
      </c>
      <c r="AJ502" s="53">
        <f>$H502*K502</f>
      </c>
      <c r="AK502" s="53">
        <f>$H502*L502</f>
      </c>
      <c r="AL502" s="53">
        <f>$H502*M502</f>
      </c>
      <c r="AM502" s="3"/>
      <c r="AN502" s="5"/>
      <c r="AO502" s="5"/>
      <c r="AP502" s="5"/>
      <c r="AQ502" s="3"/>
    </row>
    <row x14ac:dyDescent="0.25" r="503" customHeight="1" ht="12.75">
      <c r="A503" s="5" t="s">
        <v>607</v>
      </c>
      <c r="B503" s="3" t="s">
        <v>1118</v>
      </c>
      <c r="C503" s="3" t="s">
        <v>866</v>
      </c>
      <c r="D503" s="3" t="s">
        <v>988</v>
      </c>
      <c r="E503" s="38" t="s">
        <v>859</v>
      </c>
      <c r="F503" s="3" t="s">
        <v>1171</v>
      </c>
      <c r="G503" s="3" t="s">
        <v>1173</v>
      </c>
      <c r="H503" s="6">
        <v>1.22</v>
      </c>
      <c r="I503" s="6">
        <v>2.57</v>
      </c>
      <c r="J503" s="6">
        <v>3.84</v>
      </c>
      <c r="K503" s="5"/>
      <c r="L503" s="6"/>
      <c r="M503" s="6"/>
      <c r="N503" s="7"/>
      <c r="O503" s="23"/>
      <c r="P503" s="6"/>
      <c r="Q503" s="6"/>
      <c r="R503" s="31"/>
      <c r="S503" s="6"/>
      <c r="T503" s="31"/>
      <c r="U503" s="6"/>
      <c r="V503" s="23"/>
      <c r="W503" s="6"/>
      <c r="X503" s="6"/>
      <c r="Y503" s="5"/>
      <c r="Z503" s="3"/>
      <c r="AA503" s="6">
        <f>H503*I503/100</f>
      </c>
      <c r="AB503" s="6">
        <f>H503*J503/100</f>
      </c>
      <c r="AC503" s="7">
        <f>H503*K503</f>
      </c>
      <c r="AD503" s="7">
        <f>H503*M503</f>
      </c>
      <c r="AE503" s="6">
        <f>H503*L503/100</f>
      </c>
      <c r="AF503" s="6">
        <f>AA503+AB503+AE503</f>
      </c>
      <c r="AG503" s="6">
        <f>I503+J503+L503</f>
      </c>
      <c r="AH503" s="53">
        <f>$H503*I503</f>
      </c>
      <c r="AI503" s="53">
        <f>$H503*J503</f>
      </c>
      <c r="AJ503" s="53">
        <f>$H503*K503</f>
      </c>
      <c r="AK503" s="53">
        <f>$H503*L503</f>
      </c>
      <c r="AL503" s="53">
        <f>$H503*M503</f>
      </c>
      <c r="AM503" s="3"/>
      <c r="AN503" s="5"/>
      <c r="AO503" s="5"/>
      <c r="AP503" s="5"/>
      <c r="AQ503" s="3"/>
    </row>
    <row x14ac:dyDescent="0.25" r="504" customHeight="1" ht="12.75">
      <c r="A504" s="5" t="s">
        <v>388</v>
      </c>
      <c r="B504" s="3" t="s">
        <v>1118</v>
      </c>
      <c r="C504" s="3" t="s">
        <v>866</v>
      </c>
      <c r="D504" s="3" t="s">
        <v>988</v>
      </c>
      <c r="E504" s="38" t="s">
        <v>859</v>
      </c>
      <c r="F504" s="3" t="s">
        <v>1171</v>
      </c>
      <c r="G504" s="3" t="s">
        <v>1173</v>
      </c>
      <c r="H504" s="5">
        <v>16</v>
      </c>
      <c r="I504" s="6">
        <v>1.17</v>
      </c>
      <c r="J504" s="6">
        <v>5.85</v>
      </c>
      <c r="K504" s="5"/>
      <c r="L504" s="6"/>
      <c r="M504" s="6"/>
      <c r="N504" s="7"/>
      <c r="O504" s="23"/>
      <c r="P504" s="6"/>
      <c r="Q504" s="6"/>
      <c r="R504" s="31"/>
      <c r="S504" s="6"/>
      <c r="T504" s="31"/>
      <c r="U504" s="6"/>
      <c r="V504" s="23"/>
      <c r="W504" s="6"/>
      <c r="X504" s="6"/>
      <c r="Y504" s="5"/>
      <c r="Z504" s="3"/>
      <c r="AA504" s="6">
        <f>H504*I504/100</f>
      </c>
      <c r="AB504" s="6">
        <f>H504*J504/100</f>
      </c>
      <c r="AC504" s="7">
        <f>H504*K504</f>
      </c>
      <c r="AD504" s="7">
        <f>H504*M504</f>
      </c>
      <c r="AE504" s="6">
        <f>H504*L504/100</f>
      </c>
      <c r="AF504" s="6">
        <f>AA504+AB504+AE504</f>
      </c>
      <c r="AG504" s="6">
        <f>I504+J504+L504</f>
      </c>
      <c r="AH504" s="53">
        <f>$H504*I504</f>
      </c>
      <c r="AI504" s="53">
        <f>$H504*J504</f>
      </c>
      <c r="AJ504" s="53">
        <f>$H504*K504</f>
      </c>
      <c r="AK504" s="53">
        <f>$H504*L504</f>
      </c>
      <c r="AL504" s="53">
        <f>$H504*M504</f>
      </c>
      <c r="AM504" s="3"/>
      <c r="AN504" s="5"/>
      <c r="AO504" s="5"/>
      <c r="AP504" s="5"/>
      <c r="AQ504" s="3"/>
    </row>
    <row x14ac:dyDescent="0.25" r="505" customHeight="1" ht="12.75">
      <c r="A505" s="5" t="s">
        <v>448</v>
      </c>
      <c r="B505" s="3" t="s">
        <v>1118</v>
      </c>
      <c r="C505" s="3" t="s">
        <v>866</v>
      </c>
      <c r="D505" s="3" t="s">
        <v>988</v>
      </c>
      <c r="E505" s="3" t="s">
        <v>855</v>
      </c>
      <c r="F505" s="3" t="s">
        <v>1574</v>
      </c>
      <c r="G505" s="3" t="s">
        <v>1566</v>
      </c>
      <c r="H505" s="6">
        <f>5.4+10.9</f>
      </c>
      <c r="I505" s="7">
        <f>(1.6*5.4+1.7*10.9)/$H505</f>
      </c>
      <c r="J505" s="7">
        <f>(4.5*5.4+3.8*10.9)/$H505</f>
      </c>
      <c r="K505" s="31">
        <f>(66*5.4+55*10.9)/$H505</f>
      </c>
      <c r="L505" s="6"/>
      <c r="M505" s="6"/>
      <c r="N505" s="7"/>
      <c r="O505" s="23"/>
      <c r="P505" s="6"/>
      <c r="Q505" s="6"/>
      <c r="R505" s="31"/>
      <c r="S505" s="6"/>
      <c r="T505" s="31"/>
      <c r="U505" s="6"/>
      <c r="V505" s="23"/>
      <c r="W505" s="6"/>
      <c r="X505" s="6"/>
      <c r="Y505" s="5"/>
      <c r="Z505" s="3"/>
      <c r="AA505" s="6">
        <f>H505*I505/100</f>
      </c>
      <c r="AB505" s="6">
        <f>H505*J505/100</f>
      </c>
      <c r="AC505" s="7">
        <f>H505*K505</f>
      </c>
      <c r="AD505" s="7">
        <f>H505*M505</f>
      </c>
      <c r="AE505" s="6">
        <f>H505*L505/100</f>
      </c>
      <c r="AF505" s="6">
        <f>AA505+AB505+AE505</f>
      </c>
      <c r="AG505" s="6">
        <f>I505+J505+L505</f>
      </c>
      <c r="AH505" s="53">
        <f>$H505*I505</f>
      </c>
      <c r="AI505" s="53">
        <f>$H505*J505</f>
      </c>
      <c r="AJ505" s="53">
        <f>$H505*K505</f>
      </c>
      <c r="AK505" s="53">
        <f>$H505*L505</f>
      </c>
      <c r="AL505" s="53">
        <f>$H505*M505</f>
      </c>
      <c r="AM505" s="3"/>
      <c r="AN505" s="5"/>
      <c r="AO505" s="5"/>
      <c r="AP505" s="5"/>
      <c r="AQ505" s="3"/>
    </row>
    <row x14ac:dyDescent="0.25" r="506" customHeight="1" ht="12.75">
      <c r="A506" s="5" t="s">
        <v>615</v>
      </c>
      <c r="B506" s="3" t="s">
        <v>1118</v>
      </c>
      <c r="C506" s="3" t="s">
        <v>866</v>
      </c>
      <c r="D506" s="3" t="s">
        <v>988</v>
      </c>
      <c r="E506" s="38" t="s">
        <v>859</v>
      </c>
      <c r="F506" s="3" t="s">
        <v>1171</v>
      </c>
      <c r="G506" s="3" t="s">
        <v>1173</v>
      </c>
      <c r="H506" s="5">
        <v>7</v>
      </c>
      <c r="I506" s="6">
        <v>4.6</v>
      </c>
      <c r="J506" s="6">
        <v>1.71</v>
      </c>
      <c r="K506" s="5"/>
      <c r="L506" s="6"/>
      <c r="M506" s="6"/>
      <c r="N506" s="7"/>
      <c r="O506" s="23"/>
      <c r="P506" s="6"/>
      <c r="Q506" s="6"/>
      <c r="R506" s="31"/>
      <c r="S506" s="6"/>
      <c r="T506" s="31"/>
      <c r="U506" s="6"/>
      <c r="V506" s="23"/>
      <c r="W506" s="6"/>
      <c r="X506" s="6"/>
      <c r="Y506" s="5"/>
      <c r="Z506" s="3"/>
      <c r="AA506" s="6">
        <f>H506*I506/100</f>
      </c>
      <c r="AB506" s="6">
        <f>H506*J506/100</f>
      </c>
      <c r="AC506" s="7">
        <f>H506*K506</f>
      </c>
      <c r="AD506" s="7">
        <f>H506*M506</f>
      </c>
      <c r="AE506" s="6">
        <f>H506*L506/100</f>
      </c>
      <c r="AF506" s="6">
        <f>AA506+AB506+AE506</f>
      </c>
      <c r="AG506" s="6">
        <f>I506+J506+L506</f>
      </c>
      <c r="AH506" s="53">
        <f>$H506*I506</f>
      </c>
      <c r="AI506" s="53">
        <f>$H506*J506</f>
      </c>
      <c r="AJ506" s="53">
        <f>$H506*K506</f>
      </c>
      <c r="AK506" s="53">
        <f>$H506*L506</f>
      </c>
      <c r="AL506" s="53">
        <f>$H506*M506</f>
      </c>
      <c r="AM506" s="3"/>
      <c r="AN506" s="5"/>
      <c r="AO506" s="5"/>
      <c r="AP506" s="5"/>
      <c r="AQ506" s="3"/>
    </row>
    <row x14ac:dyDescent="0.25" r="507" customHeight="1" ht="12.75">
      <c r="A507" s="5" t="s">
        <v>777</v>
      </c>
      <c r="B507" s="3" t="s">
        <v>1118</v>
      </c>
      <c r="C507" s="3" t="s">
        <v>870</v>
      </c>
      <c r="D507" s="3"/>
      <c r="E507" s="38" t="s">
        <v>859</v>
      </c>
      <c r="F507" s="3" t="s">
        <v>1571</v>
      </c>
      <c r="G507" s="3" t="s">
        <v>1415</v>
      </c>
      <c r="H507" s="6">
        <v>3.5</v>
      </c>
      <c r="I507" s="6"/>
      <c r="J507" s="6">
        <v>1.3</v>
      </c>
      <c r="K507" s="5"/>
      <c r="L507" s="6">
        <v>1.7</v>
      </c>
      <c r="M507" s="6"/>
      <c r="N507" s="7"/>
      <c r="O507" s="23"/>
      <c r="P507" s="6"/>
      <c r="Q507" s="6"/>
      <c r="R507" s="31"/>
      <c r="S507" s="6"/>
      <c r="T507" s="31"/>
      <c r="U507" s="6"/>
      <c r="V507" s="23"/>
      <c r="W507" s="6"/>
      <c r="X507" s="6"/>
      <c r="Y507" s="5"/>
      <c r="Z507" s="3"/>
      <c r="AA507" s="6">
        <f>H507*I507/100</f>
      </c>
      <c r="AB507" s="6">
        <f>H507*J507/100</f>
      </c>
      <c r="AC507" s="7">
        <f>H507*K507</f>
      </c>
      <c r="AD507" s="7">
        <f>H507*M507</f>
      </c>
      <c r="AE507" s="6">
        <f>H507*L507/100</f>
      </c>
      <c r="AF507" s="6">
        <f>AA507+AB507+AE507</f>
      </c>
      <c r="AG507" s="6">
        <f>I507+J507+L507</f>
      </c>
      <c r="AH507" s="53">
        <f>$H507*I507</f>
      </c>
      <c r="AI507" s="53">
        <f>$H507*J507</f>
      </c>
      <c r="AJ507" s="53">
        <f>$H507*K507</f>
      </c>
      <c r="AK507" s="53">
        <f>$H507*L507</f>
      </c>
      <c r="AL507" s="53">
        <f>$H507*M507</f>
      </c>
      <c r="AM507" s="3"/>
      <c r="AN507" s="5"/>
      <c r="AO507" s="5"/>
      <c r="AP507" s="5"/>
      <c r="AQ507" s="3"/>
    </row>
    <row x14ac:dyDescent="0.25" r="508" customHeight="1" ht="12.75">
      <c r="A508" s="5" t="s">
        <v>833</v>
      </c>
      <c r="B508" s="3" t="s">
        <v>1118</v>
      </c>
      <c r="C508" s="3" t="s">
        <v>866</v>
      </c>
      <c r="D508" s="3" t="s">
        <v>988</v>
      </c>
      <c r="E508" s="38" t="s">
        <v>859</v>
      </c>
      <c r="F508" s="3" t="s">
        <v>1171</v>
      </c>
      <c r="G508" s="3" t="s">
        <v>1173</v>
      </c>
      <c r="H508" s="6">
        <v>0.23</v>
      </c>
      <c r="I508" s="6">
        <v>1.64</v>
      </c>
      <c r="J508" s="5">
        <v>1</v>
      </c>
      <c r="K508" s="5"/>
      <c r="L508" s="6"/>
      <c r="M508" s="6"/>
      <c r="N508" s="7"/>
      <c r="O508" s="23"/>
      <c r="P508" s="6"/>
      <c r="Q508" s="6"/>
      <c r="R508" s="31"/>
      <c r="S508" s="6"/>
      <c r="T508" s="31"/>
      <c r="U508" s="6"/>
      <c r="V508" s="23"/>
      <c r="W508" s="6"/>
      <c r="X508" s="6"/>
      <c r="Y508" s="5"/>
      <c r="Z508" s="3"/>
      <c r="AA508" s="6">
        <f>H508*I508/100</f>
      </c>
      <c r="AB508" s="6">
        <f>H508*J508/100</f>
      </c>
      <c r="AC508" s="7">
        <f>H508*K508</f>
      </c>
      <c r="AD508" s="7">
        <f>H508*M508</f>
      </c>
      <c r="AE508" s="6">
        <f>H508*L508/100</f>
      </c>
      <c r="AF508" s="6">
        <f>AA508+AB508+AE508</f>
      </c>
      <c r="AG508" s="6">
        <f>I508+J508+L508</f>
      </c>
      <c r="AH508" s="53">
        <f>$H508*I508</f>
      </c>
      <c r="AI508" s="53">
        <f>$H508*J508</f>
      </c>
      <c r="AJ508" s="53">
        <f>$H508*K508</f>
      </c>
      <c r="AK508" s="53">
        <f>$H508*L508</f>
      </c>
      <c r="AL508" s="53">
        <f>$H508*M508</f>
      </c>
      <c r="AM508" s="3"/>
      <c r="AN508" s="5"/>
      <c r="AO508" s="5"/>
      <c r="AP508" s="5"/>
      <c r="AQ508" s="3"/>
    </row>
    <row x14ac:dyDescent="0.25" r="509" customHeight="1" ht="12.75">
      <c r="A509" s="5" t="s">
        <v>741</v>
      </c>
      <c r="B509" s="3" t="s">
        <v>1118</v>
      </c>
      <c r="C509" s="3" t="s">
        <v>866</v>
      </c>
      <c r="D509" s="3" t="s">
        <v>988</v>
      </c>
      <c r="E509" s="3" t="s">
        <v>855</v>
      </c>
      <c r="F509" s="3" t="s">
        <v>1171</v>
      </c>
      <c r="G509" s="3" t="s">
        <v>1575</v>
      </c>
      <c r="H509" s="6">
        <v>7.1</v>
      </c>
      <c r="I509" s="6">
        <v>0.86</v>
      </c>
      <c r="J509" s="6">
        <v>1.4</v>
      </c>
      <c r="K509" s="5"/>
      <c r="L509" s="6">
        <v>0.36</v>
      </c>
      <c r="M509" s="6"/>
      <c r="N509" s="7"/>
      <c r="O509" s="23"/>
      <c r="P509" s="6"/>
      <c r="Q509" s="6"/>
      <c r="R509" s="31"/>
      <c r="S509" s="6"/>
      <c r="T509" s="31"/>
      <c r="U509" s="6"/>
      <c r="V509" s="23"/>
      <c r="W509" s="6"/>
      <c r="X509" s="6"/>
      <c r="Y509" s="5"/>
      <c r="Z509" s="3"/>
      <c r="AA509" s="6">
        <f>H509*I509/100</f>
      </c>
      <c r="AB509" s="6">
        <f>H509*J509/100</f>
      </c>
      <c r="AC509" s="7">
        <f>H509*K509</f>
      </c>
      <c r="AD509" s="7">
        <f>H509*M509</f>
      </c>
      <c r="AE509" s="6">
        <f>H509*L509/100</f>
      </c>
      <c r="AF509" s="6">
        <f>AA509+AB509+AE509</f>
      </c>
      <c r="AG509" s="6">
        <f>I509+J509+L509</f>
      </c>
      <c r="AH509" s="53">
        <f>$H509*I509</f>
      </c>
      <c r="AI509" s="53">
        <f>$H509*J509</f>
      </c>
      <c r="AJ509" s="53">
        <f>$H509*K509</f>
      </c>
      <c r="AK509" s="53">
        <f>$H509*L509</f>
      </c>
      <c r="AL509" s="53">
        <f>$H509*M509</f>
      </c>
      <c r="AM509" s="3"/>
      <c r="AN509" s="5"/>
      <c r="AO509" s="5"/>
      <c r="AP509" s="5"/>
      <c r="AQ509" s="3"/>
    </row>
    <row x14ac:dyDescent="0.25" r="510" customHeight="1" ht="12.75">
      <c r="A510" s="5" t="s">
        <v>450</v>
      </c>
      <c r="B510" s="3" t="s">
        <v>1118</v>
      </c>
      <c r="C510" s="3" t="s">
        <v>870</v>
      </c>
      <c r="D510" s="3"/>
      <c r="E510" s="38" t="s">
        <v>859</v>
      </c>
      <c r="F510" s="3" t="s">
        <v>1571</v>
      </c>
      <c r="G510" s="3" t="s">
        <v>1415</v>
      </c>
      <c r="H510" s="6">
        <v>0.3</v>
      </c>
      <c r="I510" s="6">
        <v>0.5</v>
      </c>
      <c r="J510" s="6">
        <v>6.4</v>
      </c>
      <c r="K510" s="5"/>
      <c r="L510" s="6">
        <v>1.4</v>
      </c>
      <c r="M510" s="6"/>
      <c r="N510" s="7"/>
      <c r="O510" s="23"/>
      <c r="P510" s="6"/>
      <c r="Q510" s="6"/>
      <c r="R510" s="31"/>
      <c r="S510" s="6"/>
      <c r="T510" s="31"/>
      <c r="U510" s="6"/>
      <c r="V510" s="23"/>
      <c r="W510" s="6"/>
      <c r="X510" s="6"/>
      <c r="Y510" s="5"/>
      <c r="Z510" s="3"/>
      <c r="AA510" s="6">
        <f>H510*I510/100</f>
      </c>
      <c r="AB510" s="6">
        <f>H510*J510/100</f>
      </c>
      <c r="AC510" s="7">
        <f>H510*K510</f>
      </c>
      <c r="AD510" s="7">
        <f>H510*M510</f>
      </c>
      <c r="AE510" s="6">
        <f>H510*L510/100</f>
      </c>
      <c r="AF510" s="6">
        <f>AA510+AB510+AE510</f>
      </c>
      <c r="AG510" s="6">
        <f>I510+J510+L510</f>
      </c>
      <c r="AH510" s="53">
        <f>$H510*I510</f>
      </c>
      <c r="AI510" s="53">
        <f>$H510*J510</f>
      </c>
      <c r="AJ510" s="53">
        <f>$H510*K510</f>
      </c>
      <c r="AK510" s="53">
        <f>$H510*L510</f>
      </c>
      <c r="AL510" s="53">
        <f>$H510*M510</f>
      </c>
      <c r="AM510" s="3"/>
      <c r="AN510" s="5"/>
      <c r="AO510" s="5"/>
      <c r="AP510" s="5"/>
      <c r="AQ510" s="3"/>
    </row>
    <row x14ac:dyDescent="0.25" r="511" customHeight="1" ht="12.75">
      <c r="A511" s="5" t="s">
        <v>151</v>
      </c>
      <c r="B511" s="3" t="s">
        <v>1118</v>
      </c>
      <c r="C511" s="3" t="s">
        <v>866</v>
      </c>
      <c r="D511" s="3" t="s">
        <v>988</v>
      </c>
      <c r="E511" s="38" t="s">
        <v>859</v>
      </c>
      <c r="F511" s="3" t="s">
        <v>1571</v>
      </c>
      <c r="G511" s="3" t="s">
        <v>1415</v>
      </c>
      <c r="H511" s="5">
        <v>1</v>
      </c>
      <c r="I511" s="6">
        <v>5.4</v>
      </c>
      <c r="J511" s="6">
        <v>7.3</v>
      </c>
      <c r="K511" s="5"/>
      <c r="L511" s="5">
        <v>2</v>
      </c>
      <c r="M511" s="6"/>
      <c r="N511" s="7"/>
      <c r="O511" s="23"/>
      <c r="P511" s="6"/>
      <c r="Q511" s="6"/>
      <c r="R511" s="31"/>
      <c r="S511" s="6"/>
      <c r="T511" s="31"/>
      <c r="U511" s="6"/>
      <c r="V511" s="23"/>
      <c r="W511" s="6"/>
      <c r="X511" s="6"/>
      <c r="Y511" s="5"/>
      <c r="Z511" s="3"/>
      <c r="AA511" s="6">
        <f>H511*I511/100</f>
      </c>
      <c r="AB511" s="6">
        <f>H511*J511/100</f>
      </c>
      <c r="AC511" s="7">
        <f>H511*K511</f>
      </c>
      <c r="AD511" s="7">
        <f>H511*M511</f>
      </c>
      <c r="AE511" s="6">
        <f>H511*L511/100</f>
      </c>
      <c r="AF511" s="6">
        <f>AA511+AB511+AE511</f>
      </c>
      <c r="AG511" s="6">
        <f>I511+J511+L511</f>
      </c>
      <c r="AH511" s="53">
        <f>$H511*I511</f>
      </c>
      <c r="AI511" s="53">
        <f>$H511*J511</f>
      </c>
      <c r="AJ511" s="53">
        <f>$H511*K511</f>
      </c>
      <c r="AK511" s="53">
        <f>$H511*L511</f>
      </c>
      <c r="AL511" s="53">
        <f>$H511*M511</f>
      </c>
      <c r="AM511" s="3"/>
      <c r="AN511" s="5"/>
      <c r="AO511" s="5"/>
      <c r="AP511" s="5"/>
      <c r="AQ511" s="3"/>
    </row>
    <row x14ac:dyDescent="0.25" r="512" customHeight="1" ht="12.75">
      <c r="A512" s="5" t="s">
        <v>636</v>
      </c>
      <c r="B512" s="3" t="s">
        <v>1118</v>
      </c>
      <c r="C512" s="3" t="s">
        <v>866</v>
      </c>
      <c r="D512" s="3" t="s">
        <v>988</v>
      </c>
      <c r="E512" s="38" t="s">
        <v>859</v>
      </c>
      <c r="F512" s="3" t="s">
        <v>1171</v>
      </c>
      <c r="G512" s="3" t="s">
        <v>1173</v>
      </c>
      <c r="H512" s="6">
        <v>17.49</v>
      </c>
      <c r="I512" s="6">
        <v>0.44</v>
      </c>
      <c r="J512" s="6">
        <v>1.84</v>
      </c>
      <c r="K512" s="5"/>
      <c r="L512" s="6"/>
      <c r="M512" s="6"/>
      <c r="N512" s="7"/>
      <c r="O512" s="23"/>
      <c r="P512" s="6"/>
      <c r="Q512" s="6"/>
      <c r="R512" s="31"/>
      <c r="S512" s="6"/>
      <c r="T512" s="31"/>
      <c r="U512" s="6"/>
      <c r="V512" s="23"/>
      <c r="W512" s="6"/>
      <c r="X512" s="6"/>
      <c r="Y512" s="5"/>
      <c r="Z512" s="3"/>
      <c r="AA512" s="6">
        <f>H512*I512/100</f>
      </c>
      <c r="AB512" s="6">
        <f>H512*J512/100</f>
      </c>
      <c r="AC512" s="7">
        <f>H512*K512</f>
      </c>
      <c r="AD512" s="7">
        <f>H512*M512</f>
      </c>
      <c r="AE512" s="6">
        <f>H512*L512/100</f>
      </c>
      <c r="AF512" s="6">
        <f>AA512+AB512+AE512</f>
      </c>
      <c r="AG512" s="6">
        <f>I512+J512+L512</f>
      </c>
      <c r="AH512" s="53">
        <f>$H512*I512</f>
      </c>
      <c r="AI512" s="53">
        <f>$H512*J512</f>
      </c>
      <c r="AJ512" s="53">
        <f>$H512*K512</f>
      </c>
      <c r="AK512" s="53">
        <f>$H512*L512</f>
      </c>
      <c r="AL512" s="53">
        <f>$H512*M512</f>
      </c>
      <c r="AM512" s="3"/>
      <c r="AN512" s="5"/>
      <c r="AO512" s="5"/>
      <c r="AP512" s="5"/>
      <c r="AQ512" s="3"/>
    </row>
    <row x14ac:dyDescent="0.25" r="513" customHeight="1" ht="12.75">
      <c r="A513" s="5" t="s">
        <v>832</v>
      </c>
      <c r="B513" s="3" t="s">
        <v>1118</v>
      </c>
      <c r="C513" s="3" t="s">
        <v>866</v>
      </c>
      <c r="D513" s="3" t="s">
        <v>988</v>
      </c>
      <c r="E513" s="38" t="s">
        <v>859</v>
      </c>
      <c r="F513" s="3" t="s">
        <v>1171</v>
      </c>
      <c r="G513" s="3" t="s">
        <v>1173</v>
      </c>
      <c r="H513" s="6">
        <v>0.77</v>
      </c>
      <c r="I513" s="6">
        <f>5.35/2</f>
      </c>
      <c r="J513" s="6"/>
      <c r="K513" s="5"/>
      <c r="L513" s="6"/>
      <c r="M513" s="6"/>
      <c r="N513" s="7"/>
      <c r="O513" s="23"/>
      <c r="P513" s="6"/>
      <c r="Q513" s="6"/>
      <c r="R513" s="31"/>
      <c r="S513" s="6"/>
      <c r="T513" s="31"/>
      <c r="U513" s="6"/>
      <c r="V513" s="23"/>
      <c r="W513" s="6"/>
      <c r="X513" s="6"/>
      <c r="Y513" s="5"/>
      <c r="Z513" s="3"/>
      <c r="AA513" s="6">
        <f>H513*I513/100</f>
      </c>
      <c r="AB513" s="6">
        <f>H513*J513/100</f>
      </c>
      <c r="AC513" s="7">
        <f>H513*K513</f>
      </c>
      <c r="AD513" s="7">
        <f>H513*M513</f>
      </c>
      <c r="AE513" s="6">
        <f>H513*L513/100</f>
      </c>
      <c r="AF513" s="6">
        <f>AA513+AB513+AE513</f>
      </c>
      <c r="AG513" s="6">
        <f>I513+J513+L513</f>
      </c>
      <c r="AH513" s="53">
        <f>$H513*I513</f>
      </c>
      <c r="AI513" s="53">
        <f>$H513*J513</f>
      </c>
      <c r="AJ513" s="53">
        <f>$H513*K513</f>
      </c>
      <c r="AK513" s="53">
        <f>$H513*L513</f>
      </c>
      <c r="AL513" s="53">
        <f>$H513*M513</f>
      </c>
      <c r="AM513" s="3"/>
      <c r="AN513" s="5"/>
      <c r="AO513" s="5"/>
      <c r="AP513" s="5"/>
      <c r="AQ513" s="3"/>
    </row>
    <row x14ac:dyDescent="0.25" r="514" customHeight="1" ht="12.75">
      <c r="A514" s="5" t="s">
        <v>443</v>
      </c>
      <c r="B514" s="3" t="s">
        <v>1118</v>
      </c>
      <c r="C514" s="3" t="s">
        <v>866</v>
      </c>
      <c r="D514" s="3" t="s">
        <v>988</v>
      </c>
      <c r="E514" s="38" t="s">
        <v>859</v>
      </c>
      <c r="F514" s="3" t="s">
        <v>1171</v>
      </c>
      <c r="G514" s="3" t="s">
        <v>1173</v>
      </c>
      <c r="H514" s="6">
        <v>2.79</v>
      </c>
      <c r="I514" s="5">
        <v>4</v>
      </c>
      <c r="J514" s="6">
        <v>4.23</v>
      </c>
      <c r="K514" s="5">
        <v>62</v>
      </c>
      <c r="L514" s="6">
        <v>0.1</v>
      </c>
      <c r="M514" s="6"/>
      <c r="N514" s="7"/>
      <c r="O514" s="23"/>
      <c r="P514" s="6"/>
      <c r="Q514" s="6"/>
      <c r="R514" s="31"/>
      <c r="S514" s="6"/>
      <c r="T514" s="31"/>
      <c r="U514" s="6"/>
      <c r="V514" s="23"/>
      <c r="W514" s="6"/>
      <c r="X514" s="6"/>
      <c r="Y514" s="5"/>
      <c r="Z514" s="3"/>
      <c r="AA514" s="6">
        <f>H514*I514/100</f>
      </c>
      <c r="AB514" s="6">
        <f>H514*J514/100</f>
      </c>
      <c r="AC514" s="7">
        <f>H514*K514</f>
      </c>
      <c r="AD514" s="7">
        <f>H514*M514</f>
      </c>
      <c r="AE514" s="6">
        <f>H514*L514/100</f>
      </c>
      <c r="AF514" s="6">
        <f>AA514+AB514+AE514</f>
      </c>
      <c r="AG514" s="6">
        <f>I514+J514+L514</f>
      </c>
      <c r="AH514" s="53">
        <f>$H514*I514</f>
      </c>
      <c r="AI514" s="53">
        <f>$H514*J514</f>
      </c>
      <c r="AJ514" s="53">
        <f>$H514*K514</f>
      </c>
      <c r="AK514" s="53">
        <f>$H514*L514</f>
      </c>
      <c r="AL514" s="53">
        <f>$H514*M514</f>
      </c>
      <c r="AM514" s="3"/>
      <c r="AN514" s="5"/>
      <c r="AO514" s="5"/>
      <c r="AP514" s="5"/>
      <c r="AQ514" s="3"/>
    </row>
    <row x14ac:dyDescent="0.25" r="515" customHeight="1" ht="12.75">
      <c r="A515" s="5" t="s">
        <v>542</v>
      </c>
      <c r="B515" s="3" t="s">
        <v>1118</v>
      </c>
      <c r="C515" s="3" t="s">
        <v>870</v>
      </c>
      <c r="D515" s="3"/>
      <c r="E515" s="38" t="s">
        <v>859</v>
      </c>
      <c r="F515" s="3" t="s">
        <v>1571</v>
      </c>
      <c r="G515" s="3" t="s">
        <v>1415</v>
      </c>
      <c r="H515" s="5">
        <v>1</v>
      </c>
      <c r="I515" s="6"/>
      <c r="J515" s="6">
        <v>6.7</v>
      </c>
      <c r="K515" s="5"/>
      <c r="L515" s="6">
        <v>0.4</v>
      </c>
      <c r="M515" s="6"/>
      <c r="N515" s="7"/>
      <c r="O515" s="23"/>
      <c r="P515" s="6"/>
      <c r="Q515" s="6"/>
      <c r="R515" s="31"/>
      <c r="S515" s="6"/>
      <c r="T515" s="31"/>
      <c r="U515" s="6"/>
      <c r="V515" s="23"/>
      <c r="W515" s="6"/>
      <c r="X515" s="6"/>
      <c r="Y515" s="5"/>
      <c r="Z515" s="3"/>
      <c r="AA515" s="6">
        <f>H515*I515/100</f>
      </c>
      <c r="AB515" s="6">
        <f>H515*J515/100</f>
      </c>
      <c r="AC515" s="7">
        <f>H515*K515</f>
      </c>
      <c r="AD515" s="7">
        <f>H515*M515</f>
      </c>
      <c r="AE515" s="6">
        <f>H515*L515/100</f>
      </c>
      <c r="AF515" s="6">
        <f>AA515+AB515+AE515</f>
      </c>
      <c r="AG515" s="6">
        <f>I515+J515+L515</f>
      </c>
      <c r="AH515" s="53">
        <f>$H515*I515</f>
      </c>
      <c r="AI515" s="53">
        <f>$H515*J515</f>
      </c>
      <c r="AJ515" s="53">
        <f>$H515*K515</f>
      </c>
      <c r="AK515" s="53">
        <f>$H515*L515</f>
      </c>
      <c r="AL515" s="53">
        <f>$H515*M515</f>
      </c>
      <c r="AM515" s="3"/>
      <c r="AN515" s="5"/>
      <c r="AO515" s="5"/>
      <c r="AP515" s="5"/>
      <c r="AQ515" s="3"/>
    </row>
    <row x14ac:dyDescent="0.25" r="516" customHeight="1" ht="12.75">
      <c r="A516" s="5" t="s">
        <v>587</v>
      </c>
      <c r="B516" s="3" t="s">
        <v>1118</v>
      </c>
      <c r="C516" s="3" t="s">
        <v>866</v>
      </c>
      <c r="D516" s="3" t="s">
        <v>988</v>
      </c>
      <c r="E516" s="38" t="s">
        <v>859</v>
      </c>
      <c r="F516" s="3" t="s">
        <v>1171</v>
      </c>
      <c r="G516" s="3" t="s">
        <v>1173</v>
      </c>
      <c r="H516" s="6">
        <v>9.01</v>
      </c>
      <c r="I516" s="6">
        <v>2.56</v>
      </c>
      <c r="J516" s="6">
        <v>3.22</v>
      </c>
      <c r="K516" s="5"/>
      <c r="L516" s="6"/>
      <c r="M516" s="6"/>
      <c r="N516" s="7"/>
      <c r="O516" s="23"/>
      <c r="P516" s="6"/>
      <c r="Q516" s="6"/>
      <c r="R516" s="31"/>
      <c r="S516" s="6"/>
      <c r="T516" s="31"/>
      <c r="U516" s="6"/>
      <c r="V516" s="23"/>
      <c r="W516" s="6"/>
      <c r="X516" s="6"/>
      <c r="Y516" s="5"/>
      <c r="Z516" s="3"/>
      <c r="AA516" s="6">
        <f>H516*I516/100</f>
      </c>
      <c r="AB516" s="6">
        <f>H516*J516/100</f>
      </c>
      <c r="AC516" s="7">
        <f>H516*K516</f>
      </c>
      <c r="AD516" s="7">
        <f>H516*M516</f>
      </c>
      <c r="AE516" s="6">
        <f>H516*L516/100</f>
      </c>
      <c r="AF516" s="6">
        <f>AA516+AB516+AE516</f>
      </c>
      <c r="AG516" s="6">
        <f>I516+J516+L516</f>
      </c>
      <c r="AH516" s="53">
        <f>$H516*I516</f>
      </c>
      <c r="AI516" s="53">
        <f>$H516*J516</f>
      </c>
      <c r="AJ516" s="53">
        <f>$H516*K516</f>
      </c>
      <c r="AK516" s="53">
        <f>$H516*L516</f>
      </c>
      <c r="AL516" s="53">
        <f>$H516*M516</f>
      </c>
      <c r="AM516" s="3"/>
      <c r="AN516" s="5"/>
      <c r="AO516" s="5"/>
      <c r="AP516" s="5"/>
      <c r="AQ516" s="3"/>
    </row>
    <row x14ac:dyDescent="0.25" r="517" customHeight="1" ht="12.75">
      <c r="A517" s="5" t="s">
        <v>214</v>
      </c>
      <c r="B517" s="3" t="s">
        <v>1118</v>
      </c>
      <c r="C517" s="3" t="s">
        <v>866</v>
      </c>
      <c r="D517" s="3" t="s">
        <v>988</v>
      </c>
      <c r="E517" s="3" t="s">
        <v>855</v>
      </c>
      <c r="F517" s="3" t="s">
        <v>1574</v>
      </c>
      <c r="G517" s="3" t="s">
        <v>1566</v>
      </c>
      <c r="H517" s="6">
        <f>1.1+0.4+6.2</f>
      </c>
      <c r="I517" s="7">
        <f>(2*1.1+1*0.4+1.5*6.2)/$H517</f>
      </c>
      <c r="J517" s="7">
        <f>(13.1*1.1+7*0.4+10.4*6.2)/$H517</f>
      </c>
      <c r="K517" s="31">
        <f>(36*1.1+13*0.4+32*6.2)/$H517</f>
      </c>
      <c r="L517" s="6"/>
      <c r="M517" s="6"/>
      <c r="N517" s="7"/>
      <c r="O517" s="23"/>
      <c r="P517" s="6"/>
      <c r="Q517" s="6"/>
      <c r="R517" s="31"/>
      <c r="S517" s="6"/>
      <c r="T517" s="31"/>
      <c r="U517" s="6"/>
      <c r="V517" s="23"/>
      <c r="W517" s="6"/>
      <c r="X517" s="6"/>
      <c r="Y517" s="5"/>
      <c r="Z517" s="3"/>
      <c r="AA517" s="6">
        <f>H517*I517/100</f>
      </c>
      <c r="AB517" s="6">
        <f>H517*J517/100</f>
      </c>
      <c r="AC517" s="7">
        <f>H517*K517</f>
      </c>
      <c r="AD517" s="7">
        <f>H517*M517</f>
      </c>
      <c r="AE517" s="6">
        <f>H517*L517/100</f>
      </c>
      <c r="AF517" s="6">
        <f>AA517+AB517+AE517</f>
      </c>
      <c r="AG517" s="6">
        <f>I517+J517+L517</f>
      </c>
      <c r="AH517" s="53">
        <f>$H517*I517</f>
      </c>
      <c r="AI517" s="53">
        <f>$H517*J517</f>
      </c>
      <c r="AJ517" s="53">
        <f>$H517*K517</f>
      </c>
      <c r="AK517" s="53">
        <f>$H517*L517</f>
      </c>
      <c r="AL517" s="53">
        <f>$H517*M517</f>
      </c>
      <c r="AM517" s="3"/>
      <c r="AN517" s="5"/>
      <c r="AO517" s="5"/>
      <c r="AP517" s="5"/>
      <c r="AQ517" s="3"/>
    </row>
    <row x14ac:dyDescent="0.25" r="518" customHeight="1" ht="12.75">
      <c r="A518" s="5" t="s">
        <v>569</v>
      </c>
      <c r="B518" s="3" t="s">
        <v>1118</v>
      </c>
      <c r="C518" s="3" t="s">
        <v>866</v>
      </c>
      <c r="D518" s="3" t="s">
        <v>988</v>
      </c>
      <c r="E518" s="38" t="s">
        <v>859</v>
      </c>
      <c r="F518" s="3" t="s">
        <v>1171</v>
      </c>
      <c r="G518" s="3" t="s">
        <v>1173</v>
      </c>
      <c r="H518" s="6">
        <v>8.2</v>
      </c>
      <c r="I518" s="6"/>
      <c r="J518" s="6">
        <v>6.8</v>
      </c>
      <c r="K518" s="5"/>
      <c r="L518" s="6"/>
      <c r="M518" s="6"/>
      <c r="N518" s="7"/>
      <c r="O518" s="23"/>
      <c r="P518" s="6"/>
      <c r="Q518" s="6"/>
      <c r="R518" s="31"/>
      <c r="S518" s="6"/>
      <c r="T518" s="31"/>
      <c r="U518" s="6"/>
      <c r="V518" s="23"/>
      <c r="W518" s="6"/>
      <c r="X518" s="6"/>
      <c r="Y518" s="5"/>
      <c r="Z518" s="3"/>
      <c r="AA518" s="6">
        <f>H518*I518/100</f>
      </c>
      <c r="AB518" s="6">
        <f>H518*J518/100</f>
      </c>
      <c r="AC518" s="7">
        <f>H518*K518</f>
      </c>
      <c r="AD518" s="7">
        <f>H518*M518</f>
      </c>
      <c r="AE518" s="6">
        <f>H518*L518/100</f>
      </c>
      <c r="AF518" s="6">
        <f>AA518+AB518+AE518</f>
      </c>
      <c r="AG518" s="6">
        <f>I518+J518+L518</f>
      </c>
      <c r="AH518" s="53">
        <f>$H518*I518</f>
      </c>
      <c r="AI518" s="53">
        <f>$H518*J518</f>
      </c>
      <c r="AJ518" s="53">
        <f>$H518*K518</f>
      </c>
      <c r="AK518" s="53">
        <f>$H518*L518</f>
      </c>
      <c r="AL518" s="53">
        <f>$H518*M518</f>
      </c>
      <c r="AM518" s="3"/>
      <c r="AN518" s="5"/>
      <c r="AO518" s="5"/>
      <c r="AP518" s="5"/>
      <c r="AQ518" s="3"/>
    </row>
    <row x14ac:dyDescent="0.25" r="519" customHeight="1" ht="12.75">
      <c r="A519" s="5" t="s">
        <v>656</v>
      </c>
      <c r="B519" s="3" t="s">
        <v>1118</v>
      </c>
      <c r="C519" s="3" t="s">
        <v>866</v>
      </c>
      <c r="D519" s="3" t="s">
        <v>988</v>
      </c>
      <c r="E519" s="38" t="s">
        <v>859</v>
      </c>
      <c r="F519" s="3" t="s">
        <v>1171</v>
      </c>
      <c r="G519" s="3" t="s">
        <v>1173</v>
      </c>
      <c r="H519" s="6">
        <v>6.6</v>
      </c>
      <c r="I519" s="6"/>
      <c r="J519" s="6">
        <v>5.51</v>
      </c>
      <c r="K519" s="5"/>
      <c r="L519" s="6"/>
      <c r="M519" s="6"/>
      <c r="N519" s="7"/>
      <c r="O519" s="23"/>
      <c r="P519" s="6"/>
      <c r="Q519" s="6"/>
      <c r="R519" s="31"/>
      <c r="S519" s="6"/>
      <c r="T519" s="31"/>
      <c r="U519" s="6"/>
      <c r="V519" s="23"/>
      <c r="W519" s="6"/>
      <c r="X519" s="6"/>
      <c r="Y519" s="5"/>
      <c r="Z519" s="3"/>
      <c r="AA519" s="6">
        <f>H519*I519/100</f>
      </c>
      <c r="AB519" s="6">
        <f>H519*J519/100</f>
      </c>
      <c r="AC519" s="7">
        <f>H519*K519</f>
      </c>
      <c r="AD519" s="7">
        <f>H519*M519</f>
      </c>
      <c r="AE519" s="6">
        <f>H519*L519/100</f>
      </c>
      <c r="AF519" s="6">
        <f>AA519+AB519+AE519</f>
      </c>
      <c r="AG519" s="6">
        <f>I519+J519+L519</f>
      </c>
      <c r="AH519" s="53">
        <f>$H519*I519</f>
      </c>
      <c r="AI519" s="53">
        <f>$H519*J519</f>
      </c>
      <c r="AJ519" s="53">
        <f>$H519*K519</f>
      </c>
      <c r="AK519" s="53">
        <f>$H519*L519</f>
      </c>
      <c r="AL519" s="53">
        <f>$H519*M519</f>
      </c>
      <c r="AM519" s="3"/>
      <c r="AN519" s="5"/>
      <c r="AO519" s="5"/>
      <c r="AP519" s="5"/>
      <c r="AQ519" s="3"/>
    </row>
    <row x14ac:dyDescent="0.25" r="520" customHeight="1" ht="12.75">
      <c r="A520" s="5" t="s">
        <v>332</v>
      </c>
      <c r="B520" s="3" t="s">
        <v>1118</v>
      </c>
      <c r="C520" s="3" t="s">
        <v>866</v>
      </c>
      <c r="D520" s="3" t="s">
        <v>988</v>
      </c>
      <c r="E520" s="38" t="s">
        <v>859</v>
      </c>
      <c r="F520" s="3" t="s">
        <v>1171</v>
      </c>
      <c r="G520" s="3" t="s">
        <v>1350</v>
      </c>
      <c r="H520" s="5">
        <v>27</v>
      </c>
      <c r="I520" s="6">
        <v>1.69</v>
      </c>
      <c r="J520" s="6">
        <v>3.79</v>
      </c>
      <c r="K520" s="5"/>
      <c r="L520" s="6"/>
      <c r="M520" s="6"/>
      <c r="N520" s="7"/>
      <c r="O520" s="23"/>
      <c r="P520" s="6"/>
      <c r="Q520" s="6"/>
      <c r="R520" s="31"/>
      <c r="S520" s="6"/>
      <c r="T520" s="31"/>
      <c r="U520" s="6"/>
      <c r="V520" s="23"/>
      <c r="W520" s="6"/>
      <c r="X520" s="6"/>
      <c r="Y520" s="5"/>
      <c r="Z520" s="3"/>
      <c r="AA520" s="6">
        <f>H520*I520/100</f>
      </c>
      <c r="AB520" s="6">
        <f>H520*J520/100</f>
      </c>
      <c r="AC520" s="7">
        <f>H520*K520</f>
      </c>
      <c r="AD520" s="7">
        <f>H520*M520</f>
      </c>
      <c r="AE520" s="6">
        <f>H520*L520/100</f>
      </c>
      <c r="AF520" s="6">
        <f>AA520+AB520+AE520</f>
      </c>
      <c r="AG520" s="6">
        <f>I520+J520+L520</f>
      </c>
      <c r="AH520" s="53">
        <f>$H520*I520</f>
      </c>
      <c r="AI520" s="53">
        <f>$H520*J520</f>
      </c>
      <c r="AJ520" s="53">
        <f>$H520*K520</f>
      </c>
      <c r="AK520" s="53">
        <f>$H520*L520</f>
      </c>
      <c r="AL520" s="53">
        <f>$H520*M520</f>
      </c>
      <c r="AM520" s="3"/>
      <c r="AN520" s="5"/>
      <c r="AO520" s="5"/>
      <c r="AP520" s="5"/>
      <c r="AQ520" s="3"/>
    </row>
    <row x14ac:dyDescent="0.25" r="521" customHeight="1" ht="12.75">
      <c r="A521" s="5" t="s">
        <v>371</v>
      </c>
      <c r="B521" s="3" t="s">
        <v>1118</v>
      </c>
      <c r="C521" s="3" t="s">
        <v>866</v>
      </c>
      <c r="D521" s="3" t="s">
        <v>988</v>
      </c>
      <c r="E521" s="38" t="s">
        <v>859</v>
      </c>
      <c r="F521" s="3" t="s">
        <v>1171</v>
      </c>
      <c r="G521" s="3" t="s">
        <v>1350</v>
      </c>
      <c r="H521" s="5">
        <v>40</v>
      </c>
      <c r="I521" s="6">
        <v>0.6</v>
      </c>
      <c r="J521" s="6">
        <v>2.4</v>
      </c>
      <c r="K521" s="5"/>
      <c r="L521" s="6"/>
      <c r="M521" s="6"/>
      <c r="N521" s="7"/>
      <c r="O521" s="23"/>
      <c r="P521" s="6"/>
      <c r="Q521" s="6"/>
      <c r="R521" s="31"/>
      <c r="S521" s="6"/>
      <c r="T521" s="31"/>
      <c r="U521" s="6"/>
      <c r="V521" s="23"/>
      <c r="W521" s="6"/>
      <c r="X521" s="6"/>
      <c r="Y521" s="5"/>
      <c r="Z521" s="3"/>
      <c r="AA521" s="6">
        <f>H521*I521/100</f>
      </c>
      <c r="AB521" s="6">
        <f>H521*J521/100</f>
      </c>
      <c r="AC521" s="7">
        <f>H521*K521</f>
      </c>
      <c r="AD521" s="7">
        <f>H521*M521</f>
      </c>
      <c r="AE521" s="6">
        <f>H521*L521/100</f>
      </c>
      <c r="AF521" s="6">
        <f>AA521+AB521+AE521</f>
      </c>
      <c r="AG521" s="6">
        <f>I521+J521+L521</f>
      </c>
      <c r="AH521" s="53">
        <f>$H521*I521</f>
      </c>
      <c r="AI521" s="53">
        <f>$H521*J521</f>
      </c>
      <c r="AJ521" s="53">
        <f>$H521*K521</f>
      </c>
      <c r="AK521" s="53">
        <f>$H521*L521</f>
      </c>
      <c r="AL521" s="53">
        <f>$H521*M521</f>
      </c>
      <c r="AM521" s="3"/>
      <c r="AN521" s="5"/>
      <c r="AO521" s="5"/>
      <c r="AP521" s="5"/>
      <c r="AQ521" s="3"/>
    </row>
    <row x14ac:dyDescent="0.25" r="522" customHeight="1" ht="12.75">
      <c r="A522" s="5" t="s">
        <v>788</v>
      </c>
      <c r="B522" s="3" t="s">
        <v>1118</v>
      </c>
      <c r="C522" s="3" t="s">
        <v>866</v>
      </c>
      <c r="D522" s="3" t="s">
        <v>988</v>
      </c>
      <c r="E522" s="38" t="s">
        <v>859</v>
      </c>
      <c r="F522" s="3" t="s">
        <v>1171</v>
      </c>
      <c r="G522" s="3" t="s">
        <v>1173</v>
      </c>
      <c r="H522" s="6">
        <v>3.14</v>
      </c>
      <c r="I522" s="6">
        <v>0.67</v>
      </c>
      <c r="J522" s="6">
        <v>3.25</v>
      </c>
      <c r="K522" s="5"/>
      <c r="L522" s="6"/>
      <c r="M522" s="6"/>
      <c r="N522" s="7"/>
      <c r="O522" s="23"/>
      <c r="P522" s="6"/>
      <c r="Q522" s="6"/>
      <c r="R522" s="31"/>
      <c r="S522" s="6"/>
      <c r="T522" s="31"/>
      <c r="U522" s="6"/>
      <c r="V522" s="23"/>
      <c r="W522" s="6"/>
      <c r="X522" s="6"/>
      <c r="Y522" s="5"/>
      <c r="Z522" s="3"/>
      <c r="AA522" s="6">
        <f>H522*I522/100</f>
      </c>
      <c r="AB522" s="6">
        <f>H522*J522/100</f>
      </c>
      <c r="AC522" s="7">
        <f>H522*K522</f>
      </c>
      <c r="AD522" s="7">
        <f>H522*M522</f>
      </c>
      <c r="AE522" s="6">
        <f>H522*L522/100</f>
      </c>
      <c r="AF522" s="6">
        <f>AA522+AB522+AE522</f>
      </c>
      <c r="AG522" s="6">
        <f>I522+J522+L522</f>
      </c>
      <c r="AH522" s="53">
        <f>$H522*I522</f>
      </c>
      <c r="AI522" s="53">
        <f>$H522*J522</f>
      </c>
      <c r="AJ522" s="53">
        <f>$H522*K522</f>
      </c>
      <c r="AK522" s="53">
        <f>$H522*L522</f>
      </c>
      <c r="AL522" s="53">
        <f>$H522*M522</f>
      </c>
      <c r="AM522" s="3"/>
      <c r="AN522" s="5"/>
      <c r="AO522" s="5"/>
      <c r="AP522" s="5"/>
      <c r="AQ522" s="3"/>
    </row>
    <row x14ac:dyDescent="0.25" r="523" customHeight="1" ht="12.75">
      <c r="A523" s="5" t="s">
        <v>687</v>
      </c>
      <c r="B523" s="3" t="s">
        <v>1118</v>
      </c>
      <c r="C523" s="3" t="s">
        <v>870</v>
      </c>
      <c r="D523" s="3"/>
      <c r="E523" s="38" t="s">
        <v>859</v>
      </c>
      <c r="F523" s="3" t="s">
        <v>1571</v>
      </c>
      <c r="G523" s="3" t="s">
        <v>1415</v>
      </c>
      <c r="H523" s="6">
        <v>0.6</v>
      </c>
      <c r="I523" s="6"/>
      <c r="J523" s="6">
        <v>1.8</v>
      </c>
      <c r="K523" s="5">
        <v>50</v>
      </c>
      <c r="L523" s="6">
        <v>1.8</v>
      </c>
      <c r="M523" s="6"/>
      <c r="N523" s="7"/>
      <c r="O523" s="23"/>
      <c r="P523" s="6"/>
      <c r="Q523" s="6"/>
      <c r="R523" s="31"/>
      <c r="S523" s="6"/>
      <c r="T523" s="31"/>
      <c r="U523" s="6"/>
      <c r="V523" s="23"/>
      <c r="W523" s="6"/>
      <c r="X523" s="6"/>
      <c r="Y523" s="5"/>
      <c r="Z523" s="3"/>
      <c r="AA523" s="6">
        <f>H523*I523/100</f>
      </c>
      <c r="AB523" s="6">
        <f>H523*J523/100</f>
      </c>
      <c r="AC523" s="7">
        <f>H523*K523</f>
      </c>
      <c r="AD523" s="7">
        <f>H523*M523</f>
      </c>
      <c r="AE523" s="6">
        <f>H523*L523/100</f>
      </c>
      <c r="AF523" s="6">
        <f>AA523+AB523+AE523</f>
      </c>
      <c r="AG523" s="6">
        <f>I523+J523+L523</f>
      </c>
      <c r="AH523" s="53">
        <f>$H523*I523</f>
      </c>
      <c r="AI523" s="53">
        <f>$H523*J523</f>
      </c>
      <c r="AJ523" s="53">
        <f>$H523*K523</f>
      </c>
      <c r="AK523" s="53">
        <f>$H523*L523</f>
      </c>
      <c r="AL523" s="53">
        <f>$H523*M523</f>
      </c>
      <c r="AM523" s="3"/>
      <c r="AN523" s="5"/>
      <c r="AO523" s="5"/>
      <c r="AP523" s="5"/>
      <c r="AQ523" s="3"/>
    </row>
    <row x14ac:dyDescent="0.25" r="524" customHeight="1" ht="12.75">
      <c r="A524" s="5" t="s">
        <v>129</v>
      </c>
      <c r="B524" s="3" t="s">
        <v>1118</v>
      </c>
      <c r="C524" s="3" t="s">
        <v>866</v>
      </c>
      <c r="D524" s="3" t="s">
        <v>988</v>
      </c>
      <c r="E524" s="3" t="s">
        <v>855</v>
      </c>
      <c r="F524" s="3" t="s">
        <v>1574</v>
      </c>
      <c r="G524" s="3" t="s">
        <v>1566</v>
      </c>
      <c r="H524" s="6">
        <f>21.3+22.9+10</f>
      </c>
      <c r="I524" s="7">
        <f>(2.4*21.3+1.9*22.9+1.6*10)/$H524</f>
      </c>
      <c r="J524" s="7">
        <f>(6.9*21.3+7.1*22.9+6.4*10)/$H524</f>
      </c>
      <c r="K524" s="31">
        <f>(66*21.3+90*22.9+58*10)/$H524</f>
      </c>
      <c r="L524" s="6">
        <v>0.15</v>
      </c>
      <c r="M524" s="6">
        <v>0.28</v>
      </c>
      <c r="N524" s="7"/>
      <c r="O524" s="23"/>
      <c r="P524" s="6"/>
      <c r="Q524" s="6"/>
      <c r="R524" s="31"/>
      <c r="S524" s="6"/>
      <c r="T524" s="31"/>
      <c r="U524" s="6"/>
      <c r="V524" s="23"/>
      <c r="W524" s="6"/>
      <c r="X524" s="6"/>
      <c r="Y524" s="5"/>
      <c r="Z524" s="3"/>
      <c r="AA524" s="6">
        <f>H524*I524/100</f>
      </c>
      <c r="AB524" s="6">
        <f>H524*J524/100</f>
      </c>
      <c r="AC524" s="7">
        <f>H524*K524</f>
      </c>
      <c r="AD524" s="7">
        <f>H524*M524</f>
      </c>
      <c r="AE524" s="6">
        <f>H524*L524/100</f>
      </c>
      <c r="AF524" s="6">
        <f>AA524+AB524+AE524</f>
      </c>
      <c r="AG524" s="6">
        <f>I524+J524+L524</f>
      </c>
      <c r="AH524" s="53">
        <f>$H524*I524</f>
      </c>
      <c r="AI524" s="53">
        <f>$H524*J524</f>
      </c>
      <c r="AJ524" s="53">
        <f>$H524*K524</f>
      </c>
      <c r="AK524" s="53">
        <f>$H524*L524</f>
      </c>
      <c r="AL524" s="53">
        <f>$H524*M524</f>
      </c>
      <c r="AM524" s="3"/>
      <c r="AN524" s="5"/>
      <c r="AO524" s="5"/>
      <c r="AP524" s="5"/>
      <c r="AQ524" s="3"/>
    </row>
    <row x14ac:dyDescent="0.25" r="525" customHeight="1" ht="12.75">
      <c r="A525" s="5" t="s">
        <v>33</v>
      </c>
      <c r="B525" s="3" t="s">
        <v>1118</v>
      </c>
      <c r="C525" s="3" t="s">
        <v>866</v>
      </c>
      <c r="D525" s="3" t="s">
        <v>988</v>
      </c>
      <c r="E525" s="3" t="s">
        <v>855</v>
      </c>
      <c r="F525" s="3" t="s">
        <v>1574</v>
      </c>
      <c r="G525" s="3" t="s">
        <v>1566</v>
      </c>
      <c r="H525" s="6">
        <f>17.4+34.5+12.8+44.7</f>
      </c>
      <c r="I525" s="7">
        <f>(2.1*17.4+2.2*34.5+2*12.8+1.8*44.7)/$H525</f>
      </c>
      <c r="J525" s="7">
        <f>(15.3*17.4+9.9*34.5+15*12.8+13.4*44.7)/$H525</f>
      </c>
      <c r="K525" s="31">
        <f>(65*17.4+58*34.5+58*12.8+58*44.7)/$H525</f>
      </c>
      <c r="L525" s="6"/>
      <c r="M525" s="6"/>
      <c r="N525" s="7"/>
      <c r="O525" s="23"/>
      <c r="P525" s="6"/>
      <c r="Q525" s="6"/>
      <c r="R525" s="31"/>
      <c r="S525" s="6"/>
      <c r="T525" s="31"/>
      <c r="U525" s="6"/>
      <c r="V525" s="23"/>
      <c r="W525" s="6"/>
      <c r="X525" s="6"/>
      <c r="Y525" s="5"/>
      <c r="Z525" s="3"/>
      <c r="AA525" s="6">
        <f>H525*I525/100</f>
      </c>
      <c r="AB525" s="6">
        <f>H525*J525/100</f>
      </c>
      <c r="AC525" s="7">
        <f>H525*K525</f>
      </c>
      <c r="AD525" s="7">
        <f>H525*M525</f>
      </c>
      <c r="AE525" s="6">
        <f>H525*L525/100</f>
      </c>
      <c r="AF525" s="6">
        <f>AA525+AB525+AE525</f>
      </c>
      <c r="AG525" s="6">
        <f>I525+J525+L525</f>
      </c>
      <c r="AH525" s="53">
        <f>$H525*I525</f>
      </c>
      <c r="AI525" s="53">
        <f>$H525*J525</f>
      </c>
      <c r="AJ525" s="53">
        <f>$H525*K525</f>
      </c>
      <c r="AK525" s="53">
        <f>$H525*L525</f>
      </c>
      <c r="AL525" s="53">
        <f>$H525*M525</f>
      </c>
      <c r="AM525" s="3"/>
      <c r="AN525" s="5"/>
      <c r="AO525" s="5"/>
      <c r="AP525" s="5"/>
      <c r="AQ525" s="3"/>
    </row>
    <row x14ac:dyDescent="0.25" r="526" customHeight="1" ht="12.75">
      <c r="A526" s="5" t="s">
        <v>738</v>
      </c>
      <c r="B526" s="3" t="s">
        <v>1118</v>
      </c>
      <c r="C526" s="3" t="s">
        <v>866</v>
      </c>
      <c r="D526" s="3" t="s">
        <v>988</v>
      </c>
      <c r="E526" s="38" t="s">
        <v>859</v>
      </c>
      <c r="F526" s="3" t="s">
        <v>1171</v>
      </c>
      <c r="G526" s="3" t="s">
        <v>1173</v>
      </c>
      <c r="H526" s="6">
        <v>0.56</v>
      </c>
      <c r="I526" s="6">
        <v>1.1</v>
      </c>
      <c r="J526" s="6">
        <v>2.6</v>
      </c>
      <c r="K526" s="5"/>
      <c r="L526" s="6">
        <v>1.1</v>
      </c>
      <c r="M526" s="6"/>
      <c r="N526" s="7"/>
      <c r="O526" s="23"/>
      <c r="P526" s="6"/>
      <c r="Q526" s="6"/>
      <c r="R526" s="31"/>
      <c r="S526" s="6"/>
      <c r="T526" s="31"/>
      <c r="U526" s="6"/>
      <c r="V526" s="23"/>
      <c r="W526" s="6"/>
      <c r="X526" s="6"/>
      <c r="Y526" s="5"/>
      <c r="Z526" s="3"/>
      <c r="AA526" s="6">
        <f>H526*I526/100</f>
      </c>
      <c r="AB526" s="6">
        <f>H526*J526/100</f>
      </c>
      <c r="AC526" s="7">
        <f>H526*K526</f>
      </c>
      <c r="AD526" s="7">
        <f>H526*M526</f>
      </c>
      <c r="AE526" s="6">
        <f>H526*L526/100</f>
      </c>
      <c r="AF526" s="6">
        <f>AA526+AB526+AE526</f>
      </c>
      <c r="AG526" s="6">
        <f>I526+J526+L526</f>
      </c>
      <c r="AH526" s="53">
        <f>$H526*I526</f>
      </c>
      <c r="AI526" s="53">
        <f>$H526*J526</f>
      </c>
      <c r="AJ526" s="53">
        <f>$H526*K526</f>
      </c>
      <c r="AK526" s="53">
        <f>$H526*L526</f>
      </c>
      <c r="AL526" s="53">
        <f>$H526*M526</f>
      </c>
      <c r="AM526" s="3"/>
      <c r="AN526" s="5"/>
      <c r="AO526" s="5"/>
      <c r="AP526" s="5"/>
      <c r="AQ526" s="3"/>
    </row>
    <row x14ac:dyDescent="0.25" r="527" customHeight="1" ht="12.75">
      <c r="A527" s="5" t="s">
        <v>599</v>
      </c>
      <c r="B527" s="3" t="s">
        <v>1118</v>
      </c>
      <c r="C527" s="3" t="s">
        <v>866</v>
      </c>
      <c r="D527" s="3" t="s">
        <v>988</v>
      </c>
      <c r="E527" s="38" t="s">
        <v>859</v>
      </c>
      <c r="F527" s="3" t="s">
        <v>1171</v>
      </c>
      <c r="G527" s="3" t="s">
        <v>1173</v>
      </c>
      <c r="H527" s="6">
        <v>1.2</v>
      </c>
      <c r="I527" s="6">
        <v>5.4</v>
      </c>
      <c r="J527" s="6">
        <v>0.4</v>
      </c>
      <c r="K527" s="5"/>
      <c r="L527" s="6">
        <v>0.7</v>
      </c>
      <c r="M527" s="6"/>
      <c r="N527" s="7"/>
      <c r="O527" s="23"/>
      <c r="P527" s="6"/>
      <c r="Q527" s="6"/>
      <c r="R527" s="31"/>
      <c r="S527" s="6"/>
      <c r="T527" s="31"/>
      <c r="U527" s="6"/>
      <c r="V527" s="23"/>
      <c r="W527" s="6"/>
      <c r="X527" s="6"/>
      <c r="Y527" s="5"/>
      <c r="Z527" s="3"/>
      <c r="AA527" s="6">
        <f>H527*I527/100</f>
      </c>
      <c r="AB527" s="6">
        <f>H527*J527/100</f>
      </c>
      <c r="AC527" s="7">
        <f>H527*K527</f>
      </c>
      <c r="AD527" s="7">
        <f>H527*M527</f>
      </c>
      <c r="AE527" s="6">
        <f>H527*L527/100</f>
      </c>
      <c r="AF527" s="6">
        <f>AA527+AB527+AE527</f>
      </c>
      <c r="AG527" s="6">
        <f>I527+J527+L527</f>
      </c>
      <c r="AH527" s="53">
        <f>$H527*I527</f>
      </c>
      <c r="AI527" s="53">
        <f>$H527*J527</f>
      </c>
      <c r="AJ527" s="53">
        <f>$H527*K527</f>
      </c>
      <c r="AK527" s="53">
        <f>$H527*L527</f>
      </c>
      <c r="AL527" s="53">
        <f>$H527*M527</f>
      </c>
      <c r="AM527" s="3"/>
      <c r="AN527" s="5"/>
      <c r="AO527" s="5"/>
      <c r="AP527" s="5"/>
      <c r="AQ527" s="3"/>
    </row>
    <row x14ac:dyDescent="0.25" r="528" customHeight="1" ht="12.75">
      <c r="A528" s="5" t="s">
        <v>384</v>
      </c>
      <c r="B528" s="3" t="s">
        <v>1118</v>
      </c>
      <c r="C528" s="3" t="s">
        <v>866</v>
      </c>
      <c r="D528" s="3" t="s">
        <v>988</v>
      </c>
      <c r="E528" s="38" t="s">
        <v>859</v>
      </c>
      <c r="F528" s="3" t="s">
        <v>1171</v>
      </c>
      <c r="G528" s="3" t="s">
        <v>1173</v>
      </c>
      <c r="H528" s="5">
        <v>115</v>
      </c>
      <c r="I528" s="6"/>
      <c r="J528" s="5">
        <v>1</v>
      </c>
      <c r="K528" s="5"/>
      <c r="L528" s="6"/>
      <c r="M528" s="6"/>
      <c r="N528" s="7"/>
      <c r="O528" s="23"/>
      <c r="P528" s="6"/>
      <c r="Q528" s="6"/>
      <c r="R528" s="31"/>
      <c r="S528" s="6"/>
      <c r="T528" s="31"/>
      <c r="U528" s="6"/>
      <c r="V528" s="23"/>
      <c r="W528" s="6"/>
      <c r="X528" s="6"/>
      <c r="Y528" s="5"/>
      <c r="Z528" s="3"/>
      <c r="AA528" s="6">
        <f>H528*I528/100</f>
      </c>
      <c r="AB528" s="6">
        <f>H528*J528/100</f>
      </c>
      <c r="AC528" s="7">
        <f>H528*K528</f>
      </c>
      <c r="AD528" s="7">
        <f>H528*M528</f>
      </c>
      <c r="AE528" s="6">
        <f>H528*L528/100</f>
      </c>
      <c r="AF528" s="6">
        <f>AA528+AB528+AE528</f>
      </c>
      <c r="AG528" s="6">
        <f>I528+J528+L528</f>
      </c>
      <c r="AH528" s="53">
        <f>$H528*I528</f>
      </c>
      <c r="AI528" s="53">
        <f>$H528*J528</f>
      </c>
      <c r="AJ528" s="53">
        <f>$H528*K528</f>
      </c>
      <c r="AK528" s="53">
        <f>$H528*L528</f>
      </c>
      <c r="AL528" s="53">
        <f>$H528*M528</f>
      </c>
      <c r="AM528" s="3"/>
      <c r="AN528" s="5"/>
      <c r="AO528" s="5"/>
      <c r="AP528" s="5"/>
      <c r="AQ528" s="3"/>
    </row>
    <row x14ac:dyDescent="0.25" r="529" customHeight="1" ht="12.75">
      <c r="A529" s="5" t="s">
        <v>793</v>
      </c>
      <c r="B529" s="3" t="s">
        <v>1118</v>
      </c>
      <c r="C529" s="3" t="s">
        <v>866</v>
      </c>
      <c r="D529" s="3" t="s">
        <v>988</v>
      </c>
      <c r="E529" s="38" t="s">
        <v>859</v>
      </c>
      <c r="F529" s="3" t="s">
        <v>1171</v>
      </c>
      <c r="G529" s="3" t="s">
        <v>1173</v>
      </c>
      <c r="H529" s="6">
        <v>3.69</v>
      </c>
      <c r="I529" s="6">
        <v>1.37</v>
      </c>
      <c r="J529" s="6">
        <v>1.85</v>
      </c>
      <c r="K529" s="5"/>
      <c r="L529" s="6"/>
      <c r="M529" s="6"/>
      <c r="N529" s="7"/>
      <c r="O529" s="23"/>
      <c r="P529" s="6"/>
      <c r="Q529" s="6"/>
      <c r="R529" s="31"/>
      <c r="S529" s="6"/>
      <c r="T529" s="31"/>
      <c r="U529" s="6"/>
      <c r="V529" s="23"/>
      <c r="W529" s="6"/>
      <c r="X529" s="6"/>
      <c r="Y529" s="5"/>
      <c r="Z529" s="3"/>
      <c r="AA529" s="6">
        <f>H529*I529/100</f>
      </c>
      <c r="AB529" s="6">
        <f>H529*J529/100</f>
      </c>
      <c r="AC529" s="7">
        <f>H529*K529</f>
      </c>
      <c r="AD529" s="7">
        <f>H529*M529</f>
      </c>
      <c r="AE529" s="6">
        <f>H529*L529/100</f>
      </c>
      <c r="AF529" s="6">
        <f>AA529+AB529+AE529</f>
      </c>
      <c r="AG529" s="6">
        <f>I529+J529+L529</f>
      </c>
      <c r="AH529" s="53">
        <f>$H529*I529</f>
      </c>
      <c r="AI529" s="53">
        <f>$H529*J529</f>
      </c>
      <c r="AJ529" s="53">
        <f>$H529*K529</f>
      </c>
      <c r="AK529" s="53">
        <f>$H529*L529</f>
      </c>
      <c r="AL529" s="53">
        <f>$H529*M529</f>
      </c>
      <c r="AM529" s="3"/>
      <c r="AN529" s="5"/>
      <c r="AO529" s="5"/>
      <c r="AP529" s="5"/>
      <c r="AQ529" s="3"/>
    </row>
    <row x14ac:dyDescent="0.25" r="530" customHeight="1" ht="12.75">
      <c r="A530" s="5" t="s">
        <v>645</v>
      </c>
      <c r="B530" s="3" t="s">
        <v>1118</v>
      </c>
      <c r="C530" s="3" t="s">
        <v>866</v>
      </c>
      <c r="D530" s="3" t="s">
        <v>988</v>
      </c>
      <c r="E530" s="38" t="s">
        <v>859</v>
      </c>
      <c r="F530" s="3" t="s">
        <v>1171</v>
      </c>
      <c r="G530" s="3" t="s">
        <v>1173</v>
      </c>
      <c r="H530" s="5">
        <v>2</v>
      </c>
      <c r="I530" s="6">
        <v>5.94</v>
      </c>
      <c r="J530" s="6"/>
      <c r="K530" s="5"/>
      <c r="L530" s="6"/>
      <c r="M530" s="6"/>
      <c r="N530" s="7"/>
      <c r="O530" s="23"/>
      <c r="P530" s="6"/>
      <c r="Q530" s="6"/>
      <c r="R530" s="31"/>
      <c r="S530" s="6"/>
      <c r="T530" s="31"/>
      <c r="U530" s="6"/>
      <c r="V530" s="23"/>
      <c r="W530" s="6"/>
      <c r="X530" s="6"/>
      <c r="Y530" s="5"/>
      <c r="Z530" s="3"/>
      <c r="AA530" s="6">
        <f>H530*I530/100</f>
      </c>
      <c r="AB530" s="6">
        <f>H530*J530/100</f>
      </c>
      <c r="AC530" s="7">
        <f>H530*K530</f>
      </c>
      <c r="AD530" s="7">
        <f>H530*M530</f>
      </c>
      <c r="AE530" s="6">
        <f>H530*L530/100</f>
      </c>
      <c r="AF530" s="6">
        <f>AA530+AB530+AE530</f>
      </c>
      <c r="AG530" s="6">
        <f>I530+J530+L530</f>
      </c>
      <c r="AH530" s="53">
        <f>$H530*I530</f>
      </c>
      <c r="AI530" s="53">
        <f>$H530*J530</f>
      </c>
      <c r="AJ530" s="53">
        <f>$H530*K530</f>
      </c>
      <c r="AK530" s="53">
        <f>$H530*L530</f>
      </c>
      <c r="AL530" s="53">
        <f>$H530*M530</f>
      </c>
      <c r="AM530" s="3"/>
      <c r="AN530" s="5"/>
      <c r="AO530" s="5"/>
      <c r="AP530" s="5"/>
      <c r="AQ530" s="3"/>
    </row>
    <row x14ac:dyDescent="0.25" r="531" customHeight="1" ht="12.75">
      <c r="A531" s="5" t="s">
        <v>789</v>
      </c>
      <c r="B531" s="3" t="s">
        <v>1118</v>
      </c>
      <c r="C531" s="3" t="s">
        <v>866</v>
      </c>
      <c r="D531" s="3" t="s">
        <v>988</v>
      </c>
      <c r="E531" s="38" t="s">
        <v>859</v>
      </c>
      <c r="F531" s="3" t="s">
        <v>1171</v>
      </c>
      <c r="G531" s="3" t="s">
        <v>1173</v>
      </c>
      <c r="H531" s="6">
        <v>0.9</v>
      </c>
      <c r="I531" s="6">
        <v>2.54</v>
      </c>
      <c r="J531" s="6">
        <v>1.45</v>
      </c>
      <c r="K531" s="5"/>
      <c r="L531" s="6"/>
      <c r="M531" s="6"/>
      <c r="N531" s="7"/>
      <c r="O531" s="23"/>
      <c r="P531" s="6"/>
      <c r="Q531" s="6"/>
      <c r="R531" s="31"/>
      <c r="S531" s="6"/>
      <c r="T531" s="31"/>
      <c r="U531" s="6"/>
      <c r="V531" s="23"/>
      <c r="W531" s="6"/>
      <c r="X531" s="6"/>
      <c r="Y531" s="5"/>
      <c r="Z531" s="3"/>
      <c r="AA531" s="6">
        <f>H531*I531/100</f>
      </c>
      <c r="AB531" s="6">
        <f>H531*J531/100</f>
      </c>
      <c r="AC531" s="7">
        <f>H531*K531</f>
      </c>
      <c r="AD531" s="7">
        <f>H531*M531</f>
      </c>
      <c r="AE531" s="6">
        <f>H531*L531/100</f>
      </c>
      <c r="AF531" s="6">
        <f>AA531+AB531+AE531</f>
      </c>
      <c r="AG531" s="6">
        <f>I531+J531+L531</f>
      </c>
      <c r="AH531" s="53">
        <f>$H531*I531</f>
      </c>
      <c r="AI531" s="53">
        <f>$H531*J531</f>
      </c>
      <c r="AJ531" s="53">
        <f>$H531*K531</f>
      </c>
      <c r="AK531" s="53">
        <f>$H531*L531</f>
      </c>
      <c r="AL531" s="53">
        <f>$H531*M531</f>
      </c>
      <c r="AM531" s="3"/>
      <c r="AN531" s="5"/>
      <c r="AO531" s="5"/>
      <c r="AP531" s="5"/>
      <c r="AQ531" s="3"/>
    </row>
    <row x14ac:dyDescent="0.25" r="532" customHeight="1" ht="12.75">
      <c r="A532" s="5" t="s">
        <v>94</v>
      </c>
      <c r="B532" s="3" t="s">
        <v>1118</v>
      </c>
      <c r="C532" s="3" t="s">
        <v>866</v>
      </c>
      <c r="D532" s="3" t="s">
        <v>988</v>
      </c>
      <c r="E532" s="3" t="s">
        <v>855</v>
      </c>
      <c r="F532" s="3" t="s">
        <v>1574</v>
      </c>
      <c r="G532" s="3" t="s">
        <v>1566</v>
      </c>
      <c r="H532" s="6">
        <f>30.8+47.9+20.4</f>
      </c>
      <c r="I532" s="7">
        <f>(3.2*30.8+2.2*47.9+2.6*20.4)/$H532</f>
      </c>
      <c r="J532" s="7">
        <f>(5.1*30.8+3.7*47.9+4.6*20.4)/$H532</f>
      </c>
      <c r="K532" s="31">
        <f>(174*30.8+100*47.9+155*20.4)/$H532</f>
      </c>
      <c r="L532" s="6"/>
      <c r="M532" s="6"/>
      <c r="N532" s="7"/>
      <c r="O532" s="23"/>
      <c r="P532" s="6"/>
      <c r="Q532" s="6"/>
      <c r="R532" s="31"/>
      <c r="S532" s="6"/>
      <c r="T532" s="31"/>
      <c r="U532" s="6"/>
      <c r="V532" s="23"/>
      <c r="W532" s="6"/>
      <c r="X532" s="6"/>
      <c r="Y532" s="5"/>
      <c r="Z532" s="3"/>
      <c r="AA532" s="6">
        <f>H532*I532/100</f>
      </c>
      <c r="AB532" s="6">
        <f>H532*J532/100</f>
      </c>
      <c r="AC532" s="7">
        <f>H532*K532</f>
      </c>
      <c r="AD532" s="7">
        <f>H532*M532</f>
      </c>
      <c r="AE532" s="6">
        <f>H532*L532/100</f>
      </c>
      <c r="AF532" s="6">
        <f>AA532+AB532+AE532</f>
      </c>
      <c r="AG532" s="6">
        <f>I532+J532+L532</f>
      </c>
      <c r="AH532" s="53">
        <f>$H532*I532</f>
      </c>
      <c r="AI532" s="53">
        <f>$H532*J532</f>
      </c>
      <c r="AJ532" s="53">
        <f>$H532*K532</f>
      </c>
      <c r="AK532" s="53">
        <f>$H532*L532</f>
      </c>
      <c r="AL532" s="53">
        <f>$H532*M532</f>
      </c>
      <c r="AM532" s="3"/>
      <c r="AN532" s="5"/>
      <c r="AO532" s="5"/>
      <c r="AP532" s="5"/>
      <c r="AQ532" s="3"/>
    </row>
    <row x14ac:dyDescent="0.25" r="533" customHeight="1" ht="12.75">
      <c r="A533" s="5" t="s">
        <v>642</v>
      </c>
      <c r="B533" s="3" t="s">
        <v>1118</v>
      </c>
      <c r="C533" s="3" t="s">
        <v>866</v>
      </c>
      <c r="D533" s="3" t="s">
        <v>988</v>
      </c>
      <c r="E533" s="38" t="s">
        <v>859</v>
      </c>
      <c r="F533" s="3" t="s">
        <v>1171</v>
      </c>
      <c r="G533" s="3" t="s">
        <v>1173</v>
      </c>
      <c r="H533" s="6">
        <v>18.38</v>
      </c>
      <c r="I533" s="6">
        <v>0.79</v>
      </c>
      <c r="J533" s="6">
        <v>1.3</v>
      </c>
      <c r="K533" s="5">
        <v>21</v>
      </c>
      <c r="L533" s="6"/>
      <c r="M533" s="6"/>
      <c r="N533" s="7"/>
      <c r="O533" s="23"/>
      <c r="P533" s="6"/>
      <c r="Q533" s="6"/>
      <c r="R533" s="31"/>
      <c r="S533" s="6"/>
      <c r="T533" s="31"/>
      <c r="U533" s="6"/>
      <c r="V533" s="23"/>
      <c r="W533" s="6"/>
      <c r="X533" s="6"/>
      <c r="Y533" s="5"/>
      <c r="Z533" s="3"/>
      <c r="AA533" s="6">
        <f>H533*I533/100</f>
      </c>
      <c r="AB533" s="6">
        <f>H533*J533/100</f>
      </c>
      <c r="AC533" s="7">
        <f>H533*K533</f>
      </c>
      <c r="AD533" s="7">
        <f>H533*M533</f>
      </c>
      <c r="AE533" s="6">
        <f>H533*L533/100</f>
      </c>
      <c r="AF533" s="6">
        <f>AA533+AB533+AE533</f>
      </c>
      <c r="AG533" s="6">
        <f>I533+J533+L533</f>
      </c>
      <c r="AH533" s="53">
        <f>$H533*I533</f>
      </c>
      <c r="AI533" s="53">
        <f>$H533*J533</f>
      </c>
      <c r="AJ533" s="53">
        <f>$H533*K533</f>
      </c>
      <c r="AK533" s="53">
        <f>$H533*L533</f>
      </c>
      <c r="AL533" s="53">
        <f>$H533*M533</f>
      </c>
      <c r="AM533" s="3"/>
      <c r="AN533" s="5"/>
      <c r="AO533" s="5"/>
      <c r="AP533" s="5"/>
      <c r="AQ533" s="3"/>
    </row>
    <row x14ac:dyDescent="0.25" r="534" customHeight="1" ht="12.75">
      <c r="A534" s="5" t="s">
        <v>757</v>
      </c>
      <c r="B534" s="3" t="s">
        <v>1118</v>
      </c>
      <c r="C534" s="3" t="s">
        <v>866</v>
      </c>
      <c r="D534" s="3" t="s">
        <v>988</v>
      </c>
      <c r="E534" s="38" t="s">
        <v>859</v>
      </c>
      <c r="F534" s="3" t="s">
        <v>1171</v>
      </c>
      <c r="G534" s="3" t="s">
        <v>1173</v>
      </c>
      <c r="H534" s="6">
        <v>1.47</v>
      </c>
      <c r="I534" s="6">
        <v>1.9</v>
      </c>
      <c r="J534" s="6">
        <v>2.59</v>
      </c>
      <c r="K534" s="5"/>
      <c r="L534" s="6"/>
      <c r="M534" s="6"/>
      <c r="N534" s="7"/>
      <c r="O534" s="23"/>
      <c r="P534" s="6"/>
      <c r="Q534" s="6"/>
      <c r="R534" s="31"/>
      <c r="S534" s="6"/>
      <c r="T534" s="31"/>
      <c r="U534" s="6"/>
      <c r="V534" s="23"/>
      <c r="W534" s="6"/>
      <c r="X534" s="6"/>
      <c r="Y534" s="5"/>
      <c r="Z534" s="3"/>
      <c r="AA534" s="6">
        <f>H534*I534/100</f>
      </c>
      <c r="AB534" s="6">
        <f>H534*J534/100</f>
      </c>
      <c r="AC534" s="7">
        <f>H534*K534</f>
      </c>
      <c r="AD534" s="7">
        <f>H534*M534</f>
      </c>
      <c r="AE534" s="6">
        <f>H534*L534/100</f>
      </c>
      <c r="AF534" s="6">
        <f>AA534+AB534+AE534</f>
      </c>
      <c r="AG534" s="6">
        <f>I534+J534+L534</f>
      </c>
      <c r="AH534" s="53">
        <f>$H534*I534</f>
      </c>
      <c r="AI534" s="53">
        <f>$H534*J534</f>
      </c>
      <c r="AJ534" s="53">
        <f>$H534*K534</f>
      </c>
      <c r="AK534" s="53">
        <f>$H534*L534</f>
      </c>
      <c r="AL534" s="53">
        <f>$H534*M534</f>
      </c>
      <c r="AM534" s="3"/>
      <c r="AN534" s="5"/>
      <c r="AO534" s="5"/>
      <c r="AP534" s="5"/>
      <c r="AQ534" s="3"/>
    </row>
    <row x14ac:dyDescent="0.25" r="535" customHeight="1" ht="12.75">
      <c r="A535" s="5" t="s">
        <v>824</v>
      </c>
      <c r="B535" s="3" t="s">
        <v>1118</v>
      </c>
      <c r="C535" s="3" t="s">
        <v>866</v>
      </c>
      <c r="D535" s="3" t="s">
        <v>988</v>
      </c>
      <c r="E535" s="38" t="s">
        <v>859</v>
      </c>
      <c r="F535" s="3" t="s">
        <v>1171</v>
      </c>
      <c r="G535" s="3" t="s">
        <v>1173</v>
      </c>
      <c r="H535" s="6">
        <v>1.15</v>
      </c>
      <c r="I535" s="6">
        <v>1.75</v>
      </c>
      <c r="J535" s="6">
        <v>1.13</v>
      </c>
      <c r="K535" s="5"/>
      <c r="L535" s="6"/>
      <c r="M535" s="6"/>
      <c r="N535" s="7"/>
      <c r="O535" s="23"/>
      <c r="P535" s="6"/>
      <c r="Q535" s="6"/>
      <c r="R535" s="31"/>
      <c r="S535" s="6"/>
      <c r="T535" s="31"/>
      <c r="U535" s="6"/>
      <c r="V535" s="23"/>
      <c r="W535" s="6"/>
      <c r="X535" s="6"/>
      <c r="Y535" s="5"/>
      <c r="Z535" s="3"/>
      <c r="AA535" s="6">
        <f>H535*I535/100</f>
      </c>
      <c r="AB535" s="6">
        <f>H535*J535/100</f>
      </c>
      <c r="AC535" s="7">
        <f>H535*K535</f>
      </c>
      <c r="AD535" s="7">
        <f>H535*M535</f>
      </c>
      <c r="AE535" s="6">
        <f>H535*L535/100</f>
      </c>
      <c r="AF535" s="6">
        <f>AA535+AB535+AE535</f>
      </c>
      <c r="AG535" s="6">
        <f>I535+J535+L535</f>
      </c>
      <c r="AH535" s="53">
        <f>$H535*I535</f>
      </c>
      <c r="AI535" s="53">
        <f>$H535*J535</f>
      </c>
      <c r="AJ535" s="53">
        <f>$H535*K535</f>
      </c>
      <c r="AK535" s="53">
        <f>$H535*L535</f>
      </c>
      <c r="AL535" s="53">
        <f>$H535*M535</f>
      </c>
      <c r="AM535" s="3"/>
      <c r="AN535" s="5"/>
      <c r="AO535" s="5"/>
      <c r="AP535" s="5"/>
      <c r="AQ535" s="3"/>
    </row>
    <row x14ac:dyDescent="0.25" r="536" customHeight="1" ht="12.75">
      <c r="A536" s="5" t="s">
        <v>116</v>
      </c>
      <c r="B536" s="3" t="s">
        <v>1118</v>
      </c>
      <c r="C536" s="3" t="s">
        <v>866</v>
      </c>
      <c r="D536" s="3" t="s">
        <v>988</v>
      </c>
      <c r="E536" s="3" t="s">
        <v>855</v>
      </c>
      <c r="F536" s="3" t="s">
        <v>1574</v>
      </c>
      <c r="G536" s="3" t="s">
        <v>1566</v>
      </c>
      <c r="H536" s="6">
        <f>23.9+44.7+9.9</f>
      </c>
      <c r="I536" s="7">
        <f>(1.8*23.9+2.3*44.7+1.9*9.9)/$H536</f>
      </c>
      <c r="J536" s="7">
        <f>(5*23.9+4.9*44.7+3.8*9.9)/$H536</f>
      </c>
      <c r="K536" s="31">
        <f>(43*23.9+55*44.7+34*9.9)/$H536</f>
      </c>
      <c r="L536" s="6"/>
      <c r="M536" s="6"/>
      <c r="N536" s="7"/>
      <c r="O536" s="23"/>
      <c r="P536" s="6"/>
      <c r="Q536" s="6"/>
      <c r="R536" s="31"/>
      <c r="S536" s="6"/>
      <c r="T536" s="31"/>
      <c r="U536" s="6"/>
      <c r="V536" s="23"/>
      <c r="W536" s="6"/>
      <c r="X536" s="6"/>
      <c r="Y536" s="5"/>
      <c r="Z536" s="3"/>
      <c r="AA536" s="6">
        <f>H536*I536/100</f>
      </c>
      <c r="AB536" s="6">
        <f>H536*J536/100</f>
      </c>
      <c r="AC536" s="7">
        <f>H536*K536</f>
      </c>
      <c r="AD536" s="7">
        <f>H536*M536</f>
      </c>
      <c r="AE536" s="6">
        <f>H536*L536/100</f>
      </c>
      <c r="AF536" s="6">
        <f>AA536+AB536+AE536</f>
      </c>
      <c r="AG536" s="6">
        <f>I536+J536+L536</f>
      </c>
      <c r="AH536" s="53">
        <f>$H536*I536</f>
      </c>
      <c r="AI536" s="53">
        <f>$H536*J536</f>
      </c>
      <c r="AJ536" s="53">
        <f>$H536*K536</f>
      </c>
      <c r="AK536" s="53">
        <f>$H536*L536</f>
      </c>
      <c r="AL536" s="53">
        <f>$H536*M536</f>
      </c>
      <c r="AM536" s="3"/>
      <c r="AN536" s="5"/>
      <c r="AO536" s="5"/>
      <c r="AP536" s="5"/>
      <c r="AQ536" s="3"/>
    </row>
    <row x14ac:dyDescent="0.25" r="537" customHeight="1" ht="12.75">
      <c r="A537" s="5" t="s">
        <v>34</v>
      </c>
      <c r="B537" s="3" t="s">
        <v>1119</v>
      </c>
      <c r="C537" s="3" t="s">
        <v>866</v>
      </c>
      <c r="D537" s="3" t="s">
        <v>988</v>
      </c>
      <c r="E537" s="3" t="s">
        <v>855</v>
      </c>
      <c r="F537" s="3" t="s">
        <v>1576</v>
      </c>
      <c r="G537" s="3" t="s">
        <v>1204</v>
      </c>
      <c r="H537" s="6">
        <v>8.11</v>
      </c>
      <c r="I537" s="6">
        <v>9.1</v>
      </c>
      <c r="J537" s="6">
        <v>14.6</v>
      </c>
      <c r="K537" s="5">
        <v>12</v>
      </c>
      <c r="L537" s="6"/>
      <c r="M537" s="6"/>
      <c r="N537" s="7"/>
      <c r="O537" s="23"/>
      <c r="P537" s="6"/>
      <c r="Q537" s="6"/>
      <c r="R537" s="31"/>
      <c r="S537" s="6"/>
      <c r="T537" s="31"/>
      <c r="U537" s="6"/>
      <c r="V537" s="23"/>
      <c r="W537" s="6"/>
      <c r="X537" s="6"/>
      <c r="Y537" s="5"/>
      <c r="Z537" s="3"/>
      <c r="AA537" s="6">
        <f>H537*I537/100</f>
      </c>
      <c r="AB537" s="6">
        <f>H537*J537/100</f>
      </c>
      <c r="AC537" s="7">
        <f>H537*K537</f>
      </c>
      <c r="AD537" s="7">
        <f>H537*M537</f>
      </c>
      <c r="AE537" s="6">
        <f>H537*L537/100</f>
      </c>
      <c r="AF537" s="6">
        <f>AA537+AB537+AE537</f>
      </c>
      <c r="AG537" s="6">
        <f>I537+J537+L537</f>
      </c>
      <c r="AH537" s="53">
        <f>$H537*I537</f>
      </c>
      <c r="AI537" s="53">
        <f>$H537*J537</f>
      </c>
      <c r="AJ537" s="53">
        <f>$H537*K537</f>
      </c>
      <c r="AK537" s="53">
        <f>$H537*L537</f>
      </c>
      <c r="AL537" s="53">
        <f>$H537*M537</f>
      </c>
      <c r="AM537" s="3"/>
      <c r="AN537" s="5"/>
      <c r="AO537" s="5"/>
      <c r="AP537" s="5"/>
      <c r="AQ537" s="3"/>
    </row>
    <row x14ac:dyDescent="0.25" r="538" customHeight="1" ht="12.75">
      <c r="A538" s="5" t="s">
        <v>342</v>
      </c>
      <c r="B538" s="3" t="s">
        <v>1119</v>
      </c>
      <c r="C538" s="3" t="s">
        <v>866</v>
      </c>
      <c r="D538" s="3" t="s">
        <v>988</v>
      </c>
      <c r="E538" s="3" t="s">
        <v>855</v>
      </c>
      <c r="F538" s="3" t="s">
        <v>1576</v>
      </c>
      <c r="G538" s="3" t="s">
        <v>1204</v>
      </c>
      <c r="H538" s="6">
        <f>0.49+0.34</f>
      </c>
      <c r="I538" s="7">
        <f>(5.7*0.49+4*0.34)/$H538</f>
      </c>
      <c r="J538" s="7">
        <f>(5.5*0.49+4.2*0.34)/$H538</f>
      </c>
      <c r="K538" s="31">
        <f>(10*0.49+20*0.34)/$H538</f>
      </c>
      <c r="L538" s="6"/>
      <c r="M538" s="6"/>
      <c r="N538" s="7"/>
      <c r="O538" s="23"/>
      <c r="P538" s="6"/>
      <c r="Q538" s="6"/>
      <c r="R538" s="31"/>
      <c r="S538" s="6"/>
      <c r="T538" s="31"/>
      <c r="U538" s="6"/>
      <c r="V538" s="23"/>
      <c r="W538" s="6"/>
      <c r="X538" s="6"/>
      <c r="Y538" s="5"/>
      <c r="Z538" s="3"/>
      <c r="AA538" s="6">
        <f>H538*I538/100</f>
      </c>
      <c r="AB538" s="6">
        <f>H538*J538/100</f>
      </c>
      <c r="AC538" s="7">
        <f>H538*K538</f>
      </c>
      <c r="AD538" s="7">
        <f>H538*M538</f>
      </c>
      <c r="AE538" s="6">
        <f>H538*L538/100</f>
      </c>
      <c r="AF538" s="6">
        <f>AA538+AB538+AE538</f>
      </c>
      <c r="AG538" s="6">
        <f>I538+J538+L538</f>
      </c>
      <c r="AH538" s="53">
        <f>$H538*I538</f>
      </c>
      <c r="AI538" s="53">
        <f>$H538*J538</f>
      </c>
      <c r="AJ538" s="53">
        <f>$H538*K538</f>
      </c>
      <c r="AK538" s="53">
        <f>$H538*L538</f>
      </c>
      <c r="AL538" s="53">
        <f>$H538*M538</f>
      </c>
      <c r="AM538" s="3"/>
      <c r="AN538" s="5"/>
      <c r="AO538" s="5"/>
      <c r="AP538" s="5"/>
      <c r="AQ538" s="3"/>
    </row>
    <row x14ac:dyDescent="0.25" r="539" customHeight="1" ht="12.75">
      <c r="A539" s="5" t="s">
        <v>194</v>
      </c>
      <c r="B539" s="3" t="s">
        <v>1119</v>
      </c>
      <c r="C539" s="3" t="s">
        <v>866</v>
      </c>
      <c r="D539" s="3" t="s">
        <v>988</v>
      </c>
      <c r="E539" s="3" t="s">
        <v>855</v>
      </c>
      <c r="F539" s="3" t="s">
        <v>1576</v>
      </c>
      <c r="G539" s="3" t="s">
        <v>1204</v>
      </c>
      <c r="H539" s="6">
        <v>16.18</v>
      </c>
      <c r="I539" s="6">
        <v>4.5</v>
      </c>
      <c r="J539" s="6">
        <v>8.2</v>
      </c>
      <c r="K539" s="5"/>
      <c r="L539" s="6"/>
      <c r="M539" s="6"/>
      <c r="N539" s="7"/>
      <c r="O539" s="23"/>
      <c r="P539" s="6"/>
      <c r="Q539" s="6"/>
      <c r="R539" s="31"/>
      <c r="S539" s="6"/>
      <c r="T539" s="31"/>
      <c r="U539" s="6"/>
      <c r="V539" s="23"/>
      <c r="W539" s="6"/>
      <c r="X539" s="6"/>
      <c r="Y539" s="5"/>
      <c r="Z539" s="3"/>
      <c r="AA539" s="6">
        <f>H539*I539/100</f>
      </c>
      <c r="AB539" s="6">
        <f>H539*J539/100</f>
      </c>
      <c r="AC539" s="7">
        <f>H539*K539</f>
      </c>
      <c r="AD539" s="7">
        <f>H539*M539</f>
      </c>
      <c r="AE539" s="6">
        <f>H539*L539/100</f>
      </c>
      <c r="AF539" s="6">
        <f>AA539+AB539+AE539</f>
      </c>
      <c r="AG539" s="6">
        <f>I539+J539+L539</f>
      </c>
      <c r="AH539" s="53">
        <f>$H539*I539</f>
      </c>
      <c r="AI539" s="53">
        <f>$H539*J539</f>
      </c>
      <c r="AJ539" s="53">
        <f>$H539*K539</f>
      </c>
      <c r="AK539" s="53">
        <f>$H539*L539</f>
      </c>
      <c r="AL539" s="53">
        <f>$H539*M539</f>
      </c>
      <c r="AM539" s="3"/>
      <c r="AN539" s="5"/>
      <c r="AO539" s="5"/>
      <c r="AP539" s="5"/>
      <c r="AQ539" s="3"/>
    </row>
    <row x14ac:dyDescent="0.25" r="540" customHeight="1" ht="12.75">
      <c r="A540" s="5" t="s">
        <v>212</v>
      </c>
      <c r="B540" s="3" t="s">
        <v>1120</v>
      </c>
      <c r="C540" s="3" t="s">
        <v>870</v>
      </c>
      <c r="D540" s="3" t="s">
        <v>1031</v>
      </c>
      <c r="E540" s="38" t="s">
        <v>859</v>
      </c>
      <c r="F540" s="3" t="s">
        <v>1577</v>
      </c>
      <c r="G540" s="3" t="s">
        <v>1578</v>
      </c>
      <c r="H540" s="6">
        <v>89.5</v>
      </c>
      <c r="I540" s="6"/>
      <c r="J540" s="6">
        <v>2.06</v>
      </c>
      <c r="K540" s="6">
        <v>38.4</v>
      </c>
      <c r="L540" s="6">
        <v>0.45</v>
      </c>
      <c r="M540" s="6"/>
      <c r="N540" s="7"/>
      <c r="O540" s="23"/>
      <c r="P540" s="6"/>
      <c r="Q540" s="6"/>
      <c r="R540" s="31"/>
      <c r="S540" s="6"/>
      <c r="T540" s="31"/>
      <c r="U540" s="6"/>
      <c r="V540" s="23"/>
      <c r="W540" s="6"/>
      <c r="X540" s="6"/>
      <c r="Y540" s="5"/>
      <c r="Z540" s="3"/>
      <c r="AA540" s="6">
        <f>H540*I540/100</f>
      </c>
      <c r="AB540" s="6">
        <f>H540*J540/100</f>
      </c>
      <c r="AC540" s="7">
        <f>H540*K540</f>
      </c>
      <c r="AD540" s="7">
        <f>H540*M540</f>
      </c>
      <c r="AE540" s="6">
        <f>H540*L540/100</f>
      </c>
      <c r="AF540" s="6">
        <f>AA540+AB540+AE540</f>
      </c>
      <c r="AG540" s="6">
        <f>I540+J540+L540</f>
      </c>
      <c r="AH540" s="53">
        <f>$H540*I540</f>
      </c>
      <c r="AI540" s="53">
        <f>$H540*J540</f>
      </c>
      <c r="AJ540" s="53">
        <f>$H540*K540</f>
      </c>
      <c r="AK540" s="53">
        <f>$H540*L540</f>
      </c>
      <c r="AL540" s="53">
        <f>$H540*M540</f>
      </c>
      <c r="AM540" s="50"/>
      <c r="AN540" s="60"/>
      <c r="AO540" s="60"/>
      <c r="AP540" s="60"/>
      <c r="AQ540" s="50"/>
    </row>
    <row x14ac:dyDescent="0.25" r="541" customHeight="1" ht="12.75">
      <c r="A541" s="5" t="s">
        <v>9</v>
      </c>
      <c r="B541" s="3" t="s">
        <v>1121</v>
      </c>
      <c r="C541" s="3" t="s">
        <v>866</v>
      </c>
      <c r="D541" s="3" t="s">
        <v>988</v>
      </c>
      <c r="E541" s="38" t="s">
        <v>859</v>
      </c>
      <c r="F541" s="3" t="s">
        <v>1579</v>
      </c>
      <c r="G541" s="3" t="s">
        <v>1580</v>
      </c>
      <c r="H541" s="6">
        <f>4+18.23</f>
      </c>
      <c r="I541" s="7">
        <f>(1.9*4+4.4*18.23)/$H541</f>
      </c>
      <c r="J541" s="7">
        <f>(40.4*4+28.1*18.23)/$H541</f>
      </c>
      <c r="K541" s="31">
        <f>(0*4+110*18.23)/$H541</f>
      </c>
      <c r="L541" s="6"/>
      <c r="M541" s="6"/>
      <c r="N541" s="7"/>
      <c r="O541" s="23"/>
      <c r="P541" s="6"/>
      <c r="Q541" s="6"/>
      <c r="R541" s="31"/>
      <c r="S541" s="6"/>
      <c r="T541" s="31"/>
      <c r="U541" s="6"/>
      <c r="V541" s="23"/>
      <c r="W541" s="6"/>
      <c r="X541" s="6"/>
      <c r="Y541" s="5"/>
      <c r="Z541" s="3"/>
      <c r="AA541" s="6">
        <f>H541*I541/100</f>
      </c>
      <c r="AB541" s="6">
        <f>H541*J541/100</f>
      </c>
      <c r="AC541" s="7">
        <f>H541*K541</f>
      </c>
      <c r="AD541" s="7">
        <f>H541*M541</f>
      </c>
      <c r="AE541" s="6">
        <f>H541*L541/100</f>
      </c>
      <c r="AF541" s="6">
        <f>AA541+AB541+AE541</f>
      </c>
      <c r="AG541" s="6">
        <f>I541+J541+L541</f>
      </c>
      <c r="AH541" s="53">
        <f>$H541*I541</f>
      </c>
      <c r="AI541" s="53">
        <f>$H541*J541</f>
      </c>
      <c r="AJ541" s="53">
        <f>$H541*K541</f>
      </c>
      <c r="AK541" s="53">
        <f>$H541*L541</f>
      </c>
      <c r="AL541" s="53">
        <f>$H541*M541</f>
      </c>
      <c r="AM541" s="3"/>
      <c r="AN541" s="5"/>
      <c r="AO541" s="5"/>
      <c r="AP541" s="5"/>
      <c r="AQ541" s="3"/>
    </row>
    <row x14ac:dyDescent="0.25" r="542" customHeight="1" ht="12.75">
      <c r="A542" s="5" t="s">
        <v>442</v>
      </c>
      <c r="B542" s="3" t="s">
        <v>1121</v>
      </c>
      <c r="C542" s="3" t="s">
        <v>866</v>
      </c>
      <c r="D542" s="3" t="s">
        <v>989</v>
      </c>
      <c r="E542" s="38" t="s">
        <v>859</v>
      </c>
      <c r="F542" s="3" t="s">
        <v>1171</v>
      </c>
      <c r="G542" s="3" t="s">
        <v>1173</v>
      </c>
      <c r="H542" s="6">
        <v>1.16</v>
      </c>
      <c r="I542" s="6">
        <f>0.33*8.34</f>
      </c>
      <c r="J542" s="6">
        <f>0.67*8.34</f>
      </c>
      <c r="K542" s="5"/>
      <c r="L542" s="6"/>
      <c r="M542" s="6"/>
      <c r="N542" s="7"/>
      <c r="O542" s="23"/>
      <c r="P542" s="6"/>
      <c r="Q542" s="6"/>
      <c r="R542" s="31"/>
      <c r="S542" s="6"/>
      <c r="T542" s="31"/>
      <c r="U542" s="6"/>
      <c r="V542" s="23"/>
      <c r="W542" s="6"/>
      <c r="X542" s="6"/>
      <c r="Y542" s="5"/>
      <c r="Z542" s="3"/>
      <c r="AA542" s="6">
        <f>H542*I542/100</f>
      </c>
      <c r="AB542" s="6">
        <f>H542*J542/100</f>
      </c>
      <c r="AC542" s="7">
        <f>H542*K542</f>
      </c>
      <c r="AD542" s="7">
        <f>H542*M542</f>
      </c>
      <c r="AE542" s="6">
        <f>H542*L542/100</f>
      </c>
      <c r="AF542" s="6">
        <f>AA542+AB542+AE542</f>
      </c>
      <c r="AG542" s="6">
        <f>I542+J542+L542</f>
      </c>
      <c r="AH542" s="53">
        <f>$H542*I542</f>
      </c>
      <c r="AI542" s="53">
        <f>$H542*J542</f>
      </c>
      <c r="AJ542" s="53">
        <f>$H542*K542</f>
      </c>
      <c r="AK542" s="53">
        <f>$H542*L542</f>
      </c>
      <c r="AL542" s="53">
        <f>$H542*M542</f>
      </c>
      <c r="AM542" s="3"/>
      <c r="AN542" s="5"/>
      <c r="AO542" s="5"/>
      <c r="AP542" s="5"/>
      <c r="AQ542" s="3"/>
    </row>
    <row x14ac:dyDescent="0.25" r="543" customHeight="1" ht="12.75">
      <c r="A543" s="5" t="s">
        <v>452</v>
      </c>
      <c r="B543" s="3" t="s">
        <v>1121</v>
      </c>
      <c r="C543" s="3" t="s">
        <v>866</v>
      </c>
      <c r="D543" s="3" t="s">
        <v>989</v>
      </c>
      <c r="E543" s="38" t="s">
        <v>859</v>
      </c>
      <c r="F543" s="3" t="s">
        <v>1171</v>
      </c>
      <c r="G543" s="3" t="s">
        <v>1581</v>
      </c>
      <c r="H543" s="5">
        <v>10</v>
      </c>
      <c r="I543" s="6">
        <v>2.26</v>
      </c>
      <c r="J543" s="5">
        <v>6</v>
      </c>
      <c r="K543" s="5"/>
      <c r="L543" s="6"/>
      <c r="M543" s="6"/>
      <c r="N543" s="7"/>
      <c r="O543" s="23"/>
      <c r="P543" s="6"/>
      <c r="Q543" s="6"/>
      <c r="R543" s="31"/>
      <c r="S543" s="6"/>
      <c r="T543" s="31"/>
      <c r="U543" s="6"/>
      <c r="V543" s="23"/>
      <c r="W543" s="6"/>
      <c r="X543" s="6"/>
      <c r="Y543" s="5"/>
      <c r="Z543" s="3"/>
      <c r="AA543" s="6">
        <f>H543*I543/100</f>
      </c>
      <c r="AB543" s="6">
        <f>H543*J543/100</f>
      </c>
      <c r="AC543" s="7">
        <f>H543*K543</f>
      </c>
      <c r="AD543" s="7">
        <f>H543*M543</f>
      </c>
      <c r="AE543" s="6">
        <f>H543*L543/100</f>
      </c>
      <c r="AF543" s="6">
        <f>AA543+AB543+AE543</f>
      </c>
      <c r="AG543" s="6">
        <f>I543+J543+L543</f>
      </c>
      <c r="AH543" s="53">
        <f>$H543*I543</f>
      </c>
      <c r="AI543" s="53">
        <f>$H543*J543</f>
      </c>
      <c r="AJ543" s="53">
        <f>$H543*K543</f>
      </c>
      <c r="AK543" s="53">
        <f>$H543*L543</f>
      </c>
      <c r="AL543" s="53">
        <f>$H543*M543</f>
      </c>
      <c r="AM543" s="3"/>
      <c r="AN543" s="5"/>
      <c r="AO543" s="5"/>
      <c r="AP543" s="5"/>
      <c r="AQ543" s="3"/>
    </row>
    <row x14ac:dyDescent="0.25" r="544" customHeight="1" ht="12.75">
      <c r="A544" s="5" t="s">
        <v>395</v>
      </c>
      <c r="B544" s="3" t="s">
        <v>1121</v>
      </c>
      <c r="C544" s="3" t="s">
        <v>866</v>
      </c>
      <c r="D544" s="3" t="s">
        <v>989</v>
      </c>
      <c r="E544" s="38" t="s">
        <v>859</v>
      </c>
      <c r="F544" s="3" t="s">
        <v>1171</v>
      </c>
      <c r="G544" s="3" t="s">
        <v>1582</v>
      </c>
      <c r="H544" s="6">
        <v>0.12</v>
      </c>
      <c r="I544" s="5">
        <v>8</v>
      </c>
      <c r="J544" s="5">
        <v>1</v>
      </c>
      <c r="K544" s="5"/>
      <c r="L544" s="6"/>
      <c r="M544" s="6"/>
      <c r="N544" s="7"/>
      <c r="O544" s="23"/>
      <c r="P544" s="6"/>
      <c r="Q544" s="6"/>
      <c r="R544" s="31"/>
      <c r="S544" s="6"/>
      <c r="T544" s="31"/>
      <c r="U544" s="6"/>
      <c r="V544" s="23"/>
      <c r="W544" s="6"/>
      <c r="X544" s="6"/>
      <c r="Y544" s="5"/>
      <c r="Z544" s="3"/>
      <c r="AA544" s="6">
        <f>H544*I544/100</f>
      </c>
      <c r="AB544" s="6">
        <f>H544*J544/100</f>
      </c>
      <c r="AC544" s="7">
        <f>H544*K544</f>
      </c>
      <c r="AD544" s="7">
        <f>H544*M544</f>
      </c>
      <c r="AE544" s="6">
        <f>H544*L544/100</f>
      </c>
      <c r="AF544" s="6">
        <f>AA544+AB544+AE544</f>
      </c>
      <c r="AG544" s="6">
        <f>I544+J544+L544</f>
      </c>
      <c r="AH544" s="53">
        <f>$H544*I544</f>
      </c>
      <c r="AI544" s="53">
        <f>$H544*J544</f>
      </c>
      <c r="AJ544" s="53">
        <f>$H544*K544</f>
      </c>
      <c r="AK544" s="53">
        <f>$H544*L544</f>
      </c>
      <c r="AL544" s="53">
        <f>$H544*M544</f>
      </c>
      <c r="AM544" s="3"/>
      <c r="AN544" s="5"/>
      <c r="AO544" s="5"/>
      <c r="AP544" s="5"/>
      <c r="AQ544" s="3"/>
    </row>
    <row x14ac:dyDescent="0.25" r="545" customHeight="1" ht="12.75">
      <c r="A545" s="5" t="s">
        <v>356</v>
      </c>
      <c r="B545" s="3" t="s">
        <v>1121</v>
      </c>
      <c r="C545" s="3" t="s">
        <v>866</v>
      </c>
      <c r="D545" s="3" t="s">
        <v>989</v>
      </c>
      <c r="E545" s="38" t="s">
        <v>859</v>
      </c>
      <c r="F545" s="3" t="s">
        <v>1171</v>
      </c>
      <c r="G545" s="3" t="s">
        <v>1173</v>
      </c>
      <c r="H545" s="5">
        <v>10</v>
      </c>
      <c r="I545" s="6">
        <v>2.4</v>
      </c>
      <c r="J545" s="6">
        <v>7.4</v>
      </c>
      <c r="K545" s="5"/>
      <c r="L545" s="6"/>
      <c r="M545" s="6"/>
      <c r="N545" s="7"/>
      <c r="O545" s="23"/>
      <c r="P545" s="6"/>
      <c r="Q545" s="6"/>
      <c r="R545" s="31"/>
      <c r="S545" s="6"/>
      <c r="T545" s="31"/>
      <c r="U545" s="6"/>
      <c r="V545" s="23"/>
      <c r="W545" s="6"/>
      <c r="X545" s="6"/>
      <c r="Y545" s="5"/>
      <c r="Z545" s="3"/>
      <c r="AA545" s="6">
        <f>H545*I545/100</f>
      </c>
      <c r="AB545" s="6">
        <f>H545*J545/100</f>
      </c>
      <c r="AC545" s="7">
        <f>H545*K545</f>
      </c>
      <c r="AD545" s="7">
        <f>H545*M545</f>
      </c>
      <c r="AE545" s="6">
        <f>H545*L545/100</f>
      </c>
      <c r="AF545" s="6">
        <f>AA545+AB545+AE545</f>
      </c>
      <c r="AG545" s="6">
        <f>I545+J545+L545</f>
      </c>
      <c r="AH545" s="53">
        <f>$H545*I545</f>
      </c>
      <c r="AI545" s="53">
        <f>$H545*J545</f>
      </c>
      <c r="AJ545" s="53">
        <f>$H545*K545</f>
      </c>
      <c r="AK545" s="53">
        <f>$H545*L545</f>
      </c>
      <c r="AL545" s="53">
        <f>$H545*M545</f>
      </c>
      <c r="AM545" s="3"/>
      <c r="AN545" s="5"/>
      <c r="AO545" s="5"/>
      <c r="AP545" s="5"/>
      <c r="AQ545" s="3"/>
    </row>
    <row x14ac:dyDescent="0.25" r="546" customHeight="1" ht="12.75">
      <c r="A546" s="5" t="s">
        <v>99</v>
      </c>
      <c r="B546" s="3" t="s">
        <v>1121</v>
      </c>
      <c r="C546" s="3" t="s">
        <v>866</v>
      </c>
      <c r="D546" s="3" t="s">
        <v>989</v>
      </c>
      <c r="E546" s="38" t="s">
        <v>859</v>
      </c>
      <c r="F546" s="3" t="s">
        <v>1171</v>
      </c>
      <c r="G546" s="3" t="s">
        <v>1173</v>
      </c>
      <c r="H546" s="6">
        <v>0.9</v>
      </c>
      <c r="I546" s="6">
        <v>5.4</v>
      </c>
      <c r="J546" s="6">
        <v>12.1</v>
      </c>
      <c r="K546" s="5"/>
      <c r="L546" s="6"/>
      <c r="M546" s="6"/>
      <c r="N546" s="7"/>
      <c r="O546" s="23"/>
      <c r="P546" s="6"/>
      <c r="Q546" s="6"/>
      <c r="R546" s="31"/>
      <c r="S546" s="6"/>
      <c r="T546" s="31"/>
      <c r="U546" s="6"/>
      <c r="V546" s="23"/>
      <c r="W546" s="6"/>
      <c r="X546" s="6"/>
      <c r="Y546" s="5"/>
      <c r="Z546" s="3"/>
      <c r="AA546" s="6">
        <f>H546*I546/100</f>
      </c>
      <c r="AB546" s="6">
        <f>H546*J546/100</f>
      </c>
      <c r="AC546" s="7">
        <f>H546*K546</f>
      </c>
      <c r="AD546" s="7">
        <f>H546*M546</f>
      </c>
      <c r="AE546" s="6">
        <f>H546*L546/100</f>
      </c>
      <c r="AF546" s="6">
        <f>AA546+AB546+AE546</f>
      </c>
      <c r="AG546" s="6">
        <f>I546+J546+L546</f>
      </c>
      <c r="AH546" s="53">
        <f>$H546*I546</f>
      </c>
      <c r="AI546" s="53">
        <f>$H546*J546</f>
      </c>
      <c r="AJ546" s="53">
        <f>$H546*K546</f>
      </c>
      <c r="AK546" s="53">
        <f>$H546*L546</f>
      </c>
      <c r="AL546" s="53">
        <f>$H546*M546</f>
      </c>
      <c r="AM546" s="3"/>
      <c r="AN546" s="5"/>
      <c r="AO546" s="5"/>
      <c r="AP546" s="5"/>
      <c r="AQ546" s="3"/>
    </row>
    <row x14ac:dyDescent="0.25" r="547" customHeight="1" ht="12.75">
      <c r="A547" s="5" t="s">
        <v>175</v>
      </c>
      <c r="B547" s="3" t="s">
        <v>1121</v>
      </c>
      <c r="C547" s="3" t="s">
        <v>866</v>
      </c>
      <c r="D547" s="3" t="s">
        <v>988</v>
      </c>
      <c r="E547" s="38" t="s">
        <v>859</v>
      </c>
      <c r="F547" s="3" t="s">
        <v>1171</v>
      </c>
      <c r="G547" s="3" t="s">
        <v>1173</v>
      </c>
      <c r="H547" s="5">
        <v>4</v>
      </c>
      <c r="I547" s="5">
        <v>3</v>
      </c>
      <c r="J547" s="5">
        <v>10</v>
      </c>
      <c r="K547" s="5"/>
      <c r="L547" s="6"/>
      <c r="M547" s="6"/>
      <c r="N547" s="7"/>
      <c r="O547" s="23"/>
      <c r="P547" s="6"/>
      <c r="Q547" s="6"/>
      <c r="R547" s="31"/>
      <c r="S547" s="6"/>
      <c r="T547" s="31"/>
      <c r="U547" s="6"/>
      <c r="V547" s="23"/>
      <c r="W547" s="6"/>
      <c r="X547" s="6"/>
      <c r="Y547" s="5"/>
      <c r="Z547" s="3"/>
      <c r="AA547" s="6">
        <f>H547*I547/100</f>
      </c>
      <c r="AB547" s="6">
        <f>H547*J547/100</f>
      </c>
      <c r="AC547" s="7">
        <f>H547*K547</f>
      </c>
      <c r="AD547" s="7">
        <f>H547*M547</f>
      </c>
      <c r="AE547" s="6">
        <f>H547*L547/100</f>
      </c>
      <c r="AF547" s="6">
        <f>AA547+AB547+AE547</f>
      </c>
      <c r="AG547" s="6">
        <f>I547+J547+L547</f>
      </c>
      <c r="AH547" s="53">
        <f>$H547*I547</f>
      </c>
      <c r="AI547" s="53">
        <f>$H547*J547</f>
      </c>
      <c r="AJ547" s="53">
        <f>$H547*K547</f>
      </c>
      <c r="AK547" s="53">
        <f>$H547*L547</f>
      </c>
      <c r="AL547" s="53">
        <f>$H547*M547</f>
      </c>
      <c r="AM547" s="3"/>
      <c r="AN547" s="5"/>
      <c r="AO547" s="5"/>
      <c r="AP547" s="5"/>
      <c r="AQ547" s="3"/>
    </row>
    <row x14ac:dyDescent="0.25" r="548" customHeight="1" ht="12.75">
      <c r="A548" s="5" t="s">
        <v>20</v>
      </c>
      <c r="B548" s="3" t="s">
        <v>1121</v>
      </c>
      <c r="C548" s="3" t="s">
        <v>866</v>
      </c>
      <c r="D548" s="3" t="s">
        <v>990</v>
      </c>
      <c r="E548" s="3" t="s">
        <v>855</v>
      </c>
      <c r="F548" s="3" t="s">
        <v>1583</v>
      </c>
      <c r="G548" s="3" t="s">
        <v>1584</v>
      </c>
      <c r="H548" s="5">
        <v>394</v>
      </c>
      <c r="I548" s="6">
        <v>1.6</v>
      </c>
      <c r="J548" s="6">
        <v>4.2</v>
      </c>
      <c r="K548" s="5">
        <v>36</v>
      </c>
      <c r="L548" s="6"/>
      <c r="M548" s="6"/>
      <c r="N548" s="7"/>
      <c r="O548" s="23"/>
      <c r="P548" s="6"/>
      <c r="Q548" s="6"/>
      <c r="R548" s="31"/>
      <c r="S548" s="6"/>
      <c r="T548" s="31"/>
      <c r="U548" s="6"/>
      <c r="V548" s="23"/>
      <c r="W548" s="6"/>
      <c r="X548" s="6"/>
      <c r="Y548" s="5"/>
      <c r="Z548" s="3"/>
      <c r="AA548" s="6">
        <f>H548*I548/100</f>
      </c>
      <c r="AB548" s="6">
        <f>H548*J548/100</f>
      </c>
      <c r="AC548" s="7">
        <f>H548*K548</f>
      </c>
      <c r="AD548" s="7">
        <f>H548*M548</f>
      </c>
      <c r="AE548" s="6">
        <f>H548*L548/100</f>
      </c>
      <c r="AF548" s="6">
        <f>AA548+AB548+AE548</f>
      </c>
      <c r="AG548" s="6">
        <f>I548+J548+L548</f>
      </c>
      <c r="AH548" s="53">
        <f>$H548*I548</f>
      </c>
      <c r="AI548" s="53">
        <f>$H548*J548</f>
      </c>
      <c r="AJ548" s="53">
        <f>$H548*K548</f>
      </c>
      <c r="AK548" s="53">
        <f>$H548*L548</f>
      </c>
      <c r="AL548" s="53">
        <f>$H548*M548</f>
      </c>
      <c r="AM548" s="3"/>
      <c r="AN548" s="5"/>
      <c r="AO548" s="5"/>
      <c r="AP548" s="5"/>
      <c r="AQ548" s="3"/>
    </row>
    <row x14ac:dyDescent="0.25" r="549" customHeight="1" ht="12.75">
      <c r="A549" s="5" t="s">
        <v>414</v>
      </c>
      <c r="B549" s="3" t="s">
        <v>1121</v>
      </c>
      <c r="C549" s="3" t="s">
        <v>866</v>
      </c>
      <c r="D549" s="3" t="s">
        <v>989</v>
      </c>
      <c r="E549" s="38" t="s">
        <v>859</v>
      </c>
      <c r="F549" s="3" t="s">
        <v>1171</v>
      </c>
      <c r="G549" s="3" t="s">
        <v>1585</v>
      </c>
      <c r="H549" s="5">
        <v>7</v>
      </c>
      <c r="I549" s="6">
        <v>8.33</v>
      </c>
      <c r="J549" s="6">
        <v>0.38</v>
      </c>
      <c r="K549" s="5">
        <v>72</v>
      </c>
      <c r="L549" s="6"/>
      <c r="M549" s="6"/>
      <c r="N549" s="7"/>
      <c r="O549" s="23"/>
      <c r="P549" s="6"/>
      <c r="Q549" s="6"/>
      <c r="R549" s="31"/>
      <c r="S549" s="6"/>
      <c r="T549" s="31"/>
      <c r="U549" s="6"/>
      <c r="V549" s="23"/>
      <c r="W549" s="6"/>
      <c r="X549" s="6"/>
      <c r="Y549" s="5"/>
      <c r="Z549" s="3"/>
      <c r="AA549" s="6">
        <f>H549*I549/100</f>
      </c>
      <c r="AB549" s="6">
        <f>H549*J549/100</f>
      </c>
      <c r="AC549" s="7">
        <f>H549*K549</f>
      </c>
      <c r="AD549" s="7">
        <f>H549*M549</f>
      </c>
      <c r="AE549" s="6">
        <f>H549*L549/100</f>
      </c>
      <c r="AF549" s="6">
        <f>AA549+AB549+AE549</f>
      </c>
      <c r="AG549" s="6">
        <f>I549+J549+L549</f>
      </c>
      <c r="AH549" s="53">
        <f>$H549*I549</f>
      </c>
      <c r="AI549" s="53">
        <f>$H549*J549</f>
      </c>
      <c r="AJ549" s="53">
        <f>$H549*K549</f>
      </c>
      <c r="AK549" s="53">
        <f>$H549*L549</f>
      </c>
      <c r="AL549" s="53">
        <f>$H549*M549</f>
      </c>
      <c r="AM549" s="3"/>
      <c r="AN549" s="5"/>
      <c r="AO549" s="5"/>
      <c r="AP549" s="5"/>
      <c r="AQ549" s="3"/>
    </row>
    <row x14ac:dyDescent="0.25" r="550" customHeight="1" ht="12.75">
      <c r="A550" s="5" t="s">
        <v>372</v>
      </c>
      <c r="B550" s="3" t="s">
        <v>1121</v>
      </c>
      <c r="C550" s="3" t="s">
        <v>866</v>
      </c>
      <c r="D550" s="3" t="s">
        <v>989</v>
      </c>
      <c r="E550" s="38" t="s">
        <v>859</v>
      </c>
      <c r="F550" s="3" t="s">
        <v>1171</v>
      </c>
      <c r="G550" s="3" t="s">
        <v>1582</v>
      </c>
      <c r="H550" s="6">
        <v>0.15</v>
      </c>
      <c r="I550" s="5">
        <v>7</v>
      </c>
      <c r="J550" s="6">
        <v>2.5</v>
      </c>
      <c r="K550" s="5"/>
      <c r="L550" s="6"/>
      <c r="M550" s="6"/>
      <c r="N550" s="7"/>
      <c r="O550" s="23"/>
      <c r="P550" s="6"/>
      <c r="Q550" s="6"/>
      <c r="R550" s="31"/>
      <c r="S550" s="6"/>
      <c r="T550" s="31"/>
      <c r="U550" s="6"/>
      <c r="V550" s="23"/>
      <c r="W550" s="6"/>
      <c r="X550" s="6"/>
      <c r="Y550" s="5"/>
      <c r="Z550" s="3"/>
      <c r="AA550" s="6">
        <f>H550*I550/100</f>
      </c>
      <c r="AB550" s="6">
        <f>H550*J550/100</f>
      </c>
      <c r="AC550" s="7">
        <f>H550*K550</f>
      </c>
      <c r="AD550" s="7">
        <f>H550*M550</f>
      </c>
      <c r="AE550" s="6">
        <f>H550*L550/100</f>
      </c>
      <c r="AF550" s="6">
        <f>AA550+AB550+AE550</f>
      </c>
      <c r="AG550" s="6">
        <f>I550+J550+L550</f>
      </c>
      <c r="AH550" s="53">
        <f>$H550*I550</f>
      </c>
      <c r="AI550" s="53">
        <f>$H550*J550</f>
      </c>
      <c r="AJ550" s="53">
        <f>$H550*K550</f>
      </c>
      <c r="AK550" s="53">
        <f>$H550*L550</f>
      </c>
      <c r="AL550" s="53">
        <f>$H550*M550</f>
      </c>
      <c r="AM550" s="3"/>
      <c r="AN550" s="5"/>
      <c r="AO550" s="5"/>
      <c r="AP550" s="5"/>
      <c r="AQ550" s="3"/>
    </row>
    <row x14ac:dyDescent="0.25" r="551" customHeight="1" ht="12.75">
      <c r="A551" s="5" t="s">
        <v>733</v>
      </c>
      <c r="B551" s="3" t="s">
        <v>1122</v>
      </c>
      <c r="C551" s="3" t="s">
        <v>866</v>
      </c>
      <c r="D551" s="3" t="s">
        <v>989</v>
      </c>
      <c r="E551" s="38" t="s">
        <v>859</v>
      </c>
      <c r="F551" s="3" t="s">
        <v>1171</v>
      </c>
      <c r="G551" s="3" t="s">
        <v>1586</v>
      </c>
      <c r="H551" s="6">
        <v>10.1</v>
      </c>
      <c r="I551" s="6">
        <v>0.4</v>
      </c>
      <c r="J551" s="6">
        <v>1.6</v>
      </c>
      <c r="K551" s="5"/>
      <c r="L551" s="6"/>
      <c r="M551" s="6"/>
      <c r="N551" s="7"/>
      <c r="O551" s="23"/>
      <c r="P551" s="6"/>
      <c r="Q551" s="6"/>
      <c r="R551" s="31"/>
      <c r="S551" s="6"/>
      <c r="T551" s="31"/>
      <c r="U551" s="6"/>
      <c r="V551" s="23"/>
      <c r="W551" s="6"/>
      <c r="X551" s="6"/>
      <c r="Y551" s="5"/>
      <c r="Z551" s="3"/>
      <c r="AA551" s="6">
        <f>H551*I551/100</f>
      </c>
      <c r="AB551" s="6">
        <f>H551*J551/100</f>
      </c>
      <c r="AC551" s="7">
        <f>H551*K551</f>
      </c>
      <c r="AD551" s="7">
        <f>H551*M551</f>
      </c>
      <c r="AE551" s="6">
        <f>H551*L551/100</f>
      </c>
      <c r="AF551" s="6">
        <f>AA551+AB551+AE551</f>
      </c>
      <c r="AG551" s="6">
        <f>I551+J551+L551</f>
      </c>
      <c r="AH551" s="53">
        <f>$H551*I551</f>
      </c>
      <c r="AI551" s="53">
        <f>$H551*J551</f>
      </c>
      <c r="AJ551" s="53">
        <f>$H551*K551</f>
      </c>
      <c r="AK551" s="53">
        <f>$H551*L551</f>
      </c>
      <c r="AL551" s="53">
        <f>$H551*M551</f>
      </c>
      <c r="AM551" s="3"/>
      <c r="AN551" s="5"/>
      <c r="AO551" s="5"/>
      <c r="AP551" s="5"/>
      <c r="AQ551" s="3"/>
    </row>
    <row x14ac:dyDescent="0.25" r="552" customHeight="1" ht="12.75">
      <c r="A552" s="5" t="s">
        <v>483</v>
      </c>
      <c r="B552" s="3" t="s">
        <v>1122</v>
      </c>
      <c r="C552" s="3" t="s">
        <v>866</v>
      </c>
      <c r="D552" s="3" t="s">
        <v>989</v>
      </c>
      <c r="E552" s="38" t="s">
        <v>859</v>
      </c>
      <c r="F552" s="3" t="s">
        <v>1171</v>
      </c>
      <c r="G552" s="3" t="s">
        <v>1587</v>
      </c>
      <c r="H552" s="6">
        <v>7.83</v>
      </c>
      <c r="I552" s="6">
        <v>1.1</v>
      </c>
      <c r="J552" s="6">
        <v>6.8</v>
      </c>
      <c r="K552" s="5">
        <v>27</v>
      </c>
      <c r="L552" s="6"/>
      <c r="M552" s="6"/>
      <c r="N552" s="7"/>
      <c r="O552" s="23"/>
      <c r="P552" s="6"/>
      <c r="Q552" s="6"/>
      <c r="R552" s="31"/>
      <c r="S552" s="6"/>
      <c r="T552" s="31"/>
      <c r="U552" s="6"/>
      <c r="V552" s="23"/>
      <c r="W552" s="6"/>
      <c r="X552" s="6"/>
      <c r="Y552" s="5"/>
      <c r="Z552" s="3"/>
      <c r="AA552" s="6">
        <f>H552*I552/100</f>
      </c>
      <c r="AB552" s="6">
        <f>H552*J552/100</f>
      </c>
      <c r="AC552" s="7">
        <f>H552*K552</f>
      </c>
      <c r="AD552" s="7">
        <f>H552*M552</f>
      </c>
      <c r="AE552" s="6">
        <f>H552*L552/100</f>
      </c>
      <c r="AF552" s="6">
        <f>AA552+AB552+AE552</f>
      </c>
      <c r="AG552" s="6">
        <f>I552+J552+L552</f>
      </c>
      <c r="AH552" s="53">
        <f>$H552*I552</f>
      </c>
      <c r="AI552" s="53">
        <f>$H552*J552</f>
      </c>
      <c r="AJ552" s="53">
        <f>$H552*K552</f>
      </c>
      <c r="AK552" s="53">
        <f>$H552*L552</f>
      </c>
      <c r="AL552" s="53">
        <f>$H552*M552</f>
      </c>
      <c r="AM552" s="3"/>
      <c r="AN552" s="5"/>
      <c r="AO552" s="5"/>
      <c r="AP552" s="5"/>
      <c r="AQ552" s="3"/>
    </row>
    <row x14ac:dyDescent="0.25" r="553" customHeight="1" ht="12.75">
      <c r="A553" s="5" t="s">
        <v>692</v>
      </c>
      <c r="B553" s="3" t="s">
        <v>1122</v>
      </c>
      <c r="C553" s="3" t="s">
        <v>866</v>
      </c>
      <c r="D553" s="3" t="s">
        <v>989</v>
      </c>
      <c r="E553" s="38" t="s">
        <v>859</v>
      </c>
      <c r="F553" s="3" t="s">
        <v>1171</v>
      </c>
      <c r="G553" s="3" t="s">
        <v>1587</v>
      </c>
      <c r="H553" s="5">
        <v>1</v>
      </c>
      <c r="I553" s="7">
        <v>2</v>
      </c>
      <c r="J553" s="6">
        <v>3.5</v>
      </c>
      <c r="K553" s="5">
        <v>14</v>
      </c>
      <c r="L553" s="6"/>
      <c r="M553" s="6"/>
      <c r="N553" s="7"/>
      <c r="O553" s="23"/>
      <c r="P553" s="6"/>
      <c r="Q553" s="6"/>
      <c r="R553" s="31"/>
      <c r="S553" s="6"/>
      <c r="T553" s="31"/>
      <c r="U553" s="6"/>
      <c r="V553" s="23"/>
      <c r="W553" s="6"/>
      <c r="X553" s="6"/>
      <c r="Y553" s="5"/>
      <c r="Z553" s="3"/>
      <c r="AA553" s="6">
        <f>H553*I553/100</f>
      </c>
      <c r="AB553" s="6">
        <f>H553*J553/100</f>
      </c>
      <c r="AC553" s="7">
        <f>H553*K553</f>
      </c>
      <c r="AD553" s="7">
        <f>H553*M553</f>
      </c>
      <c r="AE553" s="6">
        <f>H553*L553/100</f>
      </c>
      <c r="AF553" s="6">
        <f>AA553+AB553+AE553</f>
      </c>
      <c r="AG553" s="6">
        <f>I553+J553+L553</f>
      </c>
      <c r="AH553" s="53">
        <f>$H553*I553</f>
      </c>
      <c r="AI553" s="53">
        <f>$H553*J553</f>
      </c>
      <c r="AJ553" s="53">
        <f>$H553*K553</f>
      </c>
      <c r="AK553" s="53">
        <f>$H553*L553</f>
      </c>
      <c r="AL553" s="53">
        <f>$H553*M553</f>
      </c>
      <c r="AM553" s="3"/>
      <c r="AN553" s="5"/>
      <c r="AO553" s="5"/>
      <c r="AP553" s="5"/>
      <c r="AQ553" s="3"/>
    </row>
    <row x14ac:dyDescent="0.25" r="554" customHeight="1" ht="12.75">
      <c r="A554" s="5" t="s">
        <v>827</v>
      </c>
      <c r="B554" s="3" t="s">
        <v>1122</v>
      </c>
      <c r="C554" s="3" t="s">
        <v>866</v>
      </c>
      <c r="D554" s="3" t="s">
        <v>989</v>
      </c>
      <c r="E554" s="38" t="s">
        <v>859</v>
      </c>
      <c r="F554" s="3" t="s">
        <v>1171</v>
      </c>
      <c r="G554" s="3" t="s">
        <v>1587</v>
      </c>
      <c r="H554" s="6">
        <v>1.35</v>
      </c>
      <c r="I554" s="6">
        <v>0.18</v>
      </c>
      <c r="J554" s="6">
        <v>2.67</v>
      </c>
      <c r="K554" s="5"/>
      <c r="L554" s="6"/>
      <c r="M554" s="6"/>
      <c r="N554" s="6">
        <f>36.14*(137.327/(137.327+96.06))</f>
      </c>
      <c r="O554" s="23"/>
      <c r="P554" s="6"/>
      <c r="Q554" s="6"/>
      <c r="R554" s="31"/>
      <c r="S554" s="6"/>
      <c r="T554" s="31"/>
      <c r="U554" s="6"/>
      <c r="V554" s="23"/>
      <c r="W554" s="6"/>
      <c r="X554" s="6"/>
      <c r="Y554" s="5"/>
      <c r="Z554" s="3"/>
      <c r="AA554" s="6">
        <f>H554*I554/100</f>
      </c>
      <c r="AB554" s="6">
        <f>H554*J554/100</f>
      </c>
      <c r="AC554" s="7">
        <f>H554*K554</f>
      </c>
      <c r="AD554" s="7">
        <f>H554*M554</f>
      </c>
      <c r="AE554" s="6">
        <f>H554*L554/100</f>
      </c>
      <c r="AF554" s="6">
        <f>AA554+AB554+AE554</f>
      </c>
      <c r="AG554" s="6">
        <f>I554+J554+L554</f>
      </c>
      <c r="AH554" s="53">
        <f>$H554*I554</f>
      </c>
      <c r="AI554" s="53">
        <f>$H554*J554</f>
      </c>
      <c r="AJ554" s="53">
        <f>$H554*K554</f>
      </c>
      <c r="AK554" s="53">
        <f>$H554*L554</f>
      </c>
      <c r="AL554" s="53">
        <f>$H554*M554</f>
      </c>
      <c r="AM554" s="3"/>
      <c r="AN554" s="5"/>
      <c r="AO554" s="5"/>
      <c r="AP554" s="5"/>
      <c r="AQ554" s="3"/>
    </row>
    <row x14ac:dyDescent="0.25" r="555" customHeight="1" ht="12.75">
      <c r="A555" s="5" t="s">
        <v>353</v>
      </c>
      <c r="B555" s="3" t="s">
        <v>1122</v>
      </c>
      <c r="C555" s="3" t="s">
        <v>866</v>
      </c>
      <c r="D555" s="3" t="s">
        <v>989</v>
      </c>
      <c r="E555" s="38" t="s">
        <v>859</v>
      </c>
      <c r="F555" s="3" t="s">
        <v>1171</v>
      </c>
      <c r="G555" s="3" t="s">
        <v>1587</v>
      </c>
      <c r="H555" s="6">
        <v>3.7</v>
      </c>
      <c r="I555" s="6">
        <v>1.1</v>
      </c>
      <c r="J555" s="6">
        <v>8.8</v>
      </c>
      <c r="K555" s="5">
        <v>10</v>
      </c>
      <c r="L555" s="6"/>
      <c r="M555" s="6"/>
      <c r="N555" s="7"/>
      <c r="O555" s="23"/>
      <c r="P555" s="6"/>
      <c r="Q555" s="6"/>
      <c r="R555" s="31"/>
      <c r="S555" s="6"/>
      <c r="T555" s="31"/>
      <c r="U555" s="6"/>
      <c r="V555" s="23"/>
      <c r="W555" s="6"/>
      <c r="X555" s="6"/>
      <c r="Y555" s="5"/>
      <c r="Z555" s="3"/>
      <c r="AA555" s="6">
        <f>H555*I555/100</f>
      </c>
      <c r="AB555" s="6">
        <f>H555*J555/100</f>
      </c>
      <c r="AC555" s="7">
        <f>H555*K555</f>
      </c>
      <c r="AD555" s="7">
        <f>H555*M555</f>
      </c>
      <c r="AE555" s="6">
        <f>H555*L555/100</f>
      </c>
      <c r="AF555" s="6">
        <f>AA555+AB555+AE555</f>
      </c>
      <c r="AG555" s="6">
        <f>I555+J555+L555</f>
      </c>
      <c r="AH555" s="53">
        <f>$H555*I555</f>
      </c>
      <c r="AI555" s="53">
        <f>$H555*J555</f>
      </c>
      <c r="AJ555" s="53">
        <f>$H555*K555</f>
      </c>
      <c r="AK555" s="53">
        <f>$H555*L555</f>
      </c>
      <c r="AL555" s="53">
        <f>$H555*M555</f>
      </c>
      <c r="AM555" s="3"/>
      <c r="AN555" s="5"/>
      <c r="AO555" s="5"/>
      <c r="AP555" s="5"/>
      <c r="AQ555" s="3"/>
    </row>
    <row x14ac:dyDescent="0.25" r="556" customHeight="1" ht="12.75">
      <c r="A556" s="5" t="s">
        <v>411</v>
      </c>
      <c r="B556" s="3" t="s">
        <v>1122</v>
      </c>
      <c r="C556" s="3" t="s">
        <v>866</v>
      </c>
      <c r="D556" s="3" t="s">
        <v>989</v>
      </c>
      <c r="E556" s="38" t="s">
        <v>859</v>
      </c>
      <c r="F556" s="3" t="s">
        <v>1171</v>
      </c>
      <c r="G556" s="3" t="s">
        <v>1587</v>
      </c>
      <c r="H556" s="6">
        <v>1.85</v>
      </c>
      <c r="I556" s="6">
        <v>1.04</v>
      </c>
      <c r="J556" s="6">
        <v>7.71</v>
      </c>
      <c r="K556" s="6">
        <v>39.6</v>
      </c>
      <c r="L556" s="6"/>
      <c r="M556" s="6"/>
      <c r="N556" s="7"/>
      <c r="O556" s="23"/>
      <c r="P556" s="6"/>
      <c r="Q556" s="6"/>
      <c r="R556" s="31"/>
      <c r="S556" s="6"/>
      <c r="T556" s="31"/>
      <c r="U556" s="6"/>
      <c r="V556" s="23"/>
      <c r="W556" s="6"/>
      <c r="X556" s="6"/>
      <c r="Y556" s="6">
        <v>0.12</v>
      </c>
      <c r="Z556" s="3" t="s">
        <v>932</v>
      </c>
      <c r="AA556" s="6">
        <f>H556*I556/100</f>
      </c>
      <c r="AB556" s="6">
        <f>H556*J556/100</f>
      </c>
      <c r="AC556" s="7">
        <f>H556*K556</f>
      </c>
      <c r="AD556" s="7">
        <f>H556*M556</f>
      </c>
      <c r="AE556" s="6">
        <f>H556*L556/100</f>
      </c>
      <c r="AF556" s="6">
        <f>AA556+AB556+AE556</f>
      </c>
      <c r="AG556" s="6">
        <f>I556+J556+L556</f>
      </c>
      <c r="AH556" s="53">
        <f>$H556*I556</f>
      </c>
      <c r="AI556" s="53">
        <f>$H556*J556</f>
      </c>
      <c r="AJ556" s="53">
        <f>$H556*K556</f>
      </c>
      <c r="AK556" s="53">
        <f>$H556*L556</f>
      </c>
      <c r="AL556" s="53">
        <f>$H556*M556</f>
      </c>
      <c r="AM556" s="3"/>
      <c r="AN556" s="5"/>
      <c r="AO556" s="5"/>
      <c r="AP556" s="5"/>
      <c r="AQ556" s="3"/>
    </row>
    <row x14ac:dyDescent="0.25" r="557" customHeight="1" ht="12.75">
      <c r="A557" s="5" t="s">
        <v>156</v>
      </c>
      <c r="B557" s="3" t="s">
        <v>1122</v>
      </c>
      <c r="C557" s="3" t="s">
        <v>866</v>
      </c>
      <c r="D557" s="3" t="s">
        <v>989</v>
      </c>
      <c r="E557" s="3" t="s">
        <v>855</v>
      </c>
      <c r="F557" s="3" t="s">
        <v>1588</v>
      </c>
      <c r="G557" s="3" t="s">
        <v>1566</v>
      </c>
      <c r="H557" s="6">
        <f>1.9+0.2+1.7</f>
      </c>
      <c r="I557" s="6">
        <f>(2.42*1.9+2.22*0.2+1.72*1.7)/$H557</f>
      </c>
      <c r="J557" s="6">
        <f>(14.23*1.9+14.45*0.2+10.46*1.7)/$H557</f>
      </c>
      <c r="K557" s="5"/>
      <c r="L557" s="6"/>
      <c r="M557" s="6"/>
      <c r="N557" s="7"/>
      <c r="O557" s="23"/>
      <c r="P557" s="6"/>
      <c r="Q557" s="6"/>
      <c r="R557" s="31"/>
      <c r="S557" s="6"/>
      <c r="T557" s="31"/>
      <c r="U557" s="6"/>
      <c r="V557" s="23"/>
      <c r="W557" s="6"/>
      <c r="X557" s="6"/>
      <c r="Y557" s="5"/>
      <c r="Z557" s="3"/>
      <c r="AA557" s="6">
        <f>H557*I557/100</f>
      </c>
      <c r="AB557" s="6">
        <f>H557*J557/100</f>
      </c>
      <c r="AC557" s="7">
        <f>H557*K557</f>
      </c>
      <c r="AD557" s="7">
        <f>H557*M557</f>
      </c>
      <c r="AE557" s="6">
        <f>H557*L557/100</f>
      </c>
      <c r="AF557" s="6">
        <f>AA557+AB557+AE557</f>
      </c>
      <c r="AG557" s="6">
        <f>I557+J557+L557</f>
      </c>
      <c r="AH557" s="53">
        <f>$H557*I557</f>
      </c>
      <c r="AI557" s="53">
        <f>$H557*J557</f>
      </c>
      <c r="AJ557" s="53">
        <f>$H557*K557</f>
      </c>
      <c r="AK557" s="53">
        <f>$H557*L557</f>
      </c>
      <c r="AL557" s="53">
        <f>$H557*M557</f>
      </c>
      <c r="AM557" s="3"/>
      <c r="AN557" s="5"/>
      <c r="AO557" s="5"/>
      <c r="AP557" s="5"/>
      <c r="AQ557" s="3"/>
    </row>
    <row x14ac:dyDescent="0.25" r="558" customHeight="1" ht="12.75">
      <c r="A558" s="5" t="s">
        <v>477</v>
      </c>
      <c r="B558" s="3" t="s">
        <v>1122</v>
      </c>
      <c r="C558" s="3" t="s">
        <v>866</v>
      </c>
      <c r="D558" s="3" t="s">
        <v>989</v>
      </c>
      <c r="E558" s="38" t="s">
        <v>859</v>
      </c>
      <c r="F558" s="3" t="s">
        <v>1171</v>
      </c>
      <c r="G558" s="3" t="s">
        <v>1587</v>
      </c>
      <c r="H558" s="6">
        <v>0.125</v>
      </c>
      <c r="I558" s="7">
        <f>8/3</f>
      </c>
      <c r="J558" s="7">
        <f>8*(2/3)</f>
      </c>
      <c r="K558" s="5"/>
      <c r="L558" s="6"/>
      <c r="M558" s="6"/>
      <c r="N558" s="7"/>
      <c r="O558" s="23"/>
      <c r="P558" s="6"/>
      <c r="Q558" s="6"/>
      <c r="R558" s="31"/>
      <c r="S558" s="6"/>
      <c r="T558" s="31"/>
      <c r="U558" s="6"/>
      <c r="V558" s="23"/>
      <c r="W558" s="6"/>
      <c r="X558" s="6"/>
      <c r="Y558" s="5"/>
      <c r="Z558" s="3"/>
      <c r="AA558" s="6">
        <f>H558*I558/100</f>
      </c>
      <c r="AB558" s="6">
        <f>H558*J558/100</f>
      </c>
      <c r="AC558" s="7">
        <f>H558*K558</f>
      </c>
      <c r="AD558" s="7">
        <f>H558*M558</f>
      </c>
      <c r="AE558" s="6">
        <f>H558*L558/100</f>
      </c>
      <c r="AF558" s="6">
        <f>AA558+AB558+AE558</f>
      </c>
      <c r="AG558" s="6">
        <f>I558+J558+L558</f>
      </c>
      <c r="AH558" s="53">
        <f>$H558*I558</f>
      </c>
      <c r="AI558" s="53">
        <f>$H558*J558</f>
      </c>
      <c r="AJ558" s="53">
        <f>$H558*K558</f>
      </c>
      <c r="AK558" s="53">
        <f>$H558*L558</f>
      </c>
      <c r="AL558" s="53">
        <f>$H558*M558</f>
      </c>
      <c r="AM558" s="3"/>
      <c r="AN558" s="5"/>
      <c r="AO558" s="5"/>
      <c r="AP558" s="5"/>
      <c r="AQ558" s="3"/>
    </row>
    <row x14ac:dyDescent="0.25" r="559" customHeight="1" ht="12.75">
      <c r="A559" s="5" t="s">
        <v>736</v>
      </c>
      <c r="B559" s="3" t="s">
        <v>1122</v>
      </c>
      <c r="C559" s="3" t="s">
        <v>866</v>
      </c>
      <c r="D559" s="3" t="s">
        <v>989</v>
      </c>
      <c r="E559" s="38" t="s">
        <v>859</v>
      </c>
      <c r="F559" s="3" t="s">
        <v>1171</v>
      </c>
      <c r="G559" s="3" t="s">
        <v>1586</v>
      </c>
      <c r="H559" s="7">
        <v>3</v>
      </c>
      <c r="I559" s="6">
        <v>0.6</v>
      </c>
      <c r="J559" s="6">
        <v>4.3</v>
      </c>
      <c r="K559" s="5">
        <v>11</v>
      </c>
      <c r="L559" s="6"/>
      <c r="M559" s="6"/>
      <c r="N559" s="7"/>
      <c r="O559" s="23"/>
      <c r="P559" s="6"/>
      <c r="Q559" s="6"/>
      <c r="R559" s="31"/>
      <c r="S559" s="6"/>
      <c r="T559" s="31"/>
      <c r="U559" s="6"/>
      <c r="V559" s="23"/>
      <c r="W559" s="6"/>
      <c r="X559" s="6"/>
      <c r="Y559" s="5"/>
      <c r="Z559" s="3"/>
      <c r="AA559" s="6">
        <f>H559*I559/100</f>
      </c>
      <c r="AB559" s="6">
        <f>H559*J559/100</f>
      </c>
      <c r="AC559" s="7">
        <f>H559*K559</f>
      </c>
      <c r="AD559" s="7">
        <f>H559*M559</f>
      </c>
      <c r="AE559" s="6">
        <f>H559*L559/100</f>
      </c>
      <c r="AF559" s="6">
        <f>AA559+AB559+AE559</f>
      </c>
      <c r="AG559" s="6">
        <f>I559+J559+L559</f>
      </c>
      <c r="AH559" s="53">
        <f>$H559*I559</f>
      </c>
      <c r="AI559" s="53">
        <f>$H559*J559</f>
      </c>
      <c r="AJ559" s="53">
        <f>$H559*K559</f>
      </c>
      <c r="AK559" s="53">
        <f>$H559*L559</f>
      </c>
      <c r="AL559" s="53">
        <f>$H559*M559</f>
      </c>
      <c r="AM559" s="3"/>
      <c r="AN559" s="5"/>
      <c r="AO559" s="5"/>
      <c r="AP559" s="5"/>
      <c r="AQ559" s="3"/>
    </row>
    <row x14ac:dyDescent="0.25" r="560" customHeight="1" ht="12.75">
      <c r="A560" s="5" t="s">
        <v>162</v>
      </c>
      <c r="B560" s="3" t="s">
        <v>1122</v>
      </c>
      <c r="C560" s="3" t="s">
        <v>866</v>
      </c>
      <c r="D560" s="3" t="s">
        <v>989</v>
      </c>
      <c r="E560" s="3" t="s">
        <v>855</v>
      </c>
      <c r="F560" s="3" t="s">
        <v>1180</v>
      </c>
      <c r="G560" s="3" t="s">
        <v>1181</v>
      </c>
      <c r="H560" s="5">
        <v>42</v>
      </c>
      <c r="I560" s="5">
        <v>1</v>
      </c>
      <c r="J560" s="5">
        <v>7</v>
      </c>
      <c r="K560" s="5"/>
      <c r="L560" s="6"/>
      <c r="M560" s="6"/>
      <c r="N560" s="7"/>
      <c r="O560" s="23"/>
      <c r="P560" s="6"/>
      <c r="Q560" s="6"/>
      <c r="R560" s="31"/>
      <c r="S560" s="6"/>
      <c r="T560" s="31"/>
      <c r="U560" s="6"/>
      <c r="V560" s="23"/>
      <c r="W560" s="6"/>
      <c r="X560" s="6"/>
      <c r="Y560" s="5"/>
      <c r="Z560" s="3"/>
      <c r="AA560" s="6">
        <f>H560*I560/100</f>
      </c>
      <c r="AB560" s="6">
        <f>H560*J560/100</f>
      </c>
      <c r="AC560" s="7">
        <f>H560*K560</f>
      </c>
      <c r="AD560" s="7">
        <f>H560*M560</f>
      </c>
      <c r="AE560" s="6">
        <f>H560*L560/100</f>
      </c>
      <c r="AF560" s="6">
        <f>AA560+AB560+AE560</f>
      </c>
      <c r="AG560" s="6">
        <f>I560+J560+L560</f>
      </c>
      <c r="AH560" s="53">
        <f>$H560*I560</f>
      </c>
      <c r="AI560" s="53">
        <f>$H560*J560</f>
      </c>
      <c r="AJ560" s="53">
        <f>$H560*K560</f>
      </c>
      <c r="AK560" s="53">
        <f>$H560*L560</f>
      </c>
      <c r="AL560" s="53">
        <f>$H560*M560</f>
      </c>
      <c r="AM560" s="3"/>
      <c r="AN560" s="5"/>
      <c r="AO560" s="5"/>
      <c r="AP560" s="5"/>
      <c r="AQ560" s="3"/>
    </row>
    <row x14ac:dyDescent="0.25" r="561" customHeight="1" ht="12.75">
      <c r="A561" s="5" t="s">
        <v>795</v>
      </c>
      <c r="B561" s="3" t="s">
        <v>1122</v>
      </c>
      <c r="C561" s="3" t="s">
        <v>866</v>
      </c>
      <c r="D561" s="3" t="s">
        <v>989</v>
      </c>
      <c r="E561" s="38" t="s">
        <v>859</v>
      </c>
      <c r="F561" s="3" t="s">
        <v>1171</v>
      </c>
      <c r="G561" s="3" t="s">
        <v>1587</v>
      </c>
      <c r="H561" s="6">
        <v>3.5</v>
      </c>
      <c r="I561" s="6">
        <v>1.1</v>
      </c>
      <c r="J561" s="6">
        <v>2.2</v>
      </c>
      <c r="K561" s="5"/>
      <c r="L561" s="6"/>
      <c r="M561" s="6"/>
      <c r="N561" s="7"/>
      <c r="O561" s="23"/>
      <c r="P561" s="6"/>
      <c r="Q561" s="6"/>
      <c r="R561" s="31"/>
      <c r="S561" s="6"/>
      <c r="T561" s="31"/>
      <c r="U561" s="6"/>
      <c r="V561" s="23"/>
      <c r="W561" s="6"/>
      <c r="X561" s="6"/>
      <c r="Y561" s="5"/>
      <c r="Z561" s="3"/>
      <c r="AA561" s="6">
        <f>H561*I561/100</f>
      </c>
      <c r="AB561" s="6">
        <f>H561*J561/100</f>
      </c>
      <c r="AC561" s="7">
        <f>H561*K561</f>
      </c>
      <c r="AD561" s="7">
        <f>H561*M561</f>
      </c>
      <c r="AE561" s="6">
        <f>H561*L561/100</f>
      </c>
      <c r="AF561" s="6">
        <f>AA561+AB561+AE561</f>
      </c>
      <c r="AG561" s="6">
        <f>I561+J561+L561</f>
      </c>
      <c r="AH561" s="53">
        <f>$H561*I561</f>
      </c>
      <c r="AI561" s="53">
        <f>$H561*J561</f>
      </c>
      <c r="AJ561" s="53">
        <f>$H561*K561</f>
      </c>
      <c r="AK561" s="53">
        <f>$H561*L561</f>
      </c>
      <c r="AL561" s="53">
        <f>$H561*M561</f>
      </c>
      <c r="AM561" s="3"/>
      <c r="AN561" s="5"/>
      <c r="AO561" s="5"/>
      <c r="AP561" s="5"/>
      <c r="AQ561" s="3"/>
    </row>
    <row x14ac:dyDescent="0.25" r="562" customHeight="1" ht="12.75">
      <c r="A562" s="5" t="s">
        <v>217</v>
      </c>
      <c r="B562" s="3" t="s">
        <v>1122</v>
      </c>
      <c r="C562" s="3" t="s">
        <v>866</v>
      </c>
      <c r="D562" s="3" t="s">
        <v>989</v>
      </c>
      <c r="E562" s="38" t="s">
        <v>859</v>
      </c>
      <c r="F562" s="3" t="s">
        <v>1171</v>
      </c>
      <c r="G562" s="3" t="s">
        <v>1587</v>
      </c>
      <c r="H562" s="6">
        <v>6.89</v>
      </c>
      <c r="I562" s="7">
        <f>11.5/3</f>
      </c>
      <c r="J562" s="7">
        <f>11.5*(2/3)</f>
      </c>
      <c r="K562" s="5">
        <v>70</v>
      </c>
      <c r="L562" s="6">
        <v>0.6</v>
      </c>
      <c r="M562" s="6"/>
      <c r="N562" s="7"/>
      <c r="O562" s="23"/>
      <c r="P562" s="6"/>
      <c r="Q562" s="6"/>
      <c r="R562" s="31"/>
      <c r="S562" s="6"/>
      <c r="T562" s="31"/>
      <c r="U562" s="6"/>
      <c r="V562" s="23"/>
      <c r="W562" s="6"/>
      <c r="X562" s="6"/>
      <c r="Y562" s="5"/>
      <c r="Z562" s="3"/>
      <c r="AA562" s="6">
        <f>H562*I562/100</f>
      </c>
      <c r="AB562" s="6">
        <f>H562*J562/100</f>
      </c>
      <c r="AC562" s="7">
        <f>H562*K562</f>
      </c>
      <c r="AD562" s="7">
        <f>H562*M562</f>
      </c>
      <c r="AE562" s="6">
        <f>H562*L562/100</f>
      </c>
      <c r="AF562" s="6">
        <f>AA562+AB562+AE562</f>
      </c>
      <c r="AG562" s="6">
        <f>I562+J562+L562</f>
      </c>
      <c r="AH562" s="53">
        <f>$H562*I562</f>
      </c>
      <c r="AI562" s="53">
        <f>$H562*J562</f>
      </c>
      <c r="AJ562" s="53">
        <f>$H562*K562</f>
      </c>
      <c r="AK562" s="53">
        <f>$H562*L562</f>
      </c>
      <c r="AL562" s="53">
        <f>$H562*M562</f>
      </c>
      <c r="AM562" s="3"/>
      <c r="AN562" s="5"/>
      <c r="AO562" s="5"/>
      <c r="AP562" s="5"/>
      <c r="AQ562" s="3"/>
    </row>
    <row x14ac:dyDescent="0.25" r="563" customHeight="1" ht="12.75">
      <c r="A563" s="5" t="s">
        <v>228</v>
      </c>
      <c r="B563" s="3" t="s">
        <v>1122</v>
      </c>
      <c r="C563" s="3" t="s">
        <v>866</v>
      </c>
      <c r="D563" s="3" t="s">
        <v>989</v>
      </c>
      <c r="E563" s="3" t="s">
        <v>855</v>
      </c>
      <c r="F563" s="3" t="s">
        <v>1589</v>
      </c>
      <c r="G563" s="3" t="s">
        <v>1204</v>
      </c>
      <c r="H563" s="6">
        <f>3.4+9.7+0.6+7.3+5.4</f>
      </c>
      <c r="I563" s="7">
        <f>(1.7*3.4+1.5*9.7+2.2*0.6+2*7.3+1.9*5.4)/$H563</f>
      </c>
      <c r="J563" s="7">
        <f>(7.3*3.4+6.9*9.7+6.3*0.6+6.5*7.3+6.6*5.4)/$H563</f>
      </c>
      <c r="K563" s="5"/>
      <c r="L563" s="6"/>
      <c r="M563" s="6"/>
      <c r="N563" s="7"/>
      <c r="O563" s="23"/>
      <c r="P563" s="6"/>
      <c r="Q563" s="6"/>
      <c r="R563" s="31"/>
      <c r="S563" s="6"/>
      <c r="T563" s="31"/>
      <c r="U563" s="6"/>
      <c r="V563" s="23"/>
      <c r="W563" s="6"/>
      <c r="X563" s="6"/>
      <c r="Y563" s="5"/>
      <c r="Z563" s="3"/>
      <c r="AA563" s="6">
        <f>H563*I563/100</f>
      </c>
      <c r="AB563" s="6">
        <f>H563*J563/100</f>
      </c>
      <c r="AC563" s="7">
        <f>H563*K563</f>
      </c>
      <c r="AD563" s="7">
        <f>H563*M563</f>
      </c>
      <c r="AE563" s="6">
        <f>H563*L563/100</f>
      </c>
      <c r="AF563" s="6">
        <f>AA563+AB563+AE563</f>
      </c>
      <c r="AG563" s="6">
        <f>I563+J563+L563</f>
      </c>
      <c r="AH563" s="53">
        <f>$H563*I563</f>
      </c>
      <c r="AI563" s="53">
        <f>$H563*J563</f>
      </c>
      <c r="AJ563" s="53">
        <f>$H563*K563</f>
      </c>
      <c r="AK563" s="53">
        <f>$H563*L563</f>
      </c>
      <c r="AL563" s="53">
        <f>$H563*M563</f>
      </c>
      <c r="AM563" s="3"/>
      <c r="AN563" s="5"/>
      <c r="AO563" s="5"/>
      <c r="AP563" s="5"/>
      <c r="AQ563" s="3"/>
    </row>
    <row x14ac:dyDescent="0.25" r="564" customHeight="1" ht="12.75">
      <c r="A564" s="5" t="s">
        <v>568</v>
      </c>
      <c r="B564" s="3" t="s">
        <v>1122</v>
      </c>
      <c r="C564" s="3" t="s">
        <v>866</v>
      </c>
      <c r="D564" s="3" t="s">
        <v>989</v>
      </c>
      <c r="E564" s="38" t="s">
        <v>859</v>
      </c>
      <c r="F564" s="3" t="s">
        <v>1171</v>
      </c>
      <c r="G564" s="3" t="s">
        <v>1587</v>
      </c>
      <c r="H564" s="6">
        <v>3.6</v>
      </c>
      <c r="I564" s="7">
        <f>6.9/3</f>
      </c>
      <c r="J564" s="7">
        <f>6.9*(2/3)</f>
      </c>
      <c r="K564" s="5"/>
      <c r="L564" s="6"/>
      <c r="M564" s="6"/>
      <c r="N564" s="7"/>
      <c r="O564" s="23"/>
      <c r="P564" s="6"/>
      <c r="Q564" s="6"/>
      <c r="R564" s="31"/>
      <c r="S564" s="6"/>
      <c r="T564" s="31"/>
      <c r="U564" s="6"/>
      <c r="V564" s="23"/>
      <c r="W564" s="6"/>
      <c r="X564" s="6"/>
      <c r="Y564" s="5"/>
      <c r="Z564" s="3"/>
      <c r="AA564" s="6">
        <f>H564*I564/100</f>
      </c>
      <c r="AB564" s="6">
        <f>H564*J564/100</f>
      </c>
      <c r="AC564" s="7">
        <f>H564*K564</f>
      </c>
      <c r="AD564" s="7">
        <f>H564*M564</f>
      </c>
      <c r="AE564" s="6">
        <f>H564*L564/100</f>
      </c>
      <c r="AF564" s="6">
        <f>AA564+AB564+AE564</f>
      </c>
      <c r="AG564" s="6">
        <f>I564+J564+L564</f>
      </c>
      <c r="AH564" s="53">
        <f>$H564*I564</f>
      </c>
      <c r="AI564" s="53">
        <f>$H564*J564</f>
      </c>
      <c r="AJ564" s="53">
        <f>$H564*K564</f>
      </c>
      <c r="AK564" s="53">
        <f>$H564*L564</f>
      </c>
      <c r="AL564" s="53">
        <f>$H564*M564</f>
      </c>
      <c r="AM564" s="3"/>
      <c r="AN564" s="5"/>
      <c r="AO564" s="5"/>
      <c r="AP564" s="5"/>
      <c r="AQ564" s="3"/>
    </row>
    <row x14ac:dyDescent="0.25" r="565" customHeight="1" ht="12.75">
      <c r="A565" s="5" t="s">
        <v>203</v>
      </c>
      <c r="B565" s="3" t="s">
        <v>1123</v>
      </c>
      <c r="C565" s="3" t="s">
        <v>1081</v>
      </c>
      <c r="D565" s="3"/>
      <c r="E565" s="38" t="s">
        <v>859</v>
      </c>
      <c r="F565" s="3" t="s">
        <v>1590</v>
      </c>
      <c r="G565" s="3" t="s">
        <v>1519</v>
      </c>
      <c r="H565" s="5">
        <v>50</v>
      </c>
      <c r="I565" s="5">
        <v>5</v>
      </c>
      <c r="J565" s="6"/>
      <c r="K565" s="5">
        <v>40</v>
      </c>
      <c r="L565" s="6"/>
      <c r="M565" s="6"/>
      <c r="N565" s="7"/>
      <c r="O565" s="23"/>
      <c r="P565" s="6"/>
      <c r="Q565" s="6"/>
      <c r="R565" s="31"/>
      <c r="S565" s="6"/>
      <c r="T565" s="31"/>
      <c r="U565" s="6"/>
      <c r="V565" s="23"/>
      <c r="W565" s="6"/>
      <c r="X565" s="6"/>
      <c r="Y565" s="5"/>
      <c r="Z565" s="3"/>
      <c r="AA565" s="6">
        <f>H565*I565/100</f>
      </c>
      <c r="AB565" s="6">
        <f>H565*J565/100</f>
      </c>
      <c r="AC565" s="7">
        <f>H565*K565</f>
      </c>
      <c r="AD565" s="7">
        <f>H565*M565</f>
      </c>
      <c r="AE565" s="6">
        <f>H565*L565/100</f>
      </c>
      <c r="AF565" s="6">
        <f>AA565+AB565+AE565</f>
      </c>
      <c r="AG565" s="6">
        <f>I565+J565+L565</f>
      </c>
      <c r="AH565" s="53">
        <f>$H565*I565</f>
      </c>
      <c r="AI565" s="53">
        <f>$H565*J565</f>
      </c>
      <c r="AJ565" s="53">
        <f>$H565*K565</f>
      </c>
      <c r="AK565" s="53">
        <f>$H565*L565</f>
      </c>
      <c r="AL565" s="53">
        <f>$H565*M565</f>
      </c>
      <c r="AM565" s="3"/>
      <c r="AN565" s="5"/>
      <c r="AO565" s="5"/>
      <c r="AP565" s="5"/>
      <c r="AQ565" s="3"/>
    </row>
    <row x14ac:dyDescent="0.25" r="566" customHeight="1" ht="12.75">
      <c r="A566" s="5" t="s">
        <v>13</v>
      </c>
      <c r="B566" s="3" t="s">
        <v>1123</v>
      </c>
      <c r="C566" s="3" t="s">
        <v>986</v>
      </c>
      <c r="D566" s="3"/>
      <c r="E566" s="3" t="s">
        <v>855</v>
      </c>
      <c r="F566" s="3" t="s">
        <v>1591</v>
      </c>
      <c r="G566" s="3" t="s">
        <v>1204</v>
      </c>
      <c r="H566" s="7">
        <f>4566.354+830.412</f>
      </c>
      <c r="I566" s="6"/>
      <c r="J566" s="6">
        <f>(0.01*4566.354+0*830.412)/$H566</f>
      </c>
      <c r="K566" s="6">
        <f>(1.43*4566.354+1.2*830.412)/$H566</f>
      </c>
      <c r="L566" s="6">
        <f>(0.42*4566.354+0.3*830.412)/$H566</f>
      </c>
      <c r="M566" s="6">
        <f>(0.08*4566.354+0.09*830.412)/$H566</f>
      </c>
      <c r="N566" s="7"/>
      <c r="O566" s="23"/>
      <c r="P566" s="6"/>
      <c r="Q566" s="6"/>
      <c r="R566" s="31"/>
      <c r="S566" s="6">
        <f>(0.01*4566.354+0.01*830.412)/$H566</f>
      </c>
      <c r="T566" s="31"/>
      <c r="U566" s="6"/>
      <c r="V566" s="23"/>
      <c r="W566" s="6"/>
      <c r="X566" s="6"/>
      <c r="Y566" s="5"/>
      <c r="Z566" s="3"/>
      <c r="AA566" s="6">
        <f>H566*I566/100</f>
      </c>
      <c r="AB566" s="6">
        <f>H566*J566/100</f>
      </c>
      <c r="AC566" s="7">
        <f>H566*K566</f>
      </c>
      <c r="AD566" s="7">
        <f>H566*M566</f>
      </c>
      <c r="AE566" s="6">
        <f>H566*L566/100</f>
      </c>
      <c r="AF566" s="6">
        <f>AA566+AB566+AE566</f>
      </c>
      <c r="AG566" s="6">
        <f>I566+J566+L566</f>
      </c>
      <c r="AH566" s="53">
        <f>$H566*I566</f>
      </c>
      <c r="AI566" s="53">
        <f>$H566*J566</f>
      </c>
      <c r="AJ566" s="53">
        <f>$H566*K566</f>
      </c>
      <c r="AK566" s="53">
        <f>$H566*L566</f>
      </c>
      <c r="AL566" s="53">
        <f>$H566*M566</f>
      </c>
      <c r="AM566" s="3"/>
      <c r="AN566" s="5"/>
      <c r="AO566" s="5"/>
      <c r="AP566" s="5"/>
      <c r="AQ566" s="3"/>
    </row>
    <row x14ac:dyDescent="0.25" r="567" customHeight="1" ht="12.75">
      <c r="A567" s="5" t="s">
        <v>1054</v>
      </c>
      <c r="B567" s="3" t="s">
        <v>1123</v>
      </c>
      <c r="C567" s="16" t="s">
        <v>1592</v>
      </c>
      <c r="D567" s="3"/>
      <c r="E567" s="16" t="s">
        <v>1247</v>
      </c>
      <c r="F567" s="3" t="s">
        <v>1593</v>
      </c>
      <c r="G567" s="3" t="s">
        <v>1181</v>
      </c>
      <c r="H567" s="5">
        <f>58+30</f>
      </c>
      <c r="I567" s="7">
        <f>(0.2*58+0.2*30)/$H567</f>
      </c>
      <c r="J567" s="6">
        <f>(0.4*58+0.5*30)/$H567</f>
      </c>
      <c r="K567" s="7">
        <f>(5.2*58+5*30)/$H567</f>
      </c>
      <c r="L567" s="6">
        <f>(0.05*58+0.06*30)/$H567</f>
      </c>
      <c r="M567" s="7">
        <f>(0.7*58+0.5*30)/$H567</f>
      </c>
      <c r="N567" s="7"/>
      <c r="O567" s="23"/>
      <c r="P567" s="6"/>
      <c r="Q567" s="6"/>
      <c r="R567" s="31"/>
      <c r="S567" s="6"/>
      <c r="T567" s="31"/>
      <c r="U567" s="6"/>
      <c r="V567" s="23"/>
      <c r="W567" s="6"/>
      <c r="X567" s="6"/>
      <c r="Y567" s="5"/>
      <c r="Z567" s="3"/>
      <c r="AA567" s="6">
        <f>H567*I567/100</f>
      </c>
      <c r="AB567" s="6">
        <f>H567*J567/100</f>
      </c>
      <c r="AC567" s="7">
        <f>H567*K567</f>
      </c>
      <c r="AD567" s="7">
        <f>H567*M567</f>
      </c>
      <c r="AE567" s="6">
        <f>H567*L567/100</f>
      </c>
      <c r="AF567" s="6">
        <f>AA567+AB567+AE567</f>
      </c>
      <c r="AG567" s="6">
        <f>I567+J567+L567</f>
      </c>
      <c r="AH567" s="53">
        <f>$H567*I567</f>
      </c>
      <c r="AI567" s="53">
        <f>$H567*J567</f>
      </c>
      <c r="AJ567" s="53">
        <f>$H567*K567</f>
      </c>
      <c r="AK567" s="53">
        <f>$H567*L567</f>
      </c>
      <c r="AL567" s="53">
        <f>$H567*M567</f>
      </c>
      <c r="AM567" s="3"/>
      <c r="AN567" s="5"/>
      <c r="AO567" s="5"/>
      <c r="AP567" s="5"/>
      <c r="AQ567" s="3"/>
    </row>
    <row x14ac:dyDescent="0.25" r="568" customHeight="1" ht="12.75">
      <c r="A568" s="5" t="s">
        <v>135</v>
      </c>
      <c r="B568" s="3" t="s">
        <v>1123</v>
      </c>
      <c r="C568" s="3" t="s">
        <v>1081</v>
      </c>
      <c r="D568" s="3"/>
      <c r="E568" s="3" t="s">
        <v>855</v>
      </c>
      <c r="F568" s="3" t="s">
        <v>1593</v>
      </c>
      <c r="G568" s="3" t="s">
        <v>1181</v>
      </c>
      <c r="H568" s="6">
        <f>0.71+1.1+1.2</f>
      </c>
      <c r="I568" s="6">
        <f>(2.06*0.71+1.4*1.1+1*1.2)/$H568</f>
      </c>
      <c r="J568" s="6">
        <f>(4.13*0.71+2.7*1.1+2*1.2)/$H568</f>
      </c>
      <c r="K568" s="31">
        <f>(164*0.71+130*1.1+80*1.2)/$H568</f>
      </c>
      <c r="L568" s="7">
        <f>(0.59*0.71+0.5*1.1+0.3*1.2)/$H568</f>
      </c>
      <c r="M568" s="7">
        <f>(11*0.71+8.1*1.1+6*1.2)/$H568</f>
      </c>
      <c r="N568" s="7"/>
      <c r="O568" s="23"/>
      <c r="P568" s="6"/>
      <c r="Q568" s="6"/>
      <c r="R568" s="31"/>
      <c r="S568" s="6"/>
      <c r="T568" s="31"/>
      <c r="U568" s="6"/>
      <c r="V568" s="23"/>
      <c r="W568" s="6"/>
      <c r="X568" s="6"/>
      <c r="Y568" s="5"/>
      <c r="Z568" s="3"/>
      <c r="AA568" s="6">
        <f>H568*I568/100</f>
      </c>
      <c r="AB568" s="6">
        <f>H568*J568/100</f>
      </c>
      <c r="AC568" s="7">
        <f>H568*K568</f>
      </c>
      <c r="AD568" s="7">
        <f>H568*M568</f>
      </c>
      <c r="AE568" s="6">
        <f>H568*L568/100</f>
      </c>
      <c r="AF568" s="6">
        <f>AA568+AB568+AE568</f>
      </c>
      <c r="AG568" s="6">
        <f>I568+J568+L568</f>
      </c>
      <c r="AH568" s="53">
        <f>$H568*I568</f>
      </c>
      <c r="AI568" s="53">
        <f>$H568*J568</f>
      </c>
      <c r="AJ568" s="53">
        <f>$H568*K568</f>
      </c>
      <c r="AK568" s="53">
        <f>$H568*L568</f>
      </c>
      <c r="AL568" s="53">
        <f>$H568*M568</f>
      </c>
      <c r="AM568" s="3"/>
      <c r="AN568" s="5"/>
      <c r="AO568" s="5"/>
      <c r="AP568" s="5"/>
      <c r="AQ568" s="3"/>
    </row>
    <row x14ac:dyDescent="0.25" r="569" customHeight="1" ht="12.75">
      <c r="A569" s="5" t="s">
        <v>86</v>
      </c>
      <c r="B569" s="3" t="s">
        <v>1123</v>
      </c>
      <c r="C569" s="3" t="s">
        <v>1081</v>
      </c>
      <c r="D569" s="3"/>
      <c r="E569" s="3" t="s">
        <v>855</v>
      </c>
      <c r="F569" s="3" t="s">
        <v>1591</v>
      </c>
      <c r="G569" s="3" t="s">
        <v>1204</v>
      </c>
      <c r="H569" s="6">
        <v>91.807</v>
      </c>
      <c r="I569" s="6">
        <v>0.87</v>
      </c>
      <c r="J569" s="6">
        <v>3.64</v>
      </c>
      <c r="K569" s="6">
        <v>55.49</v>
      </c>
      <c r="L569" s="6">
        <v>1.86</v>
      </c>
      <c r="M569" s="6">
        <v>0.87</v>
      </c>
      <c r="N569" s="7"/>
      <c r="O569" s="23"/>
      <c r="P569" s="6"/>
      <c r="Q569" s="6"/>
      <c r="R569" s="31"/>
      <c r="S569" s="6"/>
      <c r="T569" s="31"/>
      <c r="U569" s="6"/>
      <c r="V569" s="23"/>
      <c r="W569" s="6"/>
      <c r="X569" s="6"/>
      <c r="Y569" s="5"/>
      <c r="Z569" s="3"/>
      <c r="AA569" s="6">
        <f>H569*I569/100</f>
      </c>
      <c r="AB569" s="6">
        <f>H569*J569/100</f>
      </c>
      <c r="AC569" s="7">
        <f>H569*K569</f>
      </c>
      <c r="AD569" s="7">
        <f>H569*M569</f>
      </c>
      <c r="AE569" s="6">
        <f>H569*L569/100</f>
      </c>
      <c r="AF569" s="6">
        <f>AA569+AB569+AE569</f>
      </c>
      <c r="AG569" s="6">
        <f>I569+J569+L569</f>
      </c>
      <c r="AH569" s="53">
        <f>$H569*I569</f>
      </c>
      <c r="AI569" s="53">
        <f>$H569*J569</f>
      </c>
      <c r="AJ569" s="53">
        <f>$H569*K569</f>
      </c>
      <c r="AK569" s="53">
        <f>$H569*L569</f>
      </c>
      <c r="AL569" s="53">
        <f>$H569*M569</f>
      </c>
      <c r="AM569" s="3"/>
      <c r="AN569" s="5"/>
      <c r="AO569" s="5"/>
      <c r="AP569" s="5"/>
      <c r="AQ569" s="3"/>
    </row>
    <row x14ac:dyDescent="0.25" r="570" customHeight="1" ht="12.75">
      <c r="A570" s="5" t="s">
        <v>209</v>
      </c>
      <c r="B570" s="3" t="s">
        <v>1123</v>
      </c>
      <c r="C570" s="3" t="s">
        <v>870</v>
      </c>
      <c r="D570" s="3"/>
      <c r="E570" s="3" t="s">
        <v>855</v>
      </c>
      <c r="F570" s="3" t="s">
        <v>1593</v>
      </c>
      <c r="G570" s="3" t="s">
        <v>1181</v>
      </c>
      <c r="H570" s="6">
        <f>10.4+5.8+6.4</f>
      </c>
      <c r="I570" s="6">
        <f>(1.08*10.4+1.2*5.8+2*6.4)/$H570</f>
      </c>
      <c r="J570" s="6">
        <f>(7.06*10.4+6.8*5.8+8*6.4)/$H570</f>
      </c>
      <c r="K570" s="7">
        <f>(79*10.4+71*5.8+60*6.4)/$H570</f>
      </c>
      <c r="L570" s="7">
        <f>(2.4*10.4+1.9*5.8+2*6.4)/$H570</f>
      </c>
      <c r="M570" s="7">
        <f>(0.62*10.4+0.6*5.8+0.4*6.4)/$H570</f>
      </c>
      <c r="N570" s="7"/>
      <c r="O570" s="23"/>
      <c r="P570" s="6"/>
      <c r="Q570" s="6"/>
      <c r="R570" s="31"/>
      <c r="S570" s="6"/>
      <c r="T570" s="31"/>
      <c r="U570" s="6"/>
      <c r="V570" s="23"/>
      <c r="W570" s="6"/>
      <c r="X570" s="6"/>
      <c r="Y570" s="5"/>
      <c r="Z570" s="3"/>
      <c r="AA570" s="6">
        <f>H570*I570/100</f>
      </c>
      <c r="AB570" s="6">
        <f>H570*J570/100</f>
      </c>
      <c r="AC570" s="7">
        <f>H570*K570</f>
      </c>
      <c r="AD570" s="7">
        <f>H570*M570</f>
      </c>
      <c r="AE570" s="6">
        <f>H570*L570/100</f>
      </c>
      <c r="AF570" s="6">
        <f>AA570+AB570+AE570</f>
      </c>
      <c r="AG570" s="6">
        <f>I570+J570+L570</f>
      </c>
      <c r="AH570" s="53">
        <f>$H570*I570</f>
      </c>
      <c r="AI570" s="53">
        <f>$H570*J570</f>
      </c>
      <c r="AJ570" s="53">
        <f>$H570*K570</f>
      </c>
      <c r="AK570" s="53">
        <f>$H570*L570</f>
      </c>
      <c r="AL570" s="53">
        <f>$H570*M570</f>
      </c>
      <c r="AM570" s="3"/>
      <c r="AN570" s="5"/>
      <c r="AO570" s="5"/>
      <c r="AP570" s="5"/>
      <c r="AQ570" s="3"/>
    </row>
    <row x14ac:dyDescent="0.25" r="571" customHeight="1" ht="12.75">
      <c r="A571" s="5" t="s">
        <v>215</v>
      </c>
      <c r="B571" s="3" t="s">
        <v>1123</v>
      </c>
      <c r="C571" s="3" t="s">
        <v>870</v>
      </c>
      <c r="D571" s="3"/>
      <c r="E571" s="3" t="s">
        <v>855</v>
      </c>
      <c r="F571" s="3" t="s">
        <v>1593</v>
      </c>
      <c r="G571" s="3" t="s">
        <v>1181</v>
      </c>
      <c r="H571" s="5">
        <v>40</v>
      </c>
      <c r="I571" s="5">
        <v>1</v>
      </c>
      <c r="J571" s="5">
        <v>4</v>
      </c>
      <c r="K571" s="5">
        <v>33</v>
      </c>
      <c r="L571" s="6">
        <v>0.2</v>
      </c>
      <c r="M571" s="5">
        <v>2</v>
      </c>
      <c r="N571" s="7"/>
      <c r="O571" s="23"/>
      <c r="P571" s="6"/>
      <c r="Q571" s="6"/>
      <c r="R571" s="31"/>
      <c r="S571" s="6"/>
      <c r="T571" s="31"/>
      <c r="U571" s="6"/>
      <c r="V571" s="23"/>
      <c r="W571" s="6"/>
      <c r="X571" s="6"/>
      <c r="Y571" s="5"/>
      <c r="Z571" s="3"/>
      <c r="AA571" s="6">
        <f>H571*I571/100</f>
      </c>
      <c r="AB571" s="6">
        <f>H571*J571/100</f>
      </c>
      <c r="AC571" s="7">
        <f>H571*K571</f>
      </c>
      <c r="AD571" s="7">
        <f>H571*M571</f>
      </c>
      <c r="AE571" s="6">
        <f>H571*L571/100</f>
      </c>
      <c r="AF571" s="6">
        <f>AA571+AB571+AE571</f>
      </c>
      <c r="AG571" s="6">
        <f>I571+J571+L571</f>
      </c>
      <c r="AH571" s="53">
        <f>$H571*I571</f>
      </c>
      <c r="AI571" s="53">
        <f>$H571*J571</f>
      </c>
      <c r="AJ571" s="53">
        <f>$H571*K571</f>
      </c>
      <c r="AK571" s="53">
        <f>$H571*L571</f>
      </c>
      <c r="AL571" s="53">
        <f>$H571*M571</f>
      </c>
      <c r="AM571" s="3"/>
      <c r="AN571" s="5"/>
      <c r="AO571" s="5"/>
      <c r="AP571" s="5"/>
      <c r="AQ571" s="3"/>
    </row>
    <row x14ac:dyDescent="0.25" r="572" customHeight="1" ht="12.75">
      <c r="A572" s="5" t="s">
        <v>182</v>
      </c>
      <c r="B572" s="3" t="s">
        <v>1123</v>
      </c>
      <c r="C572" s="3" t="s">
        <v>1081</v>
      </c>
      <c r="D572" s="3"/>
      <c r="E572" s="3" t="s">
        <v>855</v>
      </c>
      <c r="F572" s="3" t="s">
        <v>1593</v>
      </c>
      <c r="G572" s="3" t="s">
        <v>1181</v>
      </c>
      <c r="H572" s="6">
        <f>2.66+1.4+1.1</f>
      </c>
      <c r="I572" s="6">
        <f>(4.87*2.66+2.3*1.4+1*1.1)/$H572</f>
      </c>
      <c r="J572" s="6">
        <f>(11.1*2.66+7.1*1.4+4*1.1)/$H572</f>
      </c>
      <c r="K572" s="7">
        <f>(81.2*2.66+43*1.4+100*1.1)/$H572</f>
      </c>
      <c r="L572" s="6">
        <f>(1.16*2.66+1.2*1.4+0.9*1.1)/$H572</f>
      </c>
      <c r="M572" s="7">
        <f>(2.2*2.66+0.7*1.4+0.9*1.1)/$H572</f>
      </c>
      <c r="N572" s="7"/>
      <c r="O572" s="23"/>
      <c r="P572" s="6"/>
      <c r="Q572" s="6"/>
      <c r="R572" s="31"/>
      <c r="S572" s="6"/>
      <c r="T572" s="31"/>
      <c r="U572" s="6"/>
      <c r="V572" s="23"/>
      <c r="W572" s="6"/>
      <c r="X572" s="6"/>
      <c r="Y572" s="5"/>
      <c r="Z572" s="3"/>
      <c r="AA572" s="6">
        <f>H572*I572/100</f>
      </c>
      <c r="AB572" s="6">
        <f>H572*J572/100</f>
      </c>
      <c r="AC572" s="7">
        <f>H572*K572</f>
      </c>
      <c r="AD572" s="7">
        <f>H572*M572</f>
      </c>
      <c r="AE572" s="6">
        <f>H572*L572/100</f>
      </c>
      <c r="AF572" s="6">
        <f>AA572+AB572+AE572</f>
      </c>
      <c r="AG572" s="6">
        <f>I572+J572+L572</f>
      </c>
      <c r="AH572" s="53">
        <f>$H572*I572</f>
      </c>
      <c r="AI572" s="53">
        <f>$H572*J572</f>
      </c>
      <c r="AJ572" s="53">
        <f>$H572*K572</f>
      </c>
      <c r="AK572" s="53">
        <f>$H572*L572</f>
      </c>
      <c r="AL572" s="53">
        <f>$H572*M572</f>
      </c>
      <c r="AM572" s="3"/>
      <c r="AN572" s="5"/>
      <c r="AO572" s="5"/>
      <c r="AP572" s="5"/>
      <c r="AQ572" s="3"/>
    </row>
    <row x14ac:dyDescent="0.25" r="573" customHeight="1" ht="12.75">
      <c r="A573" s="5" t="s">
        <v>260</v>
      </c>
      <c r="B573" s="3" t="s">
        <v>1123</v>
      </c>
      <c r="C573" s="3" t="s">
        <v>870</v>
      </c>
      <c r="D573" s="3"/>
      <c r="E573" s="3" t="s">
        <v>855</v>
      </c>
      <c r="F573" s="3" t="s">
        <v>1593</v>
      </c>
      <c r="G573" s="3" t="s">
        <v>1181</v>
      </c>
      <c r="H573" s="6">
        <f>19+16+6.4</f>
      </c>
      <c r="I573" s="6">
        <f>(0.66*19+0.5*16+0.5*6.4)/$H573</f>
      </c>
      <c r="J573" s="6">
        <f>(1.44*19+1.3*16+1*6.4)/$H573</f>
      </c>
      <c r="K573" s="7">
        <f>(22.8*19+25*16+22*6.4)/$H573</f>
      </c>
      <c r="L573" s="7">
        <f>(0.76*19+0.7*16+1*6.4)/$H573</f>
      </c>
      <c r="M573" s="7">
        <f>(1.9*19+1.7*16+2*6.4)/$H573</f>
      </c>
      <c r="N573" s="7"/>
      <c r="O573" s="23"/>
      <c r="P573" s="6"/>
      <c r="Q573" s="6"/>
      <c r="R573" s="31"/>
      <c r="S573" s="6"/>
      <c r="T573" s="31"/>
      <c r="U573" s="6"/>
      <c r="V573" s="23"/>
      <c r="W573" s="6"/>
      <c r="X573" s="6"/>
      <c r="Y573" s="5"/>
      <c r="Z573" s="3"/>
      <c r="AA573" s="6">
        <f>H573*I573/100</f>
      </c>
      <c r="AB573" s="6">
        <f>H573*J573/100</f>
      </c>
      <c r="AC573" s="7">
        <f>H573*K573</f>
      </c>
      <c r="AD573" s="7">
        <f>H573*M573</f>
      </c>
      <c r="AE573" s="6">
        <f>H573*L573/100</f>
      </c>
      <c r="AF573" s="6">
        <f>AA573+AB573+AE573</f>
      </c>
      <c r="AG573" s="6">
        <f>I573+J573+L573</f>
      </c>
      <c r="AH573" s="53">
        <f>$H573*I573</f>
      </c>
      <c r="AI573" s="53">
        <f>$H573*J573</f>
      </c>
      <c r="AJ573" s="53">
        <f>$H573*K573</f>
      </c>
      <c r="AK573" s="53">
        <f>$H573*L573</f>
      </c>
      <c r="AL573" s="53">
        <f>$H573*M573</f>
      </c>
      <c r="AM573" s="3"/>
      <c r="AN573" s="5"/>
      <c r="AO573" s="5"/>
      <c r="AP573" s="5"/>
      <c r="AQ573" s="3"/>
    </row>
    <row x14ac:dyDescent="0.25" r="574" customHeight="1" ht="12.75">
      <c r="A574" s="5" t="s">
        <v>1594</v>
      </c>
      <c r="B574" s="3" t="s">
        <v>1123</v>
      </c>
      <c r="C574" s="3" t="s">
        <v>1081</v>
      </c>
      <c r="D574" s="3" t="s">
        <v>1013</v>
      </c>
      <c r="E574" s="16" t="s">
        <v>1595</v>
      </c>
      <c r="F574" s="3" t="s">
        <v>1593</v>
      </c>
      <c r="G574" s="3" t="s">
        <v>1181</v>
      </c>
      <c r="H574" s="7">
        <v>2</v>
      </c>
      <c r="I574" s="6"/>
      <c r="J574" s="5">
        <v>22</v>
      </c>
      <c r="K574" s="5"/>
      <c r="L574" s="6"/>
      <c r="M574" s="6"/>
      <c r="N574" s="7"/>
      <c r="O574" s="23"/>
      <c r="P574" s="6"/>
      <c r="Q574" s="6"/>
      <c r="R574" s="31"/>
      <c r="S574" s="6"/>
      <c r="T574" s="31"/>
      <c r="U574" s="6"/>
      <c r="V574" s="23"/>
      <c r="W574" s="6"/>
      <c r="X574" s="6"/>
      <c r="Y574" s="5"/>
      <c r="Z574" s="3"/>
      <c r="AA574" s="6">
        <f>H574*I574/100</f>
      </c>
      <c r="AB574" s="6">
        <f>H574*J574/100</f>
      </c>
      <c r="AC574" s="7">
        <f>H574*K574</f>
      </c>
      <c r="AD574" s="7">
        <f>H574*M574</f>
      </c>
      <c r="AE574" s="6">
        <f>H574*L574/100</f>
      </c>
      <c r="AF574" s="6">
        <f>AA574+AB574+AE574</f>
      </c>
      <c r="AG574" s="6">
        <f>I574+J574+L574</f>
      </c>
      <c r="AH574" s="53">
        <f>$H574*I574</f>
      </c>
      <c r="AI574" s="53">
        <f>$H574*J574</f>
      </c>
      <c r="AJ574" s="53">
        <f>$H574*K574</f>
      </c>
      <c r="AK574" s="53">
        <f>$H574*L574</f>
      </c>
      <c r="AL574" s="53">
        <f>$H574*M574</f>
      </c>
      <c r="AM574" s="3"/>
      <c r="AN574" s="5"/>
      <c r="AO574" s="5"/>
      <c r="AP574" s="5"/>
      <c r="AQ574" s="3"/>
    </row>
    <row x14ac:dyDescent="0.25" r="575" customHeight="1" ht="12.75">
      <c r="A575" s="5" t="s">
        <v>52</v>
      </c>
      <c r="B575" s="3" t="s">
        <v>1123</v>
      </c>
      <c r="C575" s="3" t="s">
        <v>866</v>
      </c>
      <c r="D575" s="3" t="s">
        <v>988</v>
      </c>
      <c r="E575" s="3" t="s">
        <v>855</v>
      </c>
      <c r="F575" s="3" t="s">
        <v>1596</v>
      </c>
      <c r="G575" s="3" t="s">
        <v>1597</v>
      </c>
      <c r="H575" s="5">
        <f>59+206+9</f>
      </c>
      <c r="I575" s="7">
        <f>(1*59+0.7*206+0.6*9)/$H575</f>
      </c>
      <c r="J575" s="7">
        <f>(3.2*59+3.1*206+2.2*9)/$H575</f>
      </c>
      <c r="K575" s="5"/>
      <c r="L575" s="6"/>
      <c r="M575" s="6"/>
      <c r="N575" s="7"/>
      <c r="O575" s="23"/>
      <c r="P575" s="6"/>
      <c r="Q575" s="6"/>
      <c r="R575" s="31"/>
      <c r="S575" s="6"/>
      <c r="T575" s="31"/>
      <c r="U575" s="6"/>
      <c r="V575" s="23"/>
      <c r="W575" s="6"/>
      <c r="X575" s="6"/>
      <c r="Y575" s="5"/>
      <c r="Z575" s="3"/>
      <c r="AA575" s="6">
        <f>H575*I575/100</f>
      </c>
      <c r="AB575" s="6">
        <f>H575*J575/100</f>
      </c>
      <c r="AC575" s="7">
        <f>H575*K575</f>
      </c>
      <c r="AD575" s="7">
        <f>H575*M575</f>
      </c>
      <c r="AE575" s="6">
        <f>H575*L575/100</f>
      </c>
      <c r="AF575" s="6">
        <f>AA575+AB575+AE575</f>
      </c>
      <c r="AG575" s="6">
        <f>I575+J575+L575</f>
      </c>
      <c r="AH575" s="53">
        <f>$H575*I575</f>
      </c>
      <c r="AI575" s="53">
        <f>$H575*J575</f>
      </c>
      <c r="AJ575" s="53">
        <f>$H575*K575</f>
      </c>
      <c r="AK575" s="53">
        <f>$H575*L575</f>
      </c>
      <c r="AL575" s="53">
        <f>$H575*M575</f>
      </c>
      <c r="AM575" s="3"/>
      <c r="AN575" s="5"/>
      <c r="AO575" s="5"/>
      <c r="AP575" s="5"/>
      <c r="AQ575" s="3"/>
    </row>
    <row x14ac:dyDescent="0.25" r="576" customHeight="1" ht="12.75">
      <c r="A576" s="5" t="s">
        <v>750</v>
      </c>
      <c r="B576" s="3" t="s">
        <v>1123</v>
      </c>
      <c r="C576" s="3" t="s">
        <v>870</v>
      </c>
      <c r="D576" s="3"/>
      <c r="E576" s="3" t="s">
        <v>855</v>
      </c>
      <c r="F576" s="3" t="s">
        <v>1593</v>
      </c>
      <c r="G576" s="3" t="s">
        <v>1181</v>
      </c>
      <c r="H576" s="6">
        <f>1.81+0.94+1.1</f>
      </c>
      <c r="I576" s="6">
        <f>(0.43*1.81+0.4*0.94+0.5*1.1)/$H576</f>
      </c>
      <c r="J576" s="6">
        <f>(2.37*1.81+1.9*0.94+2*1.1)/$H576</f>
      </c>
      <c r="K576" s="7">
        <f>(17.7*1.81+14*0.94+10*1.1)/$H576</f>
      </c>
      <c r="L576" s="7">
        <f>(1.39*1.81+1.1*0.94+1*1.1)/$H576</f>
      </c>
      <c r="M576" s="7">
        <f>(0.54*1.81+0.4*0.94+0.4*1.1)/$H576</f>
      </c>
      <c r="N576" s="7"/>
      <c r="O576" s="23"/>
      <c r="P576" s="6"/>
      <c r="Q576" s="6"/>
      <c r="R576" s="31"/>
      <c r="S576" s="6"/>
      <c r="T576" s="31"/>
      <c r="U576" s="6"/>
      <c r="V576" s="23"/>
      <c r="W576" s="6"/>
      <c r="X576" s="6"/>
      <c r="Y576" s="5"/>
      <c r="Z576" s="3"/>
      <c r="AA576" s="6">
        <f>H576*I576/100</f>
      </c>
      <c r="AB576" s="6">
        <f>H576*J576/100</f>
      </c>
      <c r="AC576" s="7">
        <f>H576*K576</f>
      </c>
      <c r="AD576" s="7">
        <f>H576*M576</f>
      </c>
      <c r="AE576" s="6">
        <f>H576*L576/100</f>
      </c>
      <c r="AF576" s="6">
        <f>AA576+AB576+AE576</f>
      </c>
      <c r="AG576" s="6">
        <f>I576+J576+L576</f>
      </c>
      <c r="AH576" s="53">
        <f>$H576*I576</f>
      </c>
      <c r="AI576" s="53">
        <f>$H576*J576</f>
      </c>
      <c r="AJ576" s="53">
        <f>$H576*K576</f>
      </c>
      <c r="AK576" s="53">
        <f>$H576*L576</f>
      </c>
      <c r="AL576" s="53">
        <f>$H576*M576</f>
      </c>
      <c r="AM576" s="3"/>
      <c r="AN576" s="5"/>
      <c r="AO576" s="5"/>
      <c r="AP576" s="5"/>
      <c r="AQ576" s="3"/>
    </row>
    <row x14ac:dyDescent="0.25" r="577" customHeight="1" ht="12.75">
      <c r="A577" s="5" t="s">
        <v>1051</v>
      </c>
      <c r="B577" s="3" t="s">
        <v>1123</v>
      </c>
      <c r="C577" s="16" t="s">
        <v>1592</v>
      </c>
      <c r="D577" s="3"/>
      <c r="E577" s="16" t="s">
        <v>1247</v>
      </c>
      <c r="F577" s="3" t="s">
        <v>1593</v>
      </c>
      <c r="G577" s="3" t="s">
        <v>1181</v>
      </c>
      <c r="H577" s="6">
        <f>2.9+3.8</f>
      </c>
      <c r="I577" s="6">
        <f>(0.4*2.9+0.3*3.8)/$H577</f>
      </c>
      <c r="J577" s="6">
        <f>(0.7*2.9+0.6*3.8)/$H577</f>
      </c>
      <c r="K577" s="7">
        <f>(12*2.9+11*3.8)/$H577</f>
      </c>
      <c r="L577" s="6">
        <f>(0.03*2.9+0.04*3.8)/$H577</f>
      </c>
      <c r="M577" s="7">
        <f>(1.1*2.9+1*3.8)/$H577</f>
      </c>
      <c r="N577" s="7"/>
      <c r="O577" s="23"/>
      <c r="P577" s="6"/>
      <c r="Q577" s="6"/>
      <c r="R577" s="31"/>
      <c r="S577" s="6"/>
      <c r="T577" s="31"/>
      <c r="U577" s="6"/>
      <c r="V577" s="23"/>
      <c r="W577" s="6"/>
      <c r="X577" s="6"/>
      <c r="Y577" s="5"/>
      <c r="Z577" s="3"/>
      <c r="AA577" s="6">
        <f>H577*I577/100</f>
      </c>
      <c r="AB577" s="6">
        <f>H577*J577/100</f>
      </c>
      <c r="AC577" s="7">
        <f>H577*K577</f>
      </c>
      <c r="AD577" s="7">
        <f>H577*M577</f>
      </c>
      <c r="AE577" s="6">
        <f>H577*L577/100</f>
      </c>
      <c r="AF577" s="6">
        <f>AA577+AB577+AE577</f>
      </c>
      <c r="AG577" s="6">
        <f>I577+J577+L577</f>
      </c>
      <c r="AH577" s="53">
        <f>$H577*I577</f>
      </c>
      <c r="AI577" s="53">
        <f>$H577*J577</f>
      </c>
      <c r="AJ577" s="53">
        <f>$H577*K577</f>
      </c>
      <c r="AK577" s="53">
        <f>$H577*L577</f>
      </c>
      <c r="AL577" s="53">
        <f>$H577*M577</f>
      </c>
      <c r="AM577" s="3"/>
      <c r="AN577" s="5"/>
      <c r="AO577" s="5"/>
      <c r="AP577" s="5"/>
      <c r="AQ577" s="3"/>
    </row>
    <row x14ac:dyDescent="0.25" r="578" customHeight="1" ht="12.75">
      <c r="A578" s="5" t="s">
        <v>474</v>
      </c>
      <c r="B578" s="3" t="s">
        <v>1123</v>
      </c>
      <c r="C578" s="3" t="s">
        <v>866</v>
      </c>
      <c r="D578" s="3" t="s">
        <v>988</v>
      </c>
      <c r="E578" s="3" t="s">
        <v>855</v>
      </c>
      <c r="F578" s="3" t="s">
        <v>1596</v>
      </c>
      <c r="G578" s="3" t="s">
        <v>1597</v>
      </c>
      <c r="H578" s="6">
        <f>7.557+3.583</f>
      </c>
      <c r="I578" s="6">
        <f>(2.46*7.557+2.13*3.583)/$H578</f>
      </c>
      <c r="J578" s="6">
        <f>(4.78*7.557+4.55*3.583)/$H578</f>
      </c>
      <c r="K578" s="5"/>
      <c r="L578" s="6"/>
      <c r="M578" s="6"/>
      <c r="N578" s="7"/>
      <c r="O578" s="23"/>
      <c r="P578" s="6"/>
      <c r="Q578" s="6"/>
      <c r="R578" s="31"/>
      <c r="S578" s="6"/>
      <c r="T578" s="31"/>
      <c r="U578" s="6"/>
      <c r="V578" s="23"/>
      <c r="W578" s="6"/>
      <c r="X578" s="6"/>
      <c r="Y578" s="5"/>
      <c r="Z578" s="3"/>
      <c r="AA578" s="6">
        <f>H578*I578/100</f>
      </c>
      <c r="AB578" s="6">
        <f>H578*J578/100</f>
      </c>
      <c r="AC578" s="7">
        <f>H578*K578</f>
      </c>
      <c r="AD578" s="7">
        <f>H578*M578</f>
      </c>
      <c r="AE578" s="6">
        <f>H578*L578/100</f>
      </c>
      <c r="AF578" s="6">
        <f>AA578+AB578+AE578</f>
      </c>
      <c r="AG578" s="6">
        <f>I578+J578+L578</f>
      </c>
      <c r="AH578" s="53">
        <f>$H578*I578</f>
      </c>
      <c r="AI578" s="53">
        <f>$H578*J578</f>
      </c>
      <c r="AJ578" s="53">
        <f>$H578*K578</f>
      </c>
      <c r="AK578" s="53">
        <f>$H578*L578</f>
      </c>
      <c r="AL578" s="53">
        <f>$H578*M578</f>
      </c>
      <c r="AM578" s="3"/>
      <c r="AN578" s="5"/>
      <c r="AO578" s="5"/>
      <c r="AP578" s="5"/>
      <c r="AQ578" s="3"/>
    </row>
    <row x14ac:dyDescent="0.25" r="579" customHeight="1" ht="12.75">
      <c r="A579" s="5" t="s">
        <v>413</v>
      </c>
      <c r="B579" s="3" t="s">
        <v>1123</v>
      </c>
      <c r="C579" s="3" t="s">
        <v>870</v>
      </c>
      <c r="D579" s="3"/>
      <c r="E579" s="3" t="s">
        <v>855</v>
      </c>
      <c r="F579" s="3" t="s">
        <v>1593</v>
      </c>
      <c r="G579" s="3" t="s">
        <v>1181</v>
      </c>
      <c r="H579" s="6">
        <f>11.8+5+1</f>
      </c>
      <c r="I579" s="6">
        <f>(1.12*11.8+0.6*5+1*1)/$H579</f>
      </c>
      <c r="J579" s="6">
        <f>(4.94*11.8+3.5*5+4*1)/$H579</f>
      </c>
      <c r="K579" s="7">
        <f>(13.6*11.8+8.3*5+9*1)/$H579</f>
      </c>
      <c r="L579" s="7">
        <f>(0.47*11.8+0.4*5+0.4*1)/$H579</f>
      </c>
      <c r="M579" s="7">
        <f>(0.64*11.8+0.6*5+0.6*1)/$H579</f>
      </c>
      <c r="N579" s="7"/>
      <c r="O579" s="23"/>
      <c r="P579" s="6"/>
      <c r="Q579" s="6"/>
      <c r="R579" s="31"/>
      <c r="S579" s="6"/>
      <c r="T579" s="31"/>
      <c r="U579" s="6"/>
      <c r="V579" s="23"/>
      <c r="W579" s="6"/>
      <c r="X579" s="6"/>
      <c r="Y579" s="5"/>
      <c r="Z579" s="3"/>
      <c r="AA579" s="6">
        <f>H579*I579/100</f>
      </c>
      <c r="AB579" s="6">
        <f>H579*J579/100</f>
      </c>
      <c r="AC579" s="7">
        <f>H579*K579</f>
      </c>
      <c r="AD579" s="7">
        <f>H579*M579</f>
      </c>
      <c r="AE579" s="6">
        <f>H579*L579/100</f>
      </c>
      <c r="AF579" s="6">
        <f>AA579+AB579+AE579</f>
      </c>
      <c r="AG579" s="6">
        <f>I579+J579+L579</f>
      </c>
      <c r="AH579" s="53">
        <f>$H579*I579</f>
      </c>
      <c r="AI579" s="53">
        <f>$H579*J579</f>
      </c>
      <c r="AJ579" s="53">
        <f>$H579*K579</f>
      </c>
      <c r="AK579" s="53">
        <f>$H579*L579</f>
      </c>
      <c r="AL579" s="53">
        <f>$H579*M579</f>
      </c>
      <c r="AM579" s="3"/>
      <c r="AN579" s="5"/>
      <c r="AO579" s="5"/>
      <c r="AP579" s="5"/>
      <c r="AQ579" s="3"/>
    </row>
    <row x14ac:dyDescent="0.25" r="580" customHeight="1" ht="12.75">
      <c r="A580" s="5" t="s">
        <v>1047</v>
      </c>
      <c r="B580" s="3" t="s">
        <v>1123</v>
      </c>
      <c r="C580" s="16" t="s">
        <v>1246</v>
      </c>
      <c r="D580" s="3"/>
      <c r="E580" s="16" t="s">
        <v>1247</v>
      </c>
      <c r="F580" s="3" t="s">
        <v>1593</v>
      </c>
      <c r="G580" s="3" t="s">
        <v>1598</v>
      </c>
      <c r="H580" s="6">
        <v>1.15</v>
      </c>
      <c r="I580" s="6">
        <v>0.44</v>
      </c>
      <c r="J580" s="6">
        <v>2.26</v>
      </c>
      <c r="K580" s="7">
        <v>5.13</v>
      </c>
      <c r="L580" s="7">
        <v>0.23</v>
      </c>
      <c r="M580" s="7">
        <v>0.38</v>
      </c>
      <c r="N580" s="7"/>
      <c r="O580" s="23"/>
      <c r="P580" s="6"/>
      <c r="Q580" s="6"/>
      <c r="R580" s="31"/>
      <c r="S580" s="6"/>
      <c r="T580" s="31"/>
      <c r="U580" s="6"/>
      <c r="V580" s="23"/>
      <c r="W580" s="6"/>
      <c r="X580" s="6"/>
      <c r="Y580" s="5"/>
      <c r="Z580" s="3"/>
      <c r="AA580" s="6">
        <f>H580*I580/100</f>
      </c>
      <c r="AB580" s="6">
        <f>H580*J580/100</f>
      </c>
      <c r="AC580" s="7">
        <f>H580*K580</f>
      </c>
      <c r="AD580" s="7">
        <f>H580*M580</f>
      </c>
      <c r="AE580" s="6">
        <f>H580*L580/100</f>
      </c>
      <c r="AF580" s="6">
        <f>AA580+AB580+AE580</f>
      </c>
      <c r="AG580" s="6">
        <f>I580+J580+L580</f>
      </c>
      <c r="AH580" s="53">
        <f>$H580*I580</f>
      </c>
      <c r="AI580" s="53">
        <f>$H580*J580</f>
      </c>
      <c r="AJ580" s="53">
        <f>$H580*K580</f>
      </c>
      <c r="AK580" s="53">
        <f>$H580*L580</f>
      </c>
      <c r="AL580" s="53">
        <f>$H580*M580</f>
      </c>
      <c r="AM580" s="3"/>
      <c r="AN580" s="5"/>
      <c r="AO580" s="5"/>
      <c r="AP580" s="5"/>
      <c r="AQ580" s="3"/>
    </row>
    <row x14ac:dyDescent="0.25" r="581" customHeight="1" ht="12.75">
      <c r="A581" s="5" t="s">
        <v>324</v>
      </c>
      <c r="B581" s="3" t="s">
        <v>1123</v>
      </c>
      <c r="C581" s="3" t="s">
        <v>866</v>
      </c>
      <c r="D581" s="3"/>
      <c r="E581" s="38" t="s">
        <v>859</v>
      </c>
      <c r="F581" s="3" t="s">
        <v>1171</v>
      </c>
      <c r="G581" s="3" t="s">
        <v>1350</v>
      </c>
      <c r="H581" s="5">
        <v>20</v>
      </c>
      <c r="I581" s="5">
        <v>2</v>
      </c>
      <c r="J581" s="5">
        <v>5</v>
      </c>
      <c r="K581" s="5"/>
      <c r="L581" s="6">
        <v>0.5</v>
      </c>
      <c r="M581" s="6"/>
      <c r="N581" s="7"/>
      <c r="O581" s="23"/>
      <c r="P581" s="6"/>
      <c r="Q581" s="6"/>
      <c r="R581" s="31"/>
      <c r="S581" s="6"/>
      <c r="T581" s="31"/>
      <c r="U581" s="6"/>
      <c r="V581" s="23"/>
      <c r="W581" s="6"/>
      <c r="X581" s="6"/>
      <c r="Y581" s="5"/>
      <c r="Z581" s="3"/>
      <c r="AA581" s="6">
        <f>H581*I581/100</f>
      </c>
      <c r="AB581" s="6">
        <f>H581*J581/100</f>
      </c>
      <c r="AC581" s="7">
        <f>H581*K581</f>
      </c>
      <c r="AD581" s="7">
        <f>H581*M581</f>
      </c>
      <c r="AE581" s="6">
        <f>H581*L581/100</f>
      </c>
      <c r="AF581" s="6">
        <f>AA581+AB581+AE581</f>
      </c>
      <c r="AG581" s="6">
        <f>I581+J581+L581</f>
      </c>
      <c r="AH581" s="53">
        <f>$H581*I581</f>
      </c>
      <c r="AI581" s="53">
        <f>$H581*J581</f>
      </c>
      <c r="AJ581" s="53">
        <f>$H581*K581</f>
      </c>
      <c r="AK581" s="53">
        <f>$H581*L581</f>
      </c>
      <c r="AL581" s="53">
        <f>$H581*M581</f>
      </c>
      <c r="AM581" s="3"/>
      <c r="AN581" s="5"/>
      <c r="AO581" s="5"/>
      <c r="AP581" s="5"/>
      <c r="AQ581" s="3"/>
    </row>
    <row x14ac:dyDescent="0.25" r="582" customHeight="1" ht="12.75">
      <c r="A582" s="5" t="s">
        <v>440</v>
      </c>
      <c r="B582" s="3" t="s">
        <v>1124</v>
      </c>
      <c r="C582" s="3" t="s">
        <v>866</v>
      </c>
      <c r="D582" s="3" t="s">
        <v>988</v>
      </c>
      <c r="E582" s="3" t="s">
        <v>855</v>
      </c>
      <c r="F582" s="3" t="s">
        <v>1599</v>
      </c>
      <c r="G582" s="3" t="s">
        <v>1600</v>
      </c>
      <c r="H582" s="6">
        <v>1.58</v>
      </c>
      <c r="I582" s="6"/>
      <c r="J582" s="6">
        <v>4.5</v>
      </c>
      <c r="K582" s="6">
        <v>33.77</v>
      </c>
      <c r="L582" s="6">
        <v>2.08</v>
      </c>
      <c r="M582" s="6">
        <v>0.56</v>
      </c>
      <c r="N582" s="7"/>
      <c r="O582" s="23"/>
      <c r="P582" s="6"/>
      <c r="Q582" s="6"/>
      <c r="R582" s="31"/>
      <c r="S582" s="6"/>
      <c r="T582" s="31"/>
      <c r="U582" s="6"/>
      <c r="V582" s="23"/>
      <c r="W582" s="6"/>
      <c r="X582" s="6"/>
      <c r="Y582" s="5"/>
      <c r="Z582" s="3"/>
      <c r="AA582" s="6">
        <f>H582*I582/100</f>
      </c>
      <c r="AB582" s="6">
        <f>H582*J582/100</f>
      </c>
      <c r="AC582" s="7">
        <f>H582*K582</f>
      </c>
      <c r="AD582" s="7">
        <f>H582*M582</f>
      </c>
      <c r="AE582" s="6">
        <f>H582*L582/100</f>
      </c>
      <c r="AF582" s="6">
        <f>AA582+AB582+AE582</f>
      </c>
      <c r="AG582" s="6">
        <f>I582+J582+L582</f>
      </c>
      <c r="AH582" s="53">
        <f>$H582*I582</f>
      </c>
      <c r="AI582" s="53">
        <f>$H582*J582</f>
      </c>
      <c r="AJ582" s="53">
        <f>$H582*K582</f>
      </c>
      <c r="AK582" s="53">
        <f>$H582*L582</f>
      </c>
      <c r="AL582" s="53">
        <f>$H582*M582</f>
      </c>
      <c r="AM582" s="3"/>
      <c r="AN582" s="5"/>
      <c r="AO582" s="5"/>
      <c r="AP582" s="5"/>
      <c r="AQ582" s="3"/>
    </row>
    <row x14ac:dyDescent="0.25" r="583" customHeight="1" ht="12.75">
      <c r="A583" s="5" t="s">
        <v>294</v>
      </c>
      <c r="B583" s="3" t="s">
        <v>1125</v>
      </c>
      <c r="C583" s="3" t="s">
        <v>869</v>
      </c>
      <c r="D583" s="3"/>
      <c r="E583" s="38" t="s">
        <v>859</v>
      </c>
      <c r="F583" s="3" t="s">
        <v>1171</v>
      </c>
      <c r="G583" s="3" t="s">
        <v>1601</v>
      </c>
      <c r="H583" s="6">
        <f>(0.2034/(1.14/100))</f>
      </c>
      <c r="I583" s="7">
        <v>4</v>
      </c>
      <c r="J583" s="6">
        <v>4.3</v>
      </c>
      <c r="K583" s="6">
        <v>13.2</v>
      </c>
      <c r="L583" s="6">
        <v>1.14</v>
      </c>
      <c r="M583" s="6">
        <v>1.93</v>
      </c>
      <c r="N583" s="7"/>
      <c r="O583" s="23"/>
      <c r="P583" s="6"/>
      <c r="Q583" s="6"/>
      <c r="R583" s="31"/>
      <c r="S583" s="6"/>
      <c r="T583" s="31"/>
      <c r="U583" s="6"/>
      <c r="V583" s="23"/>
      <c r="W583" s="6"/>
      <c r="X583" s="6"/>
      <c r="Y583" s="5"/>
      <c r="Z583" s="3"/>
      <c r="AA583" s="6">
        <f>H583*I583/100</f>
      </c>
      <c r="AB583" s="6">
        <f>H583*J583/100</f>
      </c>
      <c r="AC583" s="7">
        <f>H583*K583</f>
      </c>
      <c r="AD583" s="7">
        <f>H583*M583</f>
      </c>
      <c r="AE583" s="6">
        <f>H583*L583/100</f>
      </c>
      <c r="AF583" s="6">
        <f>AA583+AB583+AE583</f>
      </c>
      <c r="AG583" s="6">
        <f>I583+J583+L583</f>
      </c>
      <c r="AH583" s="53">
        <f>$H583*I583</f>
      </c>
      <c r="AI583" s="53">
        <f>$H583*J583</f>
      </c>
      <c r="AJ583" s="53">
        <f>$H583*K583</f>
      </c>
      <c r="AK583" s="53">
        <f>$H583*L583</f>
      </c>
      <c r="AL583" s="53">
        <f>$H583*M583</f>
      </c>
      <c r="AM583" s="3"/>
      <c r="AN583" s="5"/>
      <c r="AO583" s="5"/>
      <c r="AP583" s="5"/>
      <c r="AQ583" s="3"/>
    </row>
    <row x14ac:dyDescent="0.25" r="584" customHeight="1" ht="12.75">
      <c r="A584" s="5" t="s">
        <v>743</v>
      </c>
      <c r="B584" s="3" t="s">
        <v>1125</v>
      </c>
      <c r="C584" s="3" t="s">
        <v>1079</v>
      </c>
      <c r="D584" s="3"/>
      <c r="E584" s="3" t="s">
        <v>855</v>
      </c>
      <c r="F584" s="3" t="s">
        <v>1602</v>
      </c>
      <c r="G584" s="3" t="s">
        <v>1415</v>
      </c>
      <c r="H584" s="23">
        <v>1.58223</v>
      </c>
      <c r="I584" s="6">
        <v>0.52</v>
      </c>
      <c r="J584" s="6"/>
      <c r="K584" s="6">
        <v>48.05</v>
      </c>
      <c r="L584" s="6">
        <v>1.49</v>
      </c>
      <c r="M584" s="6"/>
      <c r="N584" s="7"/>
      <c r="O584" s="23"/>
      <c r="P584" s="6"/>
      <c r="Q584" s="6"/>
      <c r="R584" s="31"/>
      <c r="S584" s="6"/>
      <c r="T584" s="31"/>
      <c r="U584" s="6"/>
      <c r="V584" s="23"/>
      <c r="W584" s="6"/>
      <c r="X584" s="6"/>
      <c r="Y584" s="6">
        <v>0.12</v>
      </c>
      <c r="Z584" s="3" t="s">
        <v>980</v>
      </c>
      <c r="AA584" s="6">
        <f>H584*I584/100</f>
      </c>
      <c r="AB584" s="6">
        <f>H584*J584/100</f>
      </c>
      <c r="AC584" s="7">
        <f>H584*K584</f>
      </c>
      <c r="AD584" s="7">
        <f>H584*M584</f>
      </c>
      <c r="AE584" s="6">
        <f>H584*L584/100</f>
      </c>
      <c r="AF584" s="6">
        <f>AA584+AB584+AE584</f>
      </c>
      <c r="AG584" s="6">
        <f>I584+J584+L584</f>
      </c>
      <c r="AH584" s="53">
        <f>$H584*I584</f>
      </c>
      <c r="AI584" s="53">
        <f>$H584*J584</f>
      </c>
      <c r="AJ584" s="53">
        <f>$H584*K584</f>
      </c>
      <c r="AK584" s="53">
        <f>$H584*L584</f>
      </c>
      <c r="AL584" s="53">
        <f>$H584*M584</f>
      </c>
      <c r="AM584" s="3"/>
      <c r="AN584" s="5"/>
      <c r="AO584" s="5"/>
      <c r="AP584" s="5"/>
      <c r="AQ584" s="3"/>
    </row>
    <row x14ac:dyDescent="0.25" r="585" customHeight="1" ht="12.75">
      <c r="A585" s="5" t="s">
        <v>288</v>
      </c>
      <c r="B585" s="3" t="s">
        <v>1126</v>
      </c>
      <c r="C585" s="3" t="s">
        <v>1077</v>
      </c>
      <c r="D585" s="3" t="s">
        <v>994</v>
      </c>
      <c r="E585" s="3" t="s">
        <v>855</v>
      </c>
      <c r="F585" s="3" t="s">
        <v>1603</v>
      </c>
      <c r="G585" s="3" t="s">
        <v>1204</v>
      </c>
      <c r="H585" s="6">
        <v>0.9</v>
      </c>
      <c r="I585" s="6">
        <v>1.9</v>
      </c>
      <c r="J585" s="5">
        <v>9</v>
      </c>
      <c r="K585" s="5"/>
      <c r="L585" s="6"/>
      <c r="M585" s="6"/>
      <c r="N585" s="7"/>
      <c r="O585" s="23"/>
      <c r="P585" s="6"/>
      <c r="Q585" s="6"/>
      <c r="R585" s="31"/>
      <c r="S585" s="6"/>
      <c r="T585" s="31"/>
      <c r="U585" s="6"/>
      <c r="V585" s="23"/>
      <c r="W585" s="6"/>
      <c r="X585" s="6"/>
      <c r="Y585" s="5"/>
      <c r="Z585" s="3"/>
      <c r="AA585" s="6">
        <f>H585*I585/100</f>
      </c>
      <c r="AB585" s="6">
        <f>H585*J585/100</f>
      </c>
      <c r="AC585" s="7">
        <f>H585*K585</f>
      </c>
      <c r="AD585" s="7">
        <f>H585*M585</f>
      </c>
      <c r="AE585" s="6">
        <f>H585*L585/100</f>
      </c>
      <c r="AF585" s="6">
        <f>AA585+AB585+AE585</f>
      </c>
      <c r="AG585" s="6">
        <f>I585+J585+L585</f>
      </c>
      <c r="AH585" s="53">
        <f>$H585*I585</f>
      </c>
      <c r="AI585" s="53">
        <f>$H585*J585</f>
      </c>
      <c r="AJ585" s="53">
        <f>$H585*K585</f>
      </c>
      <c r="AK585" s="53">
        <f>$H585*L585</f>
      </c>
      <c r="AL585" s="53">
        <f>$H585*M585</f>
      </c>
      <c r="AM585" s="3"/>
      <c r="AN585" s="5"/>
      <c r="AO585" s="5"/>
      <c r="AP585" s="5"/>
      <c r="AQ585" s="3"/>
    </row>
    <row x14ac:dyDescent="0.25" r="586" customHeight="1" ht="12.75">
      <c r="A586" s="5" t="s">
        <v>434</v>
      </c>
      <c r="B586" s="3" t="s">
        <v>1126</v>
      </c>
      <c r="C586" s="3" t="s">
        <v>866</v>
      </c>
      <c r="D586" s="3" t="s">
        <v>989</v>
      </c>
      <c r="E586" s="3" t="s">
        <v>855</v>
      </c>
      <c r="F586" s="3" t="s">
        <v>1603</v>
      </c>
      <c r="G586" s="3" t="s">
        <v>1204</v>
      </c>
      <c r="H586" s="6">
        <v>2.1</v>
      </c>
      <c r="I586" s="6">
        <v>1.2</v>
      </c>
      <c r="J586" s="6">
        <v>7.2</v>
      </c>
      <c r="K586" s="5"/>
      <c r="L586" s="6"/>
      <c r="M586" s="6"/>
      <c r="N586" s="7"/>
      <c r="O586" s="23"/>
      <c r="P586" s="6"/>
      <c r="Q586" s="6"/>
      <c r="R586" s="31"/>
      <c r="S586" s="6"/>
      <c r="T586" s="31"/>
      <c r="U586" s="6"/>
      <c r="V586" s="23"/>
      <c r="W586" s="6"/>
      <c r="X586" s="6"/>
      <c r="Y586" s="5"/>
      <c r="Z586" s="3"/>
      <c r="AA586" s="6">
        <f>H586*I586/100</f>
      </c>
      <c r="AB586" s="6">
        <f>H586*J586/100</f>
      </c>
      <c r="AC586" s="7">
        <f>H586*K586</f>
      </c>
      <c r="AD586" s="7">
        <f>H586*M586</f>
      </c>
      <c r="AE586" s="6">
        <f>H586*L586/100</f>
      </c>
      <c r="AF586" s="6">
        <f>AA586+AB586+AE586</f>
      </c>
      <c r="AG586" s="6">
        <f>I586+J586+L586</f>
      </c>
      <c r="AH586" s="53">
        <f>$H586*I586</f>
      </c>
      <c r="AI586" s="53">
        <f>$H586*J586</f>
      </c>
      <c r="AJ586" s="53">
        <f>$H586*K586</f>
      </c>
      <c r="AK586" s="53">
        <f>$H586*L586</f>
      </c>
      <c r="AL586" s="53">
        <f>$H586*M586</f>
      </c>
      <c r="AM586" s="3"/>
      <c r="AN586" s="5"/>
      <c r="AO586" s="5"/>
      <c r="AP586" s="5"/>
      <c r="AQ586" s="3"/>
    </row>
    <row x14ac:dyDescent="0.25" r="587" customHeight="1" ht="12.75">
      <c r="A587" s="5" t="s">
        <v>682</v>
      </c>
      <c r="B587" s="3" t="s">
        <v>1127</v>
      </c>
      <c r="C587" s="3" t="s">
        <v>856</v>
      </c>
      <c r="D587" s="3" t="s">
        <v>935</v>
      </c>
      <c r="E587" s="3" t="s">
        <v>855</v>
      </c>
      <c r="F587" s="3" t="s">
        <v>1604</v>
      </c>
      <c r="G587" s="3" t="s">
        <v>1605</v>
      </c>
      <c r="H587" s="6">
        <v>6.636</v>
      </c>
      <c r="I587" s="6">
        <v>0.438</v>
      </c>
      <c r="J587" s="6">
        <v>2.63</v>
      </c>
      <c r="K587" s="5"/>
      <c r="L587" s="6">
        <v>1.39</v>
      </c>
      <c r="M587" s="6"/>
      <c r="N587" s="7"/>
      <c r="O587" s="23"/>
      <c r="P587" s="6"/>
      <c r="Q587" s="6"/>
      <c r="R587" s="31"/>
      <c r="S587" s="6"/>
      <c r="T587" s="31"/>
      <c r="U587" s="6"/>
      <c r="V587" s="23"/>
      <c r="W587" s="6"/>
      <c r="X587" s="6"/>
      <c r="Y587" s="5"/>
      <c r="Z587" s="3"/>
      <c r="AA587" s="6">
        <f>H587*I587/100</f>
      </c>
      <c r="AB587" s="6">
        <f>H587*J587/100</f>
      </c>
      <c r="AC587" s="7">
        <f>H587*K587</f>
      </c>
      <c r="AD587" s="7">
        <f>H587*M587</f>
      </c>
      <c r="AE587" s="6">
        <f>H587*L587/100</f>
      </c>
      <c r="AF587" s="6">
        <f>AA587+AB587+AE587</f>
      </c>
      <c r="AG587" s="6">
        <f>I587+J587+L587</f>
      </c>
      <c r="AH587" s="53">
        <f>$H587*I587</f>
      </c>
      <c r="AI587" s="53">
        <f>$H587*J587</f>
      </c>
      <c r="AJ587" s="53">
        <f>$H587*K587</f>
      </c>
      <c r="AK587" s="53">
        <f>$H587*L587</f>
      </c>
      <c r="AL587" s="53">
        <f>$H587*M587</f>
      </c>
      <c r="AM587" s="3"/>
      <c r="AN587" s="5"/>
      <c r="AO587" s="5"/>
      <c r="AP587" s="5"/>
      <c r="AQ587" s="3"/>
    </row>
    <row x14ac:dyDescent="0.25" r="588" customHeight="1" ht="12.75">
      <c r="A588" s="5" t="s">
        <v>82</v>
      </c>
      <c r="B588" s="3" t="s">
        <v>1127</v>
      </c>
      <c r="C588" s="3" t="s">
        <v>987</v>
      </c>
      <c r="D588" s="3"/>
      <c r="E588" s="3" t="s">
        <v>855</v>
      </c>
      <c r="F588" s="3" t="s">
        <v>1606</v>
      </c>
      <c r="G588" s="3" t="s">
        <v>1607</v>
      </c>
      <c r="H588" s="6">
        <f>92.398+432.112+80.175</f>
      </c>
      <c r="I588" s="6"/>
      <c r="J588" s="6">
        <f>(0.44*92.398+0.57*432.112+0.45*80.175)/$H588</f>
      </c>
      <c r="K588" s="6">
        <f>(3.86*92.398+4.07*432.112+3.11*80.175)/$H588</f>
      </c>
      <c r="L588" s="6">
        <f>(0.47*92.398+0.38*432.112+0.38*80.175)/$H588</f>
      </c>
      <c r="M588" s="6">
        <f>(0.05*92.398+0.03*432.112+0.02*80.175)/$H588</f>
      </c>
      <c r="N588" s="7"/>
      <c r="O588" s="23"/>
      <c r="P588" s="6"/>
      <c r="Q588" s="6"/>
      <c r="R588" s="31"/>
      <c r="S588" s="23">
        <f>(0.008*92.398+0.008*432.112+0.007*80.175)/$H588</f>
      </c>
      <c r="T588" s="31"/>
      <c r="U588" s="6"/>
      <c r="V588" s="23"/>
      <c r="W588" s="6"/>
      <c r="X588" s="6"/>
      <c r="Y588" s="5"/>
      <c r="Z588" s="3"/>
      <c r="AA588" s="6">
        <f>H588*I588/100</f>
      </c>
      <c r="AB588" s="6">
        <f>H588*J588/100</f>
      </c>
      <c r="AC588" s="7">
        <f>H588*K588</f>
      </c>
      <c r="AD588" s="7">
        <f>H588*M588</f>
      </c>
      <c r="AE588" s="6">
        <f>H588*L588/100</f>
      </c>
      <c r="AF588" s="6">
        <f>AA588+AB588+AE588</f>
      </c>
      <c r="AG588" s="6">
        <f>I588+J588+L588</f>
      </c>
      <c r="AH588" s="53">
        <f>$H588*I588</f>
      </c>
      <c r="AI588" s="53">
        <f>$H588*J588</f>
      </c>
      <c r="AJ588" s="53">
        <f>$H588*K588</f>
      </c>
      <c r="AK588" s="53">
        <f>$H588*L588</f>
      </c>
      <c r="AL588" s="53">
        <f>$H588*M588</f>
      </c>
      <c r="AM588" s="3"/>
      <c r="AN588" s="5"/>
      <c r="AO588" s="5"/>
      <c r="AP588" s="5"/>
      <c r="AQ588" s="3"/>
    </row>
    <row x14ac:dyDescent="0.25" r="589" customHeight="1" ht="12.75">
      <c r="A589" s="5" t="s">
        <v>606</v>
      </c>
      <c r="B589" s="3" t="s">
        <v>1127</v>
      </c>
      <c r="C589" s="3" t="s">
        <v>869</v>
      </c>
      <c r="D589" s="3"/>
      <c r="E589" s="3" t="s">
        <v>855</v>
      </c>
      <c r="F589" s="3" t="s">
        <v>1608</v>
      </c>
      <c r="G589" s="3" t="s">
        <v>1325</v>
      </c>
      <c r="H589" s="6">
        <f>10.62+0.43</f>
      </c>
      <c r="I589" s="6">
        <f>(2*10.62+1.73*0.43)/$H589</f>
      </c>
      <c r="J589" s="6">
        <f>(2.13*10.62+1.44*0.43)/$H589</f>
      </c>
      <c r="K589" s="7">
        <f>(53.81*10.62+46.39*0.43)/$H589</f>
      </c>
      <c r="L589" s="6">
        <f>(0.19*10.62+0.18*0.43)/$H589</f>
      </c>
      <c r="M589" s="6"/>
      <c r="N589" s="7"/>
      <c r="O589" s="23"/>
      <c r="P589" s="6"/>
      <c r="Q589" s="6"/>
      <c r="R589" s="31"/>
      <c r="S589" s="6"/>
      <c r="T589" s="31"/>
      <c r="U589" s="6"/>
      <c r="V589" s="23"/>
      <c r="W589" s="6"/>
      <c r="X589" s="6"/>
      <c r="Y589" s="5"/>
      <c r="Z589" s="3"/>
      <c r="AA589" s="6">
        <f>H589*I589/100</f>
      </c>
      <c r="AB589" s="6">
        <f>H589*J589/100</f>
      </c>
      <c r="AC589" s="7">
        <f>H589*K589</f>
      </c>
      <c r="AD589" s="7">
        <f>H589*M589</f>
      </c>
      <c r="AE589" s="6">
        <f>H589*L589/100</f>
      </c>
      <c r="AF589" s="6">
        <f>AA589+AB589+AE589</f>
      </c>
      <c r="AG589" s="6">
        <f>I589+J589+L589</f>
      </c>
      <c r="AH589" s="53">
        <f>$H589*I589</f>
      </c>
      <c r="AI589" s="53">
        <f>$H589*J589</f>
      </c>
      <c r="AJ589" s="53">
        <f>$H589*K589</f>
      </c>
      <c r="AK589" s="53">
        <f>$H589*L589</f>
      </c>
      <c r="AL589" s="53">
        <f>$H589*M589</f>
      </c>
      <c r="AM589" s="3"/>
      <c r="AN589" s="5"/>
      <c r="AO589" s="5"/>
      <c r="AP589" s="5"/>
      <c r="AQ589" s="3"/>
    </row>
    <row x14ac:dyDescent="0.25" r="590" customHeight="1" ht="12.75">
      <c r="A590" s="5" t="s">
        <v>563</v>
      </c>
      <c r="B590" s="3" t="s">
        <v>1127</v>
      </c>
      <c r="C590" s="3" t="s">
        <v>869</v>
      </c>
      <c r="D590" s="3"/>
      <c r="E590" s="3" t="s">
        <v>855</v>
      </c>
      <c r="F590" s="3" t="s">
        <v>1609</v>
      </c>
      <c r="G590" s="3" t="s">
        <v>1204</v>
      </c>
      <c r="H590" s="6">
        <v>6.142</v>
      </c>
      <c r="I590" s="6">
        <v>0.55</v>
      </c>
      <c r="J590" s="6">
        <v>6.11</v>
      </c>
      <c r="K590" s="7">
        <v>40.25</v>
      </c>
      <c r="L590" s="6">
        <v>0.32</v>
      </c>
      <c r="M590" s="6"/>
      <c r="N590" s="7"/>
      <c r="O590" s="23"/>
      <c r="P590" s="6"/>
      <c r="Q590" s="6"/>
      <c r="R590" s="31"/>
      <c r="S590" s="6"/>
      <c r="T590" s="31"/>
      <c r="U590" s="6"/>
      <c r="V590" s="23"/>
      <c r="W590" s="6"/>
      <c r="X590" s="6"/>
      <c r="Y590" s="5"/>
      <c r="Z590" s="3"/>
      <c r="AA590" s="6">
        <f>H590*I590/100</f>
      </c>
      <c r="AB590" s="6">
        <f>H590*J590/100</f>
      </c>
      <c r="AC590" s="7">
        <f>H590*K590</f>
      </c>
      <c r="AD590" s="7">
        <f>H590*M590</f>
      </c>
      <c r="AE590" s="6">
        <f>H590*L590/100</f>
      </c>
      <c r="AF590" s="6">
        <f>AA590+AB590+AE590</f>
      </c>
      <c r="AG590" s="6">
        <f>I590+J590+L590</f>
      </c>
      <c r="AH590" s="53">
        <f>$H590*I590</f>
      </c>
      <c r="AI590" s="53">
        <f>$H590*J590</f>
      </c>
      <c r="AJ590" s="53">
        <f>$H590*K590</f>
      </c>
      <c r="AK590" s="53">
        <f>$H590*L590</f>
      </c>
      <c r="AL590" s="53">
        <f>$H590*M590</f>
      </c>
      <c r="AM590" s="3"/>
      <c r="AN590" s="5"/>
      <c r="AO590" s="5"/>
      <c r="AP590" s="5"/>
      <c r="AQ590" s="3"/>
    </row>
    <row x14ac:dyDescent="0.25" r="591" customHeight="1" ht="12.75">
      <c r="A591" s="5" t="s">
        <v>71</v>
      </c>
      <c r="B591" s="3" t="s">
        <v>1127</v>
      </c>
      <c r="C591" s="3" t="s">
        <v>1023</v>
      </c>
      <c r="D591" s="3"/>
      <c r="E591" s="3" t="s">
        <v>855</v>
      </c>
      <c r="F591" s="3" t="s">
        <v>1610</v>
      </c>
      <c r="G591" s="3" t="s">
        <v>1611</v>
      </c>
      <c r="H591" s="6">
        <f>85.82+178.86+159.85</f>
      </c>
      <c r="I591" s="6"/>
      <c r="J591" s="6">
        <f>(0.5*85.82+0.71*178.86+0.7*159.85)/H591</f>
      </c>
      <c r="K591" s="7"/>
      <c r="L591" s="6">
        <f>(0.82*85.82+0.74*178.86+0.47*159.85)/H591</f>
      </c>
      <c r="M591" s="6"/>
      <c r="N591" s="7"/>
      <c r="O591" s="23"/>
      <c r="P591" s="23">
        <f>(0.074*85.82+0.053*178.86+0.045*159.85)/H591</f>
      </c>
      <c r="Q591" s="6"/>
      <c r="R591" s="31"/>
      <c r="S591" s="6"/>
      <c r="T591" s="31"/>
      <c r="U591" s="6"/>
      <c r="V591" s="23"/>
      <c r="W591" s="6"/>
      <c r="X591" s="6"/>
      <c r="Y591" s="6">
        <f>(3.04*85.82+3.32*178.86+2.93*159.85)/H591</f>
      </c>
      <c r="Z591" s="3" t="s">
        <v>1021</v>
      </c>
      <c r="AA591" s="6">
        <f>H591*I591/100</f>
      </c>
      <c r="AB591" s="6">
        <f>H591*J591/100</f>
      </c>
      <c r="AC591" s="7">
        <f>H591*K591</f>
      </c>
      <c r="AD591" s="7">
        <f>H591*M591</f>
      </c>
      <c r="AE591" s="6">
        <f>H591*L591/100</f>
      </c>
      <c r="AF591" s="6">
        <f>AA591+AB591+AE591</f>
      </c>
      <c r="AG591" s="6">
        <f>I591+J591+L591</f>
      </c>
      <c r="AH591" s="53">
        <f>$H591*I591</f>
      </c>
      <c r="AI591" s="53">
        <f>$H591*J591</f>
      </c>
      <c r="AJ591" s="53">
        <f>$H591*K591</f>
      </c>
      <c r="AK591" s="53">
        <f>$H591*L591</f>
      </c>
      <c r="AL591" s="53">
        <f>$H591*M591</f>
      </c>
      <c r="AM591" s="3"/>
      <c r="AN591" s="5"/>
      <c r="AO591" s="5"/>
      <c r="AP591" s="5"/>
      <c r="AQ591" s="3"/>
    </row>
    <row x14ac:dyDescent="0.25" r="592" customHeight="1" ht="12.75">
      <c r="A592" s="5" t="s">
        <v>473</v>
      </c>
      <c r="B592" s="3" t="s">
        <v>1127</v>
      </c>
      <c r="C592" s="3" t="s">
        <v>869</v>
      </c>
      <c r="D592" s="3"/>
      <c r="E592" s="3" t="s">
        <v>855</v>
      </c>
      <c r="F592" s="3" t="s">
        <v>1612</v>
      </c>
      <c r="G592" s="3" t="s">
        <v>1419</v>
      </c>
      <c r="H592" s="6">
        <f>12.927+12.611+9.12</f>
      </c>
      <c r="I592" s="6"/>
      <c r="J592" s="6">
        <f>(0.76*12.927+0.75*12.611+0.74*9.12)/$H592</f>
      </c>
      <c r="K592" s="7">
        <f>(17.8*12.927+11.9*12.611+15.1*9.12)/$H592</f>
      </c>
      <c r="L592" s="6">
        <f>(0.72*12.927+0.52*12.611+1.27*9.12)/$H592</f>
      </c>
      <c r="M592" s="7">
        <f>(0.2*12.927+0.2*12.611+0.2*9.12)/$H592</f>
      </c>
      <c r="N592" s="7"/>
      <c r="O592" s="23"/>
      <c r="P592" s="6"/>
      <c r="Q592" s="6"/>
      <c r="R592" s="31"/>
      <c r="S592" s="6"/>
      <c r="T592" s="31"/>
      <c r="U592" s="6"/>
      <c r="V592" s="23"/>
      <c r="W592" s="6"/>
      <c r="X592" s="6"/>
      <c r="Y592" s="5"/>
      <c r="Z592" s="3"/>
      <c r="AA592" s="6">
        <f>H592*I592/100</f>
      </c>
      <c r="AB592" s="6">
        <f>H592*J592/100</f>
      </c>
      <c r="AC592" s="7">
        <f>H592*K592</f>
      </c>
      <c r="AD592" s="7">
        <f>H592*M592</f>
      </c>
      <c r="AE592" s="6">
        <f>H592*L592/100</f>
      </c>
      <c r="AF592" s="6">
        <f>AA592+AB592+AE592</f>
      </c>
      <c r="AG592" s="6">
        <f>I592+J592+L592</f>
      </c>
      <c r="AH592" s="53">
        <f>$H592*I592</f>
      </c>
      <c r="AI592" s="53">
        <f>$H592*J592</f>
      </c>
      <c r="AJ592" s="53">
        <f>$H592*K592</f>
      </c>
      <c r="AK592" s="53">
        <f>$H592*L592</f>
      </c>
      <c r="AL592" s="53">
        <f>$H592*M592</f>
      </c>
      <c r="AM592" s="3"/>
      <c r="AN592" s="5"/>
      <c r="AO592" s="5"/>
      <c r="AP592" s="5"/>
      <c r="AQ592" s="3"/>
    </row>
    <row x14ac:dyDescent="0.25" r="593" customHeight="1" ht="12.75">
      <c r="A593" s="5" t="s">
        <v>337</v>
      </c>
      <c r="B593" s="3" t="s">
        <v>1127</v>
      </c>
      <c r="C593" s="3" t="s">
        <v>1079</v>
      </c>
      <c r="D593" s="3"/>
      <c r="E593" s="3" t="s">
        <v>855</v>
      </c>
      <c r="F593" s="3" t="s">
        <v>1613</v>
      </c>
      <c r="G593" s="3" t="s">
        <v>1605</v>
      </c>
      <c r="H593" s="5">
        <v>36</v>
      </c>
      <c r="I593" s="6"/>
      <c r="J593" s="6">
        <v>3.3</v>
      </c>
      <c r="K593" s="5">
        <v>29</v>
      </c>
      <c r="L593" s="6">
        <v>0.69</v>
      </c>
      <c r="M593" s="6"/>
      <c r="N593" s="7"/>
      <c r="O593" s="23"/>
      <c r="P593" s="6"/>
      <c r="Q593" s="6"/>
      <c r="R593" s="31"/>
      <c r="S593" s="6"/>
      <c r="T593" s="31"/>
      <c r="U593" s="6"/>
      <c r="V593" s="23"/>
      <c r="W593" s="6"/>
      <c r="X593" s="6"/>
      <c r="Y593" s="5"/>
      <c r="Z593" s="3"/>
      <c r="AA593" s="6">
        <f>H593*I593/100</f>
      </c>
      <c r="AB593" s="6">
        <f>H593*J593/100</f>
      </c>
      <c r="AC593" s="7">
        <f>H593*K593</f>
      </c>
      <c r="AD593" s="7">
        <f>H593*M593</f>
      </c>
      <c r="AE593" s="6">
        <f>H593*L593/100</f>
      </c>
      <c r="AF593" s="6">
        <f>AA593+AB593+AE593</f>
      </c>
      <c r="AG593" s="6">
        <f>I593+J593+L593</f>
      </c>
      <c r="AH593" s="53">
        <f>$H593*I593</f>
      </c>
      <c r="AI593" s="53">
        <f>$H593*J593</f>
      </c>
      <c r="AJ593" s="53">
        <f>$H593*K593</f>
      </c>
      <c r="AK593" s="53">
        <f>$H593*L593</f>
      </c>
      <c r="AL593" s="53">
        <f>$H593*M593</f>
      </c>
      <c r="AM593" s="3"/>
      <c r="AN593" s="5"/>
      <c r="AO593" s="5"/>
      <c r="AP593" s="5"/>
      <c r="AQ593" s="3"/>
    </row>
    <row x14ac:dyDescent="0.25" r="594" customHeight="1" ht="12.75">
      <c r="A594" s="5" t="s">
        <v>364</v>
      </c>
      <c r="B594" s="3" t="s">
        <v>1127</v>
      </c>
      <c r="C594" s="3" t="s">
        <v>869</v>
      </c>
      <c r="D594" s="3"/>
      <c r="E594" s="3" t="s">
        <v>855</v>
      </c>
      <c r="F594" s="3" t="s">
        <v>1614</v>
      </c>
      <c r="G594" s="3" t="s">
        <v>1204</v>
      </c>
      <c r="H594" s="6">
        <f>182.94+181.04</f>
      </c>
      <c r="I594" s="6">
        <f>(0.08*182.94+0.07*181.04)/$H594</f>
      </c>
      <c r="J594" s="6">
        <f>(0.26*182.94+0.26*181.04)/$H594</f>
      </c>
      <c r="K594" s="7">
        <f>(9.63*182.94+7.25*181.04)/$H594</f>
      </c>
      <c r="L594" s="6"/>
      <c r="M594" s="6"/>
      <c r="N594" s="7"/>
      <c r="O594" s="23"/>
      <c r="P594" s="6"/>
      <c r="Q594" s="6"/>
      <c r="R594" s="31"/>
      <c r="S594" s="6"/>
      <c r="T594" s="31"/>
      <c r="U594" s="6"/>
      <c r="V594" s="23"/>
      <c r="W594" s="6"/>
      <c r="X594" s="6"/>
      <c r="Y594" s="5"/>
      <c r="Z594" s="3"/>
      <c r="AA594" s="6">
        <f>H594*I594/100</f>
      </c>
      <c r="AB594" s="6">
        <f>H594*J594/100</f>
      </c>
      <c r="AC594" s="7">
        <f>H594*K594</f>
      </c>
      <c r="AD594" s="7">
        <f>H594*M594</f>
      </c>
      <c r="AE594" s="6">
        <f>H594*L594/100</f>
      </c>
      <c r="AF594" s="6">
        <f>AA594+AB594+AE594</f>
      </c>
      <c r="AG594" s="6">
        <f>I594+J594+L594</f>
      </c>
      <c r="AH594" s="53">
        <f>$H594*I594</f>
      </c>
      <c r="AI594" s="53">
        <f>$H594*J594</f>
      </c>
      <c r="AJ594" s="53">
        <f>$H594*K594</f>
      </c>
      <c r="AK594" s="53">
        <f>$H594*L594</f>
      </c>
      <c r="AL594" s="53">
        <f>$H594*M594</f>
      </c>
      <c r="AM594" s="3"/>
      <c r="AN594" s="5"/>
      <c r="AO594" s="5"/>
      <c r="AP594" s="5"/>
      <c r="AQ594" s="3"/>
    </row>
    <row x14ac:dyDescent="0.25" r="595" customHeight="1" ht="12.75">
      <c r="A595" s="5" t="s">
        <v>318</v>
      </c>
      <c r="B595" s="3" t="s">
        <v>1127</v>
      </c>
      <c r="C595" s="3" t="s">
        <v>870</v>
      </c>
      <c r="D595" s="3"/>
      <c r="E595" s="3" t="s">
        <v>855</v>
      </c>
      <c r="F595" s="3" t="s">
        <v>1432</v>
      </c>
      <c r="G595" s="3" t="s">
        <v>1181</v>
      </c>
      <c r="H595" s="6">
        <f>10.26+6.7+2.14</f>
      </c>
      <c r="I595" s="6">
        <f>(0.9*10.26+0.84*6.7+0.81*2.14)/$H595</f>
      </c>
      <c r="J595" s="6">
        <f>(4.31*10.26+3.14*6.7+2.44*2.14)/$H595</f>
      </c>
      <c r="K595" s="31">
        <f>(114*10.26+110*6.7+105*2.14)/$H595</f>
      </c>
      <c r="L595" s="6">
        <f>(0.73*10.26+0.71*6.7+0.71*2.14)/$H595</f>
      </c>
      <c r="M595" s="6">
        <f>(1.34*10.26+1.72*6.7+1.88*2.14)/$H595</f>
      </c>
      <c r="N595" s="7"/>
      <c r="O595" s="23"/>
      <c r="P595" s="6"/>
      <c r="Q595" s="6"/>
      <c r="R595" s="31"/>
      <c r="S595" s="6"/>
      <c r="T595" s="31"/>
      <c r="U595" s="6"/>
      <c r="V595" s="23"/>
      <c r="W595" s="6"/>
      <c r="X595" s="6"/>
      <c r="Y595" s="5"/>
      <c r="Z595" s="3"/>
      <c r="AA595" s="6">
        <f>H595*I595/100</f>
      </c>
      <c r="AB595" s="6">
        <f>H595*J595/100</f>
      </c>
      <c r="AC595" s="7">
        <f>H595*K595</f>
      </c>
      <c r="AD595" s="7">
        <f>H595*M595</f>
      </c>
      <c r="AE595" s="6">
        <f>H595*L595/100</f>
      </c>
      <c r="AF595" s="6">
        <f>AA595+AB595+AE595</f>
      </c>
      <c r="AG595" s="6">
        <f>I595+J595+L595</f>
      </c>
      <c r="AH595" s="53">
        <f>$H595*I595</f>
      </c>
      <c r="AI595" s="53">
        <f>$H595*J595</f>
      </c>
      <c r="AJ595" s="53">
        <f>$H595*K595</f>
      </c>
      <c r="AK595" s="53">
        <f>$H595*L595</f>
      </c>
      <c r="AL595" s="53">
        <f>$H595*M595</f>
      </c>
      <c r="AM595" s="3"/>
      <c r="AN595" s="5"/>
      <c r="AO595" s="5"/>
      <c r="AP595" s="5"/>
      <c r="AQ595" s="3"/>
    </row>
    <row x14ac:dyDescent="0.25" r="596" customHeight="1" ht="12.75">
      <c r="A596" s="5" t="s">
        <v>813</v>
      </c>
      <c r="B596" s="3" t="s">
        <v>1127</v>
      </c>
      <c r="C596" s="3" t="s">
        <v>870</v>
      </c>
      <c r="D596" s="3"/>
      <c r="E596" s="3" t="s">
        <v>855</v>
      </c>
      <c r="F596" s="3" t="s">
        <v>1615</v>
      </c>
      <c r="G596" s="3" t="s">
        <v>1616</v>
      </c>
      <c r="H596" s="23">
        <f>3.104944+1.807302+0.371066</f>
      </c>
      <c r="I596" s="6">
        <f>(0.33*3.104944+0.36*1.807302+0.28*0.371066)/$H596</f>
      </c>
      <c r="J596" s="6">
        <f>(0.93*3.104944+0.8*1.807302+0.71*0.371066)/$H596</f>
      </c>
      <c r="K596" s="7">
        <f>(46.46*3.104944+44.5*1.807302+36.54*0.371066)/$H596</f>
      </c>
      <c r="L596" s="6">
        <f>(0.06*3.104944+0.07*1.807302+0.06*0.371066)/$H596</f>
      </c>
      <c r="M596" s="6">
        <f>(0.19*3.104944+0.199*1.807302+0.161*0.371066)/$H596</f>
      </c>
      <c r="N596" s="7"/>
      <c r="O596" s="23"/>
      <c r="P596" s="6"/>
      <c r="Q596" s="6"/>
      <c r="R596" s="31"/>
      <c r="S596" s="6"/>
      <c r="T596" s="31"/>
      <c r="U596" s="6"/>
      <c r="V596" s="23"/>
      <c r="W596" s="6"/>
      <c r="X596" s="6"/>
      <c r="Y596" s="5"/>
      <c r="Z596" s="3"/>
      <c r="AA596" s="6">
        <f>H596*I596/100</f>
      </c>
      <c r="AB596" s="6">
        <f>H596*J596/100</f>
      </c>
      <c r="AC596" s="7">
        <f>H596*K596</f>
      </c>
      <c r="AD596" s="7">
        <f>H596*M596</f>
      </c>
      <c r="AE596" s="6">
        <f>H596*L596/100</f>
      </c>
      <c r="AF596" s="6">
        <f>AA596+AB596+AE596</f>
      </c>
      <c r="AG596" s="6">
        <f>I596+J596+L596</f>
      </c>
      <c r="AH596" s="53">
        <f>$H596*I596</f>
      </c>
      <c r="AI596" s="53">
        <f>$H596*J596</f>
      </c>
      <c r="AJ596" s="53">
        <f>$H596*K596</f>
      </c>
      <c r="AK596" s="53">
        <f>$H596*L596</f>
      </c>
      <c r="AL596" s="53">
        <f>$H596*M596</f>
      </c>
      <c r="AM596" s="3"/>
      <c r="AN596" s="5"/>
      <c r="AO596" s="5"/>
      <c r="AP596" s="5"/>
      <c r="AQ596" s="3"/>
    </row>
    <row x14ac:dyDescent="0.25" r="597" customHeight="1" ht="12.75">
      <c r="A597" s="5" t="s">
        <v>697</v>
      </c>
      <c r="B597" s="3" t="s">
        <v>1127</v>
      </c>
      <c r="C597" s="3" t="s">
        <v>856</v>
      </c>
      <c r="D597" s="3" t="s">
        <v>941</v>
      </c>
      <c r="E597" s="3" t="s">
        <v>855</v>
      </c>
      <c r="F597" s="3" t="s">
        <v>1617</v>
      </c>
      <c r="G597" s="3" t="s">
        <v>1458</v>
      </c>
      <c r="H597" s="6">
        <f>1.97+10.38+10.806</f>
      </c>
      <c r="I597" s="6">
        <f>(0.11*1.97+0.2*10.38+0.29*10.806)/$H597</f>
      </c>
      <c r="J597" s="6">
        <f>(0.26*1.97+0.55*10.38+0.82*10.806)/$H597</f>
      </c>
      <c r="K597" s="7">
        <f>(19.99*1.97+13.52*10.38+11.21*10.806)/$H597</f>
      </c>
      <c r="L597" s="6"/>
      <c r="M597" s="6">
        <f>(0.91*1.97+0.53*10.38+0.38*10.806)/$H597</f>
      </c>
      <c r="N597" s="7"/>
      <c r="O597" s="23"/>
      <c r="P597" s="6"/>
      <c r="Q597" s="6"/>
      <c r="R597" s="31"/>
      <c r="S597" s="6"/>
      <c r="T597" s="31"/>
      <c r="U597" s="6"/>
      <c r="V597" s="23"/>
      <c r="W597" s="6"/>
      <c r="X597" s="6"/>
      <c r="Y597" s="5"/>
      <c r="Z597" s="3"/>
      <c r="AA597" s="6">
        <f>H597*I597/100</f>
      </c>
      <c r="AB597" s="6">
        <f>H597*J597/100</f>
      </c>
      <c r="AC597" s="7">
        <f>H597*K597</f>
      </c>
      <c r="AD597" s="7">
        <f>H597*M597</f>
      </c>
      <c r="AE597" s="6">
        <f>H597*L597/100</f>
      </c>
      <c r="AF597" s="6">
        <f>AA597+AB597+AE597</f>
      </c>
      <c r="AG597" s="6">
        <f>I597+J597+L597</f>
      </c>
      <c r="AH597" s="53">
        <f>$H597*I597</f>
      </c>
      <c r="AI597" s="53">
        <f>$H597*J597</f>
      </c>
      <c r="AJ597" s="53">
        <f>$H597*K597</f>
      </c>
      <c r="AK597" s="53">
        <f>$H597*L597</f>
      </c>
      <c r="AL597" s="53">
        <f>$H597*M597</f>
      </c>
      <c r="AM597" s="3"/>
      <c r="AN597" s="5"/>
      <c r="AO597" s="5"/>
      <c r="AP597" s="5"/>
      <c r="AQ597" s="3"/>
    </row>
    <row x14ac:dyDescent="0.25" r="598" customHeight="1" ht="12.75">
      <c r="A598" s="5" t="s">
        <v>491</v>
      </c>
      <c r="B598" s="3" t="s">
        <v>1127</v>
      </c>
      <c r="C598" s="3" t="s">
        <v>856</v>
      </c>
      <c r="D598" s="3"/>
      <c r="E598" s="3" t="s">
        <v>855</v>
      </c>
      <c r="F598" s="3" t="s">
        <v>1613</v>
      </c>
      <c r="G598" s="3" t="s">
        <v>1605</v>
      </c>
      <c r="H598" s="5">
        <v>16</v>
      </c>
      <c r="I598" s="6">
        <v>0.36</v>
      </c>
      <c r="J598" s="6">
        <v>3.08</v>
      </c>
      <c r="K598" s="5">
        <v>95</v>
      </c>
      <c r="L598" s="6">
        <v>0.69</v>
      </c>
      <c r="M598" s="6"/>
      <c r="N598" s="7"/>
      <c r="O598" s="23"/>
      <c r="P598" s="6"/>
      <c r="Q598" s="6"/>
      <c r="R598" s="31"/>
      <c r="S598" s="6"/>
      <c r="T598" s="31"/>
      <c r="U598" s="6"/>
      <c r="V598" s="23"/>
      <c r="W598" s="6"/>
      <c r="X598" s="6"/>
      <c r="Y598" s="5"/>
      <c r="Z598" s="3"/>
      <c r="AA598" s="6">
        <f>H598*I598/100</f>
      </c>
      <c r="AB598" s="6">
        <f>H598*J598/100</f>
      </c>
      <c r="AC598" s="7">
        <f>H598*K598</f>
      </c>
      <c r="AD598" s="7">
        <f>H598*M598</f>
      </c>
      <c r="AE598" s="6">
        <f>H598*L598/100</f>
      </c>
      <c r="AF598" s="6">
        <f>AA598+AB598+AE598</f>
      </c>
      <c r="AG598" s="6">
        <f>I598+J598+L598</f>
      </c>
      <c r="AH598" s="53">
        <f>$H598*I598</f>
      </c>
      <c r="AI598" s="53">
        <f>$H598*J598</f>
      </c>
      <c r="AJ598" s="53">
        <f>$H598*K598</f>
      </c>
      <c r="AK598" s="53">
        <f>$H598*L598</f>
      </c>
      <c r="AL598" s="53">
        <f>$H598*M598</f>
      </c>
      <c r="AM598" s="3"/>
      <c r="AN598" s="5"/>
      <c r="AO598" s="5"/>
      <c r="AP598" s="5"/>
      <c r="AQ598" s="3"/>
    </row>
    <row x14ac:dyDescent="0.25" r="599" customHeight="1" ht="12.75">
      <c r="A599" s="5" t="s">
        <v>517</v>
      </c>
      <c r="B599" s="3" t="s">
        <v>1127</v>
      </c>
      <c r="C599" s="3" t="s">
        <v>856</v>
      </c>
      <c r="D599" s="3"/>
      <c r="E599" s="3" t="s">
        <v>855</v>
      </c>
      <c r="F599" s="3" t="s">
        <v>1618</v>
      </c>
      <c r="G599" s="3" t="s">
        <v>1288</v>
      </c>
      <c r="H599" s="6">
        <f>4.429+30.614+22.92</f>
      </c>
      <c r="I599" s="6">
        <f>(0.179*4.429+0.152*30.614+0.133*22.92)/$H599</f>
      </c>
      <c r="J599" s="6">
        <f>(0.277*4.429+0.244*30.614+0.22*22.92)/$H599</f>
      </c>
      <c r="K599" s="7">
        <f>(37.44*4.429+32.77*30.614+28.55*22.92)/$H599</f>
      </c>
      <c r="L599" s="6"/>
      <c r="M599" s="6">
        <f>(0.497*4.429+0.446*30.614+0.478*22.92)/$H599</f>
      </c>
      <c r="N599" s="7"/>
      <c r="O599" s="23"/>
      <c r="P599" s="6"/>
      <c r="Q599" s="6"/>
      <c r="R599" s="31"/>
      <c r="S599" s="6"/>
      <c r="T599" s="31"/>
      <c r="U599" s="6"/>
      <c r="V599" s="23"/>
      <c r="W599" s="6"/>
      <c r="X599" s="6"/>
      <c r="Y599" s="5"/>
      <c r="Z599" s="3"/>
      <c r="AA599" s="6">
        <f>H599*I599/100</f>
      </c>
      <c r="AB599" s="6">
        <f>H599*J599/100</f>
      </c>
      <c r="AC599" s="7">
        <f>H599*K599</f>
      </c>
      <c r="AD599" s="7">
        <f>H599*M599</f>
      </c>
      <c r="AE599" s="6">
        <f>H599*L599/100</f>
      </c>
      <c r="AF599" s="6">
        <f>AA599+AB599+AE599</f>
      </c>
      <c r="AG599" s="6">
        <f>I599+J599+L599</f>
      </c>
      <c r="AH599" s="53">
        <f>$H599*I599</f>
      </c>
      <c r="AI599" s="53">
        <f>$H599*J599</f>
      </c>
      <c r="AJ599" s="53">
        <f>$H599*K599</f>
      </c>
      <c r="AK599" s="53">
        <f>$H599*L599</f>
      </c>
      <c r="AL599" s="53">
        <f>$H599*M599</f>
      </c>
      <c r="AM599" s="3"/>
      <c r="AN599" s="5"/>
      <c r="AO599" s="5"/>
      <c r="AP599" s="5"/>
      <c r="AQ599" s="3"/>
    </row>
    <row x14ac:dyDescent="0.25" r="600" customHeight="1" ht="12.75">
      <c r="A600" s="5" t="s">
        <v>363</v>
      </c>
      <c r="B600" s="3" t="s">
        <v>1127</v>
      </c>
      <c r="C600" s="3" t="s">
        <v>869</v>
      </c>
      <c r="D600" s="3"/>
      <c r="E600" s="3" t="s">
        <v>855</v>
      </c>
      <c r="F600" s="3" t="s">
        <v>1619</v>
      </c>
      <c r="G600" s="3" t="s">
        <v>1620</v>
      </c>
      <c r="H600" s="6">
        <v>14.93</v>
      </c>
      <c r="I600" s="6">
        <v>2.55</v>
      </c>
      <c r="J600" s="6">
        <v>5.77</v>
      </c>
      <c r="K600" s="5">
        <v>117</v>
      </c>
      <c r="L600" s="6"/>
      <c r="M600" s="6">
        <v>0.23</v>
      </c>
      <c r="N600" s="7"/>
      <c r="O600" s="23"/>
      <c r="P600" s="6"/>
      <c r="Q600" s="6"/>
      <c r="R600" s="31"/>
      <c r="S600" s="6"/>
      <c r="T600" s="31"/>
      <c r="U600" s="6"/>
      <c r="V600" s="23"/>
      <c r="W600" s="6"/>
      <c r="X600" s="6"/>
      <c r="Y600" s="5"/>
      <c r="Z600" s="3"/>
      <c r="AA600" s="6">
        <f>H600*I600/100</f>
      </c>
      <c r="AB600" s="6">
        <f>H600*J600/100</f>
      </c>
      <c r="AC600" s="7">
        <f>H600*K600</f>
      </c>
      <c r="AD600" s="7">
        <f>H600*M600</f>
      </c>
      <c r="AE600" s="6">
        <f>H600*L600/100</f>
      </c>
      <c r="AF600" s="6">
        <f>AA600+AB600+AE600</f>
      </c>
      <c r="AG600" s="6">
        <f>I600+J600+L600</f>
      </c>
      <c r="AH600" s="53">
        <f>$H600*I600</f>
      </c>
      <c r="AI600" s="53">
        <f>$H600*J600</f>
      </c>
      <c r="AJ600" s="53">
        <f>$H600*K600</f>
      </c>
      <c r="AK600" s="53">
        <f>$H600*L600</f>
      </c>
      <c r="AL600" s="53">
        <f>$H600*M600</f>
      </c>
      <c r="AM600" s="3"/>
      <c r="AN600" s="5"/>
      <c r="AO600" s="5"/>
      <c r="AP600" s="5"/>
      <c r="AQ600" s="3"/>
    </row>
    <row x14ac:dyDescent="0.25" r="601" customHeight="1" ht="12.75">
      <c r="A601" s="5" t="s">
        <v>93</v>
      </c>
      <c r="B601" s="3" t="s">
        <v>1127</v>
      </c>
      <c r="C601" s="3" t="s">
        <v>865</v>
      </c>
      <c r="D601" s="3"/>
      <c r="E601" s="3" t="s">
        <v>855</v>
      </c>
      <c r="F601" s="3" t="s">
        <v>1621</v>
      </c>
      <c r="G601" s="3" t="s">
        <v>1622</v>
      </c>
      <c r="H601" s="6">
        <f>848.462+92.158</f>
      </c>
      <c r="I601" s="23">
        <f>(0.254*848.462+0.195*92.158)/$H601</f>
      </c>
      <c r="J601" s="23">
        <f>(0.479*848.462+0.327*92.158)/$H601</f>
      </c>
      <c r="K601" s="7">
        <f>(17.91*848.462+15*92.158)/$H601</f>
      </c>
      <c r="L601" s="6"/>
      <c r="M601" s="23">
        <f>(0.05*848.462+0.029*92.158)/$H601</f>
      </c>
      <c r="N601" s="7"/>
      <c r="O601" s="23"/>
      <c r="P601" s="6"/>
      <c r="Q601" s="6"/>
      <c r="R601" s="31"/>
      <c r="S601" s="6"/>
      <c r="T601" s="31"/>
      <c r="U601" s="6"/>
      <c r="V601" s="23"/>
      <c r="W601" s="6"/>
      <c r="X601" s="6"/>
      <c r="Y601" s="5"/>
      <c r="Z601" s="3"/>
      <c r="AA601" s="6">
        <f>H601*I601/100</f>
      </c>
      <c r="AB601" s="6">
        <f>H601*J601/100</f>
      </c>
      <c r="AC601" s="7">
        <f>H601*K601</f>
      </c>
      <c r="AD601" s="7">
        <f>H601*M601</f>
      </c>
      <c r="AE601" s="6">
        <f>H601*L601/100</f>
      </c>
      <c r="AF601" s="6">
        <f>AA601+AB601+AE601</f>
      </c>
      <c r="AG601" s="6">
        <f>I601+J601+L601</f>
      </c>
      <c r="AH601" s="53">
        <f>$H601*I601</f>
      </c>
      <c r="AI601" s="53">
        <f>$H601*J601</f>
      </c>
      <c r="AJ601" s="53">
        <f>$H601*K601</f>
      </c>
      <c r="AK601" s="53">
        <f>$H601*L601</f>
      </c>
      <c r="AL601" s="53">
        <f>$H601*M601</f>
      </c>
      <c r="AM601" s="3"/>
      <c r="AN601" s="5"/>
      <c r="AO601" s="5"/>
      <c r="AP601" s="5"/>
      <c r="AQ601" s="3"/>
    </row>
    <row x14ac:dyDescent="0.25" r="602" customHeight="1" ht="12.75">
      <c r="A602" s="5" t="s">
        <v>522</v>
      </c>
      <c r="B602" s="3" t="s">
        <v>1127</v>
      </c>
      <c r="C602" s="3" t="s">
        <v>946</v>
      </c>
      <c r="D602" s="3" t="s">
        <v>947</v>
      </c>
      <c r="E602" s="3" t="s">
        <v>855</v>
      </c>
      <c r="F602" s="3" t="s">
        <v>1430</v>
      </c>
      <c r="G602" s="3" t="s">
        <v>1185</v>
      </c>
      <c r="H602" s="6">
        <f>3.29+8.53+3.34+1.15+0.75</f>
      </c>
      <c r="I602" s="6">
        <f>(0.53*3.29+0.16*8.53+0.1*3.34+0.49*1.15+0.77*0.75)/$H602</f>
      </c>
      <c r="J602" s="6">
        <f>(1.44*3.29+0.98*8.53+0.91*3.34+3.64*1.15+3.62*0.75)/$H602</f>
      </c>
      <c r="K602" s="31">
        <f>(65*3.29+43*8.53+36*3.34+49.3*1.15+37.8*0.75)/$H602</f>
      </c>
      <c r="L602" s="6">
        <f>(1.57*3.29+1.43*8.53+1.39*3.34+0.33*1.15+0.13*0.75)/$H602</f>
      </c>
      <c r="M602" s="6"/>
      <c r="N602" s="7"/>
      <c r="O602" s="23"/>
      <c r="P602" s="6"/>
      <c r="Q602" s="6"/>
      <c r="R602" s="31"/>
      <c r="S602" s="6"/>
      <c r="T602" s="31"/>
      <c r="U602" s="6"/>
      <c r="V602" s="23"/>
      <c r="W602" s="6"/>
      <c r="X602" s="6"/>
      <c r="Y602" s="5"/>
      <c r="Z602" s="3"/>
      <c r="AA602" s="6">
        <f>H602*I602/100</f>
      </c>
      <c r="AB602" s="6">
        <f>H602*J602/100</f>
      </c>
      <c r="AC602" s="7">
        <f>H602*K602</f>
      </c>
      <c r="AD602" s="7">
        <f>H602*M602</f>
      </c>
      <c r="AE602" s="6">
        <f>H602*L602/100</f>
      </c>
      <c r="AF602" s="6">
        <f>AA602+AB602+AE602</f>
      </c>
      <c r="AG602" s="6">
        <f>I602+J602+L602</f>
      </c>
      <c r="AH602" s="53">
        <f>$H602*I602</f>
      </c>
      <c r="AI602" s="53">
        <f>$H602*J602</f>
      </c>
      <c r="AJ602" s="53">
        <f>$H602*K602</f>
      </c>
      <c r="AK602" s="53">
        <f>$H602*L602</f>
      </c>
      <c r="AL602" s="53">
        <f>$H602*M602</f>
      </c>
      <c r="AM602" s="3"/>
      <c r="AN602" s="5"/>
      <c r="AO602" s="5"/>
      <c r="AP602" s="5"/>
      <c r="AQ602" s="3"/>
    </row>
    <row x14ac:dyDescent="0.25" r="603" customHeight="1" ht="12.75">
      <c r="A603" s="5" t="s">
        <v>771</v>
      </c>
      <c r="B603" s="3" t="s">
        <v>1127</v>
      </c>
      <c r="C603" s="3" t="s">
        <v>856</v>
      </c>
      <c r="D603" s="3"/>
      <c r="E603" s="3" t="s">
        <v>855</v>
      </c>
      <c r="F603" s="3" t="s">
        <v>1612</v>
      </c>
      <c r="G603" s="3" t="s">
        <v>1480</v>
      </c>
      <c r="H603" s="23">
        <f>1.765954+1.04368+0.782287+0.005314+0.595069+0.424732</f>
      </c>
      <c r="I603" s="6">
        <f>(0.147*1.765954+0.175*1.04368+0.49*0.782287+1.004*0.005314+0.048*0.595069+0.101*0.424732)/$H603</f>
      </c>
      <c r="J603" s="6">
        <f>(0.177*1.765954+0.093*1.04368+0.432*0.782287+1.612*0.005314+0.028*0.595069+0.141*0.424732)/$H603</f>
      </c>
      <c r="K603" s="7">
        <f>(123.08*1.765954+300.256*1.04368+123.513*0.782287+152.158*0.005314+194.76*0.595069+120.258*0.424732)/$H603</f>
      </c>
      <c r="L603" s="6"/>
      <c r="M603" s="23">
        <f>(0.028*1.765954+0.062*1.04368+0.118*0.782287+0.273*0.005314+0.093*0.595069+0.066*0.424732)/$H603</f>
      </c>
      <c r="N603" s="7"/>
      <c r="O603" s="23"/>
      <c r="P603" s="6"/>
      <c r="Q603" s="6"/>
      <c r="R603" s="31"/>
      <c r="S603" s="6"/>
      <c r="T603" s="31"/>
      <c r="U603" s="6"/>
      <c r="V603" s="23"/>
      <c r="W603" s="6"/>
      <c r="X603" s="6"/>
      <c r="Y603" s="5"/>
      <c r="Z603" s="3"/>
      <c r="AA603" s="6">
        <f>H603*I603/100</f>
      </c>
      <c r="AB603" s="6">
        <f>H603*J603/100</f>
      </c>
      <c r="AC603" s="7">
        <f>H603*K603</f>
      </c>
      <c r="AD603" s="7">
        <f>H603*M603</f>
      </c>
      <c r="AE603" s="6">
        <f>H603*L603/100</f>
      </c>
      <c r="AF603" s="6">
        <f>AA603+AB603+AE603</f>
      </c>
      <c r="AG603" s="6">
        <f>I603+J603+L603</f>
      </c>
      <c r="AH603" s="53">
        <f>$H603*I603</f>
      </c>
      <c r="AI603" s="53">
        <f>$H603*J603</f>
      </c>
      <c r="AJ603" s="53">
        <f>$H603*K603</f>
      </c>
      <c r="AK603" s="53">
        <f>$H603*L603</f>
      </c>
      <c r="AL603" s="53">
        <f>$H603*M603</f>
      </c>
      <c r="AM603" s="3"/>
      <c r="AN603" s="5"/>
      <c r="AO603" s="5"/>
      <c r="AP603" s="5"/>
      <c r="AQ603" s="3"/>
    </row>
    <row x14ac:dyDescent="0.25" r="604" customHeight="1" ht="12.75">
      <c r="A604" s="5" t="s">
        <v>410</v>
      </c>
      <c r="B604" s="3" t="s">
        <v>1127</v>
      </c>
      <c r="C604" s="3" t="s">
        <v>869</v>
      </c>
      <c r="D604" s="3"/>
      <c r="E604" s="3" t="s">
        <v>855</v>
      </c>
      <c r="F604" s="3" t="s">
        <v>1623</v>
      </c>
      <c r="G604" s="3" t="s">
        <v>1415</v>
      </c>
      <c r="H604" s="23">
        <f>1.151831+2.890322+1.439486+0.842282+6.886886+4.181904</f>
      </c>
      <c r="I604" s="7">
        <f>(2.2*1.151831+3.9*2.890322+1.6*1.439486+3.6*0.842282+3.3*6.886886+0.2*4.181904)/$H604</f>
      </c>
      <c r="J604" s="7">
        <f>(2.2*1.151831+4*2.890322+1.4*1.439486+2*0.842282+4.6*6.886886+3.1*4.181904)/$H604</f>
      </c>
      <c r="K604" s="31">
        <f>(147*1.151831+219*2.890322+150*1.439486+173*0.842282+172*6.886886+7*4.181904)/$H604</f>
      </c>
      <c r="L604" s="6"/>
      <c r="M604" s="6">
        <f>(0.01*1.151831+0.14*2.890322+0.02*1.439486+0.03*0.842282+0.1*6.886886+0.01*4.181904)/$H604</f>
      </c>
      <c r="N604" s="7"/>
      <c r="O604" s="23"/>
      <c r="P604" s="6"/>
      <c r="Q604" s="6"/>
      <c r="R604" s="31"/>
      <c r="S604" s="6"/>
      <c r="T604" s="31"/>
      <c r="U604" s="6"/>
      <c r="V604" s="23"/>
      <c r="W604" s="6"/>
      <c r="X604" s="6"/>
      <c r="Y604" s="5"/>
      <c r="Z604" s="3"/>
      <c r="AA604" s="6">
        <f>H604*I604/100</f>
      </c>
      <c r="AB604" s="6">
        <f>H604*J604/100</f>
      </c>
      <c r="AC604" s="7">
        <f>H604*K604</f>
      </c>
      <c r="AD604" s="7">
        <f>H604*M604</f>
      </c>
      <c r="AE604" s="6">
        <f>H604*L604/100</f>
      </c>
      <c r="AF604" s="6">
        <f>AA604+AB604+AE604</f>
      </c>
      <c r="AG604" s="6">
        <f>I604+J604+L604</f>
      </c>
      <c r="AH604" s="53">
        <f>$H604*I604</f>
      </c>
      <c r="AI604" s="53">
        <f>$H604*J604</f>
      </c>
      <c r="AJ604" s="53">
        <f>$H604*K604</f>
      </c>
      <c r="AK604" s="53">
        <f>$H604*L604</f>
      </c>
      <c r="AL604" s="53">
        <f>$H604*M604</f>
      </c>
      <c r="AM604" s="3"/>
      <c r="AN604" s="5"/>
      <c r="AO604" s="5"/>
      <c r="AP604" s="5"/>
      <c r="AQ604" s="3"/>
    </row>
    <row x14ac:dyDescent="0.25" r="605" customHeight="1" ht="12.75">
      <c r="A605" s="5" t="s">
        <v>1059</v>
      </c>
      <c r="B605" s="3" t="s">
        <v>1127</v>
      </c>
      <c r="C605" s="16" t="s">
        <v>1624</v>
      </c>
      <c r="D605" s="3"/>
      <c r="E605" s="16" t="s">
        <v>1625</v>
      </c>
      <c r="F605" s="3" t="s">
        <v>1626</v>
      </c>
      <c r="G605" s="3" t="s">
        <v>1627</v>
      </c>
      <c r="H605" s="5">
        <v>1</v>
      </c>
      <c r="I605" s="6"/>
      <c r="J605" s="6">
        <v>2.3</v>
      </c>
      <c r="K605" s="5">
        <v>21</v>
      </c>
      <c r="L605" s="6">
        <v>0.4</v>
      </c>
      <c r="M605" s="6"/>
      <c r="N605" s="7"/>
      <c r="O605" s="23"/>
      <c r="P605" s="6"/>
      <c r="Q605" s="6"/>
      <c r="R605" s="31"/>
      <c r="S605" s="6"/>
      <c r="T605" s="31"/>
      <c r="U605" s="6"/>
      <c r="V605" s="23"/>
      <c r="W605" s="6"/>
      <c r="X605" s="6"/>
      <c r="Y605" s="5"/>
      <c r="Z605" s="3"/>
      <c r="AA605" s="6">
        <f>H605*I605/100</f>
      </c>
      <c r="AB605" s="6">
        <f>H605*J605/100</f>
      </c>
      <c r="AC605" s="7">
        <f>H605*K605</f>
      </c>
      <c r="AD605" s="7">
        <f>H605*M605</f>
      </c>
      <c r="AE605" s="6">
        <f>H605*L605/100</f>
      </c>
      <c r="AF605" s="6">
        <f>AA605+AB605+AE605</f>
      </c>
      <c r="AG605" s="6">
        <f>I605+J605+L605</f>
      </c>
      <c r="AH605" s="53">
        <f>$H605*I605</f>
      </c>
      <c r="AI605" s="53">
        <f>$H605*J605</f>
      </c>
      <c r="AJ605" s="53">
        <f>$H605*K605</f>
      </c>
      <c r="AK605" s="53">
        <f>$H605*L605</f>
      </c>
      <c r="AL605" s="53">
        <f>$H605*M605</f>
      </c>
      <c r="AM605" s="3"/>
      <c r="AN605" s="5"/>
      <c r="AO605" s="5"/>
      <c r="AP605" s="5"/>
      <c r="AQ605" s="3"/>
    </row>
    <row x14ac:dyDescent="0.25" r="606" customHeight="1" ht="12.75">
      <c r="A606" s="5" t="s">
        <v>340</v>
      </c>
      <c r="B606" s="3" t="s">
        <v>1127</v>
      </c>
      <c r="C606" s="3" t="s">
        <v>869</v>
      </c>
      <c r="D606" s="3"/>
      <c r="E606" s="3" t="s">
        <v>855</v>
      </c>
      <c r="F606" s="3" t="s">
        <v>1609</v>
      </c>
      <c r="G606" s="3" t="s">
        <v>1204</v>
      </c>
      <c r="H606" s="6">
        <v>47.225</v>
      </c>
      <c r="I606" s="6">
        <v>0.74</v>
      </c>
      <c r="J606" s="6">
        <v>2.17</v>
      </c>
      <c r="K606" s="7">
        <v>20.73</v>
      </c>
      <c r="L606" s="6">
        <v>0.07</v>
      </c>
      <c r="M606" s="6"/>
      <c r="N606" s="7"/>
      <c r="O606" s="23"/>
      <c r="P606" s="6"/>
      <c r="Q606" s="6"/>
      <c r="R606" s="31"/>
      <c r="S606" s="6"/>
      <c r="T606" s="31"/>
      <c r="U606" s="6"/>
      <c r="V606" s="23"/>
      <c r="W606" s="6"/>
      <c r="X606" s="6"/>
      <c r="Y606" s="5"/>
      <c r="Z606" s="3"/>
      <c r="AA606" s="6">
        <f>H606*I606/100</f>
      </c>
      <c r="AB606" s="6">
        <f>H606*J606/100</f>
      </c>
      <c r="AC606" s="7">
        <f>H606*K606</f>
      </c>
      <c r="AD606" s="7">
        <f>H606*M606</f>
      </c>
      <c r="AE606" s="6">
        <f>H606*L606/100</f>
      </c>
      <c r="AF606" s="6">
        <f>AA606+AB606+AE606</f>
      </c>
      <c r="AG606" s="6">
        <f>I606+J606+L606</f>
      </c>
      <c r="AH606" s="53">
        <f>$H606*I606</f>
      </c>
      <c r="AI606" s="53">
        <f>$H606*J606</f>
      </c>
      <c r="AJ606" s="53">
        <f>$H606*K606</f>
      </c>
      <c r="AK606" s="53">
        <f>$H606*L606</f>
      </c>
      <c r="AL606" s="53">
        <f>$H606*M606</f>
      </c>
      <c r="AM606" s="3"/>
      <c r="AN606" s="5"/>
      <c r="AO606" s="5"/>
      <c r="AP606" s="5"/>
      <c r="AQ606" s="3"/>
    </row>
    <row x14ac:dyDescent="0.25" r="607" customHeight="1" ht="12.75">
      <c r="A607" s="5" t="s">
        <v>446</v>
      </c>
      <c r="B607" s="3" t="s">
        <v>1127</v>
      </c>
      <c r="C607" s="3" t="s">
        <v>856</v>
      </c>
      <c r="D607" s="3" t="s">
        <v>927</v>
      </c>
      <c r="E607" s="3" t="s">
        <v>855</v>
      </c>
      <c r="F607" s="3" t="s">
        <v>1628</v>
      </c>
      <c r="G607" s="3" t="s">
        <v>1204</v>
      </c>
      <c r="H607" s="6">
        <f>8.605+12.664+0.03</f>
      </c>
      <c r="I607" s="6">
        <f>(0.67*8.605+0.47*12.664+0.09*0.03)/$H607</f>
      </c>
      <c r="J607" s="6">
        <f>(1.61*8.605+1.29*12.664+2.1*0.03)/$H607</f>
      </c>
      <c r="K607" s="31">
        <f>(267*8.605+136*12.664+46*0.03)/$H607</f>
      </c>
      <c r="L607" s="6"/>
      <c r="M607" s="6">
        <f>(0.09*8.605+0.06*12.664+0.05*0.03)/$H607</f>
      </c>
      <c r="N607" s="7"/>
      <c r="O607" s="23"/>
      <c r="P607" s="6"/>
      <c r="Q607" s="6"/>
      <c r="R607" s="31"/>
      <c r="S607" s="6"/>
      <c r="T607" s="31"/>
      <c r="U607" s="6"/>
      <c r="V607" s="23"/>
      <c r="W607" s="6"/>
      <c r="X607" s="6"/>
      <c r="Y607" s="5"/>
      <c r="Z607" s="3"/>
      <c r="AA607" s="6">
        <f>H607*I607/100</f>
      </c>
      <c r="AB607" s="6">
        <f>H607*J607/100</f>
      </c>
      <c r="AC607" s="7">
        <f>H607*K607</f>
      </c>
      <c r="AD607" s="7">
        <f>H607*M607</f>
      </c>
      <c r="AE607" s="6">
        <f>H607*L607/100</f>
      </c>
      <c r="AF607" s="6">
        <f>AA607+AB607+AE607</f>
      </c>
      <c r="AG607" s="6">
        <f>I607+J607+L607</f>
      </c>
      <c r="AH607" s="53">
        <f>$H607*I607</f>
      </c>
      <c r="AI607" s="53">
        <f>$H607*J607</f>
      </c>
      <c r="AJ607" s="53">
        <f>$H607*K607</f>
      </c>
      <c r="AK607" s="53">
        <f>$H607*L607</f>
      </c>
      <c r="AL607" s="53">
        <f>$H607*M607</f>
      </c>
      <c r="AM607" s="3"/>
      <c r="AN607" s="5"/>
      <c r="AO607" s="5"/>
      <c r="AP607" s="5"/>
      <c r="AQ607" s="3"/>
    </row>
    <row x14ac:dyDescent="0.25" r="608" customHeight="1" ht="12.75">
      <c r="A608" s="5" t="s">
        <v>315</v>
      </c>
      <c r="B608" s="3" t="s">
        <v>1127</v>
      </c>
      <c r="C608" s="3" t="s">
        <v>856</v>
      </c>
      <c r="D608" s="3"/>
      <c r="E608" s="3" t="s">
        <v>855</v>
      </c>
      <c r="F608" s="3" t="s">
        <v>1629</v>
      </c>
      <c r="G608" s="3" t="s">
        <v>1453</v>
      </c>
      <c r="H608" s="6">
        <f>1.012+3.468</f>
      </c>
      <c r="I608" s="7">
        <f>(1.2*1.012+1.2*3.468)/$H608</f>
      </c>
      <c r="J608" s="7">
        <f>(4.1*1.012+4.1*3.468)/$H608</f>
      </c>
      <c r="K608" s="31">
        <f>(280*1.012+190*3.468)/$H608</f>
      </c>
      <c r="L608" s="6">
        <f>(0.39*1.012+0.3*3.468)/$H608</f>
      </c>
      <c r="M608" s="7">
        <f>(3.2*1.012+1.8*3.468)/$H608</f>
      </c>
      <c r="N608" s="7"/>
      <c r="O608" s="23"/>
      <c r="P608" s="6"/>
      <c r="Q608" s="6"/>
      <c r="R608" s="31"/>
      <c r="S608" s="6"/>
      <c r="T608" s="31"/>
      <c r="U608" s="6"/>
      <c r="V608" s="23"/>
      <c r="W608" s="6"/>
      <c r="X608" s="6"/>
      <c r="Y608" s="5"/>
      <c r="Z608" s="3"/>
      <c r="AA608" s="6">
        <f>H608*I608/100</f>
      </c>
      <c r="AB608" s="6">
        <f>H608*J608/100</f>
      </c>
      <c r="AC608" s="7">
        <f>H608*K608</f>
      </c>
      <c r="AD608" s="7">
        <f>H608*M608</f>
      </c>
      <c r="AE608" s="6">
        <f>H608*L608/100</f>
      </c>
      <c r="AF608" s="6">
        <f>AA608+AB608+AE608</f>
      </c>
      <c r="AG608" s="6">
        <f>I608+J608+L608</f>
      </c>
      <c r="AH608" s="53">
        <f>$H608*I608</f>
      </c>
      <c r="AI608" s="53">
        <f>$H608*J608</f>
      </c>
      <c r="AJ608" s="53">
        <f>$H608*K608</f>
      </c>
      <c r="AK608" s="53">
        <f>$H608*L608</f>
      </c>
      <c r="AL608" s="53">
        <f>$H608*M608</f>
      </c>
      <c r="AM608" s="3"/>
      <c r="AN608" s="5"/>
      <c r="AO608" s="5"/>
      <c r="AP608" s="5"/>
      <c r="AQ608" s="3"/>
    </row>
    <row x14ac:dyDescent="0.25" r="609" customHeight="1" ht="12.75">
      <c r="A609" s="5" t="s">
        <v>449</v>
      </c>
      <c r="B609" s="3" t="s">
        <v>1127</v>
      </c>
      <c r="C609" s="3" t="s">
        <v>856</v>
      </c>
      <c r="D609" s="3" t="s">
        <v>928</v>
      </c>
      <c r="E609" s="3" t="s">
        <v>855</v>
      </c>
      <c r="F609" s="3" t="s">
        <v>1184</v>
      </c>
      <c r="G609" s="3" t="s">
        <v>1185</v>
      </c>
      <c r="H609" s="6">
        <f>2.4+4.1+0.4+1.7+2.9</f>
      </c>
      <c r="I609" s="6">
        <f>(1.35*2.4+1.3*4.1+0.4*0.4+0.51*1.7+1.34*2.9)/$H609</f>
      </c>
      <c r="J609" s="6">
        <f>(2.47*2.4+2.35*4.1+0.65*0.4+0.83*1.7+2.17*2.9)/$H609</f>
      </c>
      <c r="K609" s="31">
        <f>(406*2.4+378*4.1+164*0.4+255*1.7+265*2.9)/$H609</f>
      </c>
      <c r="L609" s="6"/>
      <c r="M609" s="6">
        <f>(0.31*2.4+0.39*4.1+0.15*0.4+0.29*1.7+0.42*2.9)/$H609</f>
      </c>
      <c r="N609" s="7"/>
      <c r="O609" s="23"/>
      <c r="P609" s="6"/>
      <c r="Q609" s="6"/>
      <c r="R609" s="31"/>
      <c r="S609" s="6"/>
      <c r="T609" s="31"/>
      <c r="U609" s="6"/>
      <c r="V609" s="23"/>
      <c r="W609" s="6"/>
      <c r="X609" s="6"/>
      <c r="Y609" s="5"/>
      <c r="Z609" s="3"/>
      <c r="AA609" s="6">
        <f>H609*I609/100</f>
      </c>
      <c r="AB609" s="6">
        <f>H609*J609/100</f>
      </c>
      <c r="AC609" s="7">
        <f>H609*K609</f>
      </c>
      <c r="AD609" s="7">
        <f>H609*M609</f>
      </c>
      <c r="AE609" s="6">
        <f>H609*L609/100</f>
      </c>
      <c r="AF609" s="6">
        <f>AA609+AB609+AE609</f>
      </c>
      <c r="AG609" s="6">
        <f>I609+J609+L609</f>
      </c>
      <c r="AH609" s="53">
        <f>$H609*I609</f>
      </c>
      <c r="AI609" s="53">
        <f>$H609*J609</f>
      </c>
      <c r="AJ609" s="53">
        <f>$H609*K609</f>
      </c>
      <c r="AK609" s="53">
        <f>$H609*L609</f>
      </c>
      <c r="AL609" s="53">
        <f>$H609*M609</f>
      </c>
      <c r="AM609" s="3"/>
      <c r="AN609" s="5"/>
      <c r="AO609" s="5"/>
      <c r="AP609" s="5"/>
      <c r="AQ609" s="3"/>
    </row>
    <row x14ac:dyDescent="0.25" r="610" customHeight="1" ht="12.75">
      <c r="A610" s="5" t="s">
        <v>589</v>
      </c>
      <c r="B610" s="3" t="s">
        <v>1127</v>
      </c>
      <c r="C610" s="3" t="s">
        <v>866</v>
      </c>
      <c r="D610" s="3" t="s">
        <v>989</v>
      </c>
      <c r="E610" s="3" t="s">
        <v>855</v>
      </c>
      <c r="F610" s="3" t="s">
        <v>1623</v>
      </c>
      <c r="G610" s="3" t="s">
        <v>1415</v>
      </c>
      <c r="H610" s="23">
        <f>1.023409+1.030341+3.185423+4.348724</f>
      </c>
      <c r="I610" s="7">
        <f>(2.9*1.023409+2.6*1.030341+1.6*3.185423+1.1*4.348724)/$H610</f>
      </c>
      <c r="J610" s="7">
        <f>(1.6*1.023409+1.2*1.030341+4.4*3.185423+1.5*4.348724)/$H610</f>
      </c>
      <c r="K610" s="31">
        <f>(316*1.023409+269*1.030341+213*3.185423+156*4.348724)/$H610</f>
      </c>
      <c r="L610" s="6"/>
      <c r="M610" s="6"/>
      <c r="N610" s="7"/>
      <c r="O610" s="23"/>
      <c r="P610" s="6"/>
      <c r="Q610" s="6"/>
      <c r="R610" s="31"/>
      <c r="S610" s="6"/>
      <c r="T610" s="31"/>
      <c r="U610" s="6"/>
      <c r="V610" s="23"/>
      <c r="W610" s="6"/>
      <c r="X610" s="6"/>
      <c r="Y610" s="5"/>
      <c r="Z610" s="3"/>
      <c r="AA610" s="6">
        <f>H610*I610/100</f>
      </c>
      <c r="AB610" s="6">
        <f>H610*J610/100</f>
      </c>
      <c r="AC610" s="7">
        <f>H610*K610</f>
      </c>
      <c r="AD610" s="7">
        <f>H610*M610</f>
      </c>
      <c r="AE610" s="6">
        <f>H610*L610/100</f>
      </c>
      <c r="AF610" s="6">
        <f>AA610+AB610+AE610</f>
      </c>
      <c r="AG610" s="6">
        <f>I610+J610+L610</f>
      </c>
      <c r="AH610" s="53">
        <f>$H610*I610</f>
      </c>
      <c r="AI610" s="53">
        <f>$H610*J610</f>
      </c>
      <c r="AJ610" s="53">
        <f>$H610*K610</f>
      </c>
      <c r="AK610" s="53">
        <f>$H610*L610</f>
      </c>
      <c r="AL610" s="53">
        <f>$H610*M610</f>
      </c>
      <c r="AM610" s="3"/>
      <c r="AN610" s="5"/>
      <c r="AO610" s="5"/>
      <c r="AP610" s="5"/>
      <c r="AQ610" s="3"/>
    </row>
    <row x14ac:dyDescent="0.25" r="611" customHeight="1" ht="12.75">
      <c r="A611" s="5" t="s">
        <v>1040</v>
      </c>
      <c r="B611" s="3" t="s">
        <v>1127</v>
      </c>
      <c r="C611" s="3" t="s">
        <v>1086</v>
      </c>
      <c r="D611" s="3" t="s">
        <v>989</v>
      </c>
      <c r="E611" s="16" t="s">
        <v>1247</v>
      </c>
      <c r="F611" s="3" t="s">
        <v>1623</v>
      </c>
      <c r="G611" s="3" t="s">
        <v>1415</v>
      </c>
      <c r="H611" s="23">
        <f>5.304946</f>
      </c>
      <c r="I611" s="7">
        <f>(0.6*5.304946)/$H611</f>
      </c>
      <c r="J611" s="7">
        <f>(0.2*5.304946)/$H611</f>
      </c>
      <c r="K611" s="31">
        <f>(105*5.304946)/$H611</f>
      </c>
      <c r="L611" s="6"/>
      <c r="M611" s="6"/>
      <c r="N611" s="7"/>
      <c r="O611" s="23"/>
      <c r="P611" s="6"/>
      <c r="Q611" s="6"/>
      <c r="R611" s="31"/>
      <c r="S611" s="6"/>
      <c r="T611" s="31"/>
      <c r="U611" s="6"/>
      <c r="V611" s="23"/>
      <c r="W611" s="6"/>
      <c r="X611" s="6"/>
      <c r="Y611" s="5"/>
      <c r="Z611" s="3"/>
      <c r="AA611" s="6">
        <f>H611*I611/100</f>
      </c>
      <c r="AB611" s="6">
        <f>H611*J611/100</f>
      </c>
      <c r="AC611" s="7">
        <f>H611*K611</f>
      </c>
      <c r="AD611" s="7">
        <f>H611*M611</f>
      </c>
      <c r="AE611" s="6">
        <f>H611*L611/100</f>
      </c>
      <c r="AF611" s="6">
        <f>AA611+AB611+AE611</f>
      </c>
      <c r="AG611" s="6">
        <f>I611+J611+L611</f>
      </c>
      <c r="AH611" s="53">
        <f>$H611*I611</f>
      </c>
      <c r="AI611" s="53">
        <f>$H611*J611</f>
      </c>
      <c r="AJ611" s="53">
        <f>$H611*K611</f>
      </c>
      <c r="AK611" s="53">
        <f>$H611*L611</f>
      </c>
      <c r="AL611" s="53">
        <f>$H611*M611</f>
      </c>
      <c r="AM611" s="3"/>
      <c r="AN611" s="5"/>
      <c r="AO611" s="5"/>
      <c r="AP611" s="5"/>
      <c r="AQ611" s="3"/>
    </row>
    <row x14ac:dyDescent="0.25" r="612" customHeight="1" ht="12.75">
      <c r="A612" s="5" t="s">
        <v>603</v>
      </c>
      <c r="B612" s="3" t="s">
        <v>1127</v>
      </c>
      <c r="C612" s="3" t="s">
        <v>856</v>
      </c>
      <c r="D612" s="3"/>
      <c r="E612" s="3" t="s">
        <v>855</v>
      </c>
      <c r="F612" s="3" t="s">
        <v>1623</v>
      </c>
      <c r="G612" s="3" t="s">
        <v>1630</v>
      </c>
      <c r="H612" s="6">
        <f>0.583+0.534</f>
      </c>
      <c r="I612" s="6">
        <f>(0.869*0.583+0.923*0.534)/$H612</f>
      </c>
      <c r="J612" s="6">
        <f>(2.44*0.583+2.62*0.534)/$H612</f>
      </c>
      <c r="K612" s="7">
        <f>(250.5*0.583+224.9*0.534)/$H612</f>
      </c>
      <c r="L612" s="23">
        <f>(0.092*0.583+0.089*0.534)/$H612</f>
      </c>
      <c r="M612" s="6">
        <f>(0.17*0.583+0.178*0.534)/$H612</f>
      </c>
      <c r="N612" s="7"/>
      <c r="O612" s="23"/>
      <c r="P612" s="6"/>
      <c r="Q612" s="6"/>
      <c r="R612" s="31"/>
      <c r="S612" s="6"/>
      <c r="T612" s="31"/>
      <c r="U612" s="6"/>
      <c r="V612" s="23"/>
      <c r="W612" s="6"/>
      <c r="X612" s="6"/>
      <c r="Y612" s="5"/>
      <c r="Z612" s="3"/>
      <c r="AA612" s="6">
        <f>H612*I612/100</f>
      </c>
      <c r="AB612" s="6">
        <f>H612*J612/100</f>
      </c>
      <c r="AC612" s="7">
        <f>H612*K612</f>
      </c>
      <c r="AD612" s="7">
        <f>H612*M612</f>
      </c>
      <c r="AE612" s="6">
        <f>H612*L612/100</f>
      </c>
      <c r="AF612" s="6">
        <f>AA612+AB612+AE612</f>
      </c>
      <c r="AG612" s="6">
        <f>I612+J612+L612</f>
      </c>
      <c r="AH612" s="53">
        <f>$H612*I612</f>
      </c>
      <c r="AI612" s="53">
        <f>$H612*J612</f>
      </c>
      <c r="AJ612" s="53">
        <f>$H612*K612</f>
      </c>
      <c r="AK612" s="53">
        <f>$H612*L612</f>
      </c>
      <c r="AL612" s="53">
        <f>$H612*M612</f>
      </c>
      <c r="AM612" s="3"/>
      <c r="AN612" s="5"/>
      <c r="AO612" s="5"/>
      <c r="AP612" s="5"/>
      <c r="AQ612" s="3"/>
    </row>
    <row x14ac:dyDescent="0.25" r="613" customHeight="1" ht="12.75">
      <c r="A613" s="5" t="s">
        <v>269</v>
      </c>
      <c r="B613" s="3" t="s">
        <v>1127</v>
      </c>
      <c r="C613" s="3" t="s">
        <v>869</v>
      </c>
      <c r="D613" s="3"/>
      <c r="E613" s="3" t="s">
        <v>855</v>
      </c>
      <c r="F613" s="3" t="s">
        <v>1631</v>
      </c>
      <c r="G613" s="3" t="s">
        <v>1419</v>
      </c>
      <c r="H613" s="6">
        <f>11.862+15.159+13.278</f>
      </c>
      <c r="I613" s="6">
        <f>(0.9*11.862+0.92*15.159+0.88*13.278)/$H613</f>
      </c>
      <c r="J613" s="6">
        <f>(2.6*11.862+2.19*15.159+2.14*13.278)/$H613</f>
      </c>
      <c r="K613" s="7">
        <f>(133.42*11.862+130.12*15.159+126.05*13.278)/$H613</f>
      </c>
      <c r="L613" s="6">
        <f>(0.5*11.862+0.41*15.159+0.42*13.278)/$H613</f>
      </c>
      <c r="M613" s="6"/>
      <c r="N613" s="7"/>
      <c r="O613" s="23"/>
      <c r="P613" s="6"/>
      <c r="Q613" s="6"/>
      <c r="R613" s="31"/>
      <c r="S613" s="6"/>
      <c r="T613" s="31"/>
      <c r="U613" s="6"/>
      <c r="V613" s="23"/>
      <c r="W613" s="6"/>
      <c r="X613" s="6"/>
      <c r="Y613" s="5"/>
      <c r="Z613" s="3"/>
      <c r="AA613" s="6">
        <f>H613*I613/100</f>
      </c>
      <c r="AB613" s="6">
        <f>H613*J613/100</f>
      </c>
      <c r="AC613" s="7">
        <f>H613*K613</f>
      </c>
      <c r="AD613" s="7">
        <f>H613*M613</f>
      </c>
      <c r="AE613" s="6">
        <f>H613*L613/100</f>
      </c>
      <c r="AF613" s="6">
        <f>AA613+AB613+AE613</f>
      </c>
      <c r="AG613" s="6">
        <f>I613+J613+L613</f>
      </c>
      <c r="AH613" s="53">
        <f>$H613*I613</f>
      </c>
      <c r="AI613" s="53">
        <f>$H613*J613</f>
      </c>
      <c r="AJ613" s="53">
        <f>$H613*K613</f>
      </c>
      <c r="AK613" s="53">
        <f>$H613*L613</f>
      </c>
      <c r="AL613" s="53">
        <f>$H613*M613</f>
      </c>
      <c r="AM613" s="3"/>
      <c r="AN613" s="5"/>
      <c r="AO613" s="5"/>
      <c r="AP613" s="5"/>
      <c r="AQ613" s="3"/>
    </row>
    <row x14ac:dyDescent="0.25" r="614" customHeight="1" ht="12.75">
      <c r="A614" s="5" t="s">
        <v>479</v>
      </c>
      <c r="B614" s="3" t="s">
        <v>1127</v>
      </c>
      <c r="C614" s="3" t="s">
        <v>869</v>
      </c>
      <c r="D614" s="3"/>
      <c r="E614" s="3" t="s">
        <v>855</v>
      </c>
      <c r="F614" s="3" t="s">
        <v>1623</v>
      </c>
      <c r="G614" s="3" t="s">
        <v>1415</v>
      </c>
      <c r="H614" s="23">
        <f>2.05717+2.134451+1.134326+0.576248+13.254005</f>
      </c>
      <c r="I614" s="7">
        <f>(0.3*2.05717+1.9*2.134451+0.2*1.134326+1.5*0.576248+1.3*13.254005)/$H614</f>
      </c>
      <c r="J614" s="7">
        <f>(0.3*2.05717+2.7*2.134451+0.1*1.134326+1.4*0.576248+1.5*13.254005)/$H614</f>
      </c>
      <c r="K614" s="31">
        <f>(157*2.05717+186*2.134451+123*1.134326+185*0.576248+172*13.254005)/$H614</f>
      </c>
      <c r="L614" s="6"/>
      <c r="M614" s="6">
        <f>(0*2.05717+0*2.134451+0*1.134326+0*0.576248+0.02*13.254005)/$H614</f>
      </c>
      <c r="N614" s="7"/>
      <c r="O614" s="23"/>
      <c r="P614" s="6"/>
      <c r="Q614" s="6"/>
      <c r="R614" s="31"/>
      <c r="S614" s="6"/>
      <c r="T614" s="31"/>
      <c r="U614" s="6"/>
      <c r="V614" s="23"/>
      <c r="W614" s="6"/>
      <c r="X614" s="6"/>
      <c r="Y614" s="5"/>
      <c r="Z614" s="3"/>
      <c r="AA614" s="6">
        <f>H614*I614/100</f>
      </c>
      <c r="AB614" s="6">
        <f>H614*J614/100</f>
      </c>
      <c r="AC614" s="7">
        <f>H614*K614</f>
      </c>
      <c r="AD614" s="7">
        <f>H614*M614</f>
      </c>
      <c r="AE614" s="6">
        <f>H614*L614/100</f>
      </c>
      <c r="AF614" s="6">
        <f>AA614+AB614+AE614</f>
      </c>
      <c r="AG614" s="6">
        <f>I614+J614+L614</f>
      </c>
      <c r="AH614" s="53">
        <f>$H614*I614</f>
      </c>
      <c r="AI614" s="53">
        <f>$H614*J614</f>
      </c>
      <c r="AJ614" s="53">
        <f>$H614*K614</f>
      </c>
      <c r="AK614" s="53">
        <f>$H614*L614</f>
      </c>
      <c r="AL614" s="53">
        <f>$H614*M614</f>
      </c>
      <c r="AM614" s="3"/>
      <c r="AN614" s="5"/>
      <c r="AO614" s="5"/>
      <c r="AP614" s="5"/>
      <c r="AQ614" s="3"/>
    </row>
    <row x14ac:dyDescent="0.25" r="615" customHeight="1" ht="12.75">
      <c r="A615" s="5" t="s">
        <v>379</v>
      </c>
      <c r="B615" s="3" t="s">
        <v>1127</v>
      </c>
      <c r="C615" s="3" t="s">
        <v>856</v>
      </c>
      <c r="D615" s="3"/>
      <c r="E615" s="3" t="s">
        <v>855</v>
      </c>
      <c r="F615" s="3" t="s">
        <v>1632</v>
      </c>
      <c r="G615" s="3" t="s">
        <v>1633</v>
      </c>
      <c r="H615" s="6">
        <f>6.37+19.12</f>
      </c>
      <c r="I615" s="7">
        <f>(1.7*6.37+1.2*19.12)/$H615</f>
      </c>
      <c r="J615" s="7">
        <f>(3.7*6.37+2.4*19.12)/$H615</f>
      </c>
      <c r="K615" s="31">
        <f>(167*6.37+99*19.12)/$H615</f>
      </c>
      <c r="L615" s="7">
        <f>(0.1*6.37+0.1*19.12)/$H615</f>
      </c>
      <c r="M615" s="6">
        <f>(0.27*6.37+0.13*19.12)/$H615</f>
      </c>
      <c r="N615" s="7"/>
      <c r="O615" s="23"/>
      <c r="P615" s="6"/>
      <c r="Q615" s="6"/>
      <c r="R615" s="31"/>
      <c r="S615" s="6"/>
      <c r="T615" s="31"/>
      <c r="U615" s="6"/>
      <c r="V615" s="23"/>
      <c r="W615" s="6"/>
      <c r="X615" s="6"/>
      <c r="Y615" s="5"/>
      <c r="Z615" s="3"/>
      <c r="AA615" s="6">
        <f>H615*I615/100</f>
      </c>
      <c r="AB615" s="6">
        <f>H615*J615/100</f>
      </c>
      <c r="AC615" s="7">
        <f>H615*K615</f>
      </c>
      <c r="AD615" s="7">
        <f>H615*M615</f>
      </c>
      <c r="AE615" s="6">
        <f>H615*L615/100</f>
      </c>
      <c r="AF615" s="6">
        <f>AA615+AB615+AE615</f>
      </c>
      <c r="AG615" s="6">
        <f>I615+J615+L615</f>
      </c>
      <c r="AH615" s="53">
        <f>$H615*I615</f>
      </c>
      <c r="AI615" s="53">
        <f>$H615*J615</f>
      </c>
      <c r="AJ615" s="53">
        <f>$H615*K615</f>
      </c>
      <c r="AK615" s="53">
        <f>$H615*L615</f>
      </c>
      <c r="AL615" s="53">
        <f>$H615*M615</f>
      </c>
      <c r="AM615" s="3"/>
      <c r="AN615" s="5"/>
      <c r="AO615" s="5"/>
      <c r="AP615" s="5"/>
      <c r="AQ615" s="3"/>
    </row>
    <row x14ac:dyDescent="0.25" r="616" customHeight="1" ht="12.75">
      <c r="A616" s="5" t="s">
        <v>852</v>
      </c>
      <c r="B616" s="3" t="s">
        <v>1127</v>
      </c>
      <c r="C616" s="3" t="s">
        <v>869</v>
      </c>
      <c r="D616" s="3"/>
      <c r="E616" s="3" t="s">
        <v>855</v>
      </c>
      <c r="F616" s="3" t="s">
        <v>1634</v>
      </c>
      <c r="G616" s="3" t="s">
        <v>1288</v>
      </c>
      <c r="H616" s="23">
        <f>0.344832+0.834527+0.067557</f>
      </c>
      <c r="I616" s="6"/>
      <c r="J616" s="6">
        <f>(0.179*0.344832+0.153*0.834527+0.088*0.067557)/$H616</f>
      </c>
      <c r="K616" s="7">
        <f>(15.9*0.344832+12.8*0.834527+9.7*0.067557)/$H616</f>
      </c>
      <c r="L616" s="6"/>
      <c r="M616" s="6">
        <f>(0.601*0.344832+0.46*0.834527+0.543*0.067557)/$H616</f>
      </c>
      <c r="N616" s="7"/>
      <c r="O616" s="23"/>
      <c r="P616" s="6"/>
      <c r="Q616" s="6"/>
      <c r="R616" s="31"/>
      <c r="S616" s="6"/>
      <c r="T616" s="31"/>
      <c r="U616" s="6"/>
      <c r="V616" s="23"/>
      <c r="W616" s="6"/>
      <c r="X616" s="6"/>
      <c r="Y616" s="5"/>
      <c r="Z616" s="3"/>
      <c r="AA616" s="6">
        <f>H616*I616/100</f>
      </c>
      <c r="AB616" s="6">
        <f>H616*J616/100</f>
      </c>
      <c r="AC616" s="7">
        <f>H616*K616</f>
      </c>
      <c r="AD616" s="7">
        <f>H616*M616</f>
      </c>
      <c r="AE616" s="6">
        <f>H616*L616/100</f>
      </c>
      <c r="AF616" s="6">
        <f>AA616+AB616+AE616</f>
      </c>
      <c r="AG616" s="6">
        <f>I616+J616+L616</f>
      </c>
      <c r="AH616" s="53">
        <f>$H616*I616</f>
      </c>
      <c r="AI616" s="53">
        <f>$H616*J616</f>
      </c>
      <c r="AJ616" s="53">
        <f>$H616*K616</f>
      </c>
      <c r="AK616" s="53">
        <f>$H616*L616</f>
      </c>
      <c r="AL616" s="53">
        <f>$H616*M616</f>
      </c>
      <c r="AM616" s="3"/>
      <c r="AN616" s="5"/>
      <c r="AO616" s="5"/>
      <c r="AP616" s="5"/>
      <c r="AQ616" s="3"/>
    </row>
    <row x14ac:dyDescent="0.25" r="617" customHeight="1" ht="12.75">
      <c r="A617" s="5" t="s">
        <v>711</v>
      </c>
      <c r="B617" s="3" t="s">
        <v>1127</v>
      </c>
      <c r="C617" s="3" t="s">
        <v>856</v>
      </c>
      <c r="D617" s="3" t="s">
        <v>952</v>
      </c>
      <c r="E617" s="38" t="s">
        <v>859</v>
      </c>
      <c r="F617" s="3" t="s">
        <v>1635</v>
      </c>
      <c r="G617" s="3" t="s">
        <v>1519</v>
      </c>
      <c r="H617" s="7">
        <v>2</v>
      </c>
      <c r="I617" s="6">
        <v>2.2</v>
      </c>
      <c r="J617" s="6">
        <v>2.3</v>
      </c>
      <c r="K617" s="5">
        <v>137</v>
      </c>
      <c r="L617" s="6"/>
      <c r="M617" s="6">
        <v>0.2</v>
      </c>
      <c r="N617" s="7"/>
      <c r="O617" s="23"/>
      <c r="P617" s="6"/>
      <c r="Q617" s="6"/>
      <c r="R617" s="31"/>
      <c r="S617" s="6"/>
      <c r="T617" s="31"/>
      <c r="U617" s="6"/>
      <c r="V617" s="23"/>
      <c r="W617" s="6"/>
      <c r="X617" s="6"/>
      <c r="Y617" s="5"/>
      <c r="Z617" s="3"/>
      <c r="AA617" s="6">
        <f>H617*I617/100</f>
      </c>
      <c r="AB617" s="6">
        <f>H617*J617/100</f>
      </c>
      <c r="AC617" s="7">
        <f>H617*K617</f>
      </c>
      <c r="AD617" s="7">
        <f>H617*M617</f>
      </c>
      <c r="AE617" s="6">
        <f>H617*L617/100</f>
      </c>
      <c r="AF617" s="6">
        <f>AA617+AB617+AE617</f>
      </c>
      <c r="AG617" s="6">
        <f>I617+J617+L617</f>
      </c>
      <c r="AH617" s="53">
        <f>$H617*I617</f>
      </c>
      <c r="AI617" s="53">
        <f>$H617*J617</f>
      </c>
      <c r="AJ617" s="53">
        <f>$H617*K617</f>
      </c>
      <c r="AK617" s="53">
        <f>$H617*L617</f>
      </c>
      <c r="AL617" s="53">
        <f>$H617*M617</f>
      </c>
      <c r="AM617" s="3"/>
      <c r="AN617" s="5"/>
      <c r="AO617" s="5"/>
      <c r="AP617" s="5"/>
      <c r="AQ617" s="3"/>
    </row>
    <row x14ac:dyDescent="0.25" r="618" customHeight="1" ht="12.75">
      <c r="A618" s="5" t="s">
        <v>303</v>
      </c>
      <c r="B618" s="3" t="s">
        <v>1127</v>
      </c>
      <c r="C618" s="3" t="s">
        <v>856</v>
      </c>
      <c r="D618" s="3" t="s">
        <v>928</v>
      </c>
      <c r="E618" s="3" t="s">
        <v>855</v>
      </c>
      <c r="F618" s="3" t="s">
        <v>1628</v>
      </c>
      <c r="G618" s="3" t="s">
        <v>1204</v>
      </c>
      <c r="H618" s="6">
        <f>5.59+16.65+9.51</f>
      </c>
      <c r="I618" s="6">
        <f>(0.85*5.59+0.49*16.65+0.43*9.51)/$H618</f>
      </c>
      <c r="J618" s="6">
        <f>(1.3*5.59+0.83*16.65+0.97*9.51)/$H618</f>
      </c>
      <c r="K618" s="31">
        <f>(125*5.59+144*16.65+146*9.51)/$H618</f>
      </c>
      <c r="L618" s="6"/>
      <c r="M618" s="6">
        <f>(2.66*5.59+1.46*16.65+1.15*9.51)/$H618</f>
      </c>
      <c r="N618" s="7"/>
      <c r="O618" s="23"/>
      <c r="P618" s="6"/>
      <c r="Q618" s="6"/>
      <c r="R618" s="31"/>
      <c r="S618" s="6"/>
      <c r="T618" s="31"/>
      <c r="U618" s="6"/>
      <c r="V618" s="23"/>
      <c r="W618" s="6"/>
      <c r="X618" s="6"/>
      <c r="Y618" s="5"/>
      <c r="Z618" s="3"/>
      <c r="AA618" s="6">
        <f>H618*I618/100</f>
      </c>
      <c r="AB618" s="6">
        <f>H618*J618/100</f>
      </c>
      <c r="AC618" s="7">
        <f>H618*K618</f>
      </c>
      <c r="AD618" s="7">
        <f>H618*M618</f>
      </c>
      <c r="AE618" s="6">
        <f>H618*L618/100</f>
      </c>
      <c r="AF618" s="6">
        <f>AA618+AB618+AE618</f>
      </c>
      <c r="AG618" s="6">
        <f>I618+J618+L618</f>
      </c>
      <c r="AH618" s="53">
        <f>$H618*I618</f>
      </c>
      <c r="AI618" s="53">
        <f>$H618*J618</f>
      </c>
      <c r="AJ618" s="53">
        <f>$H618*K618</f>
      </c>
      <c r="AK618" s="53">
        <f>$H618*L618</f>
      </c>
      <c r="AL618" s="53">
        <f>$H618*M618</f>
      </c>
      <c r="AM618" s="3"/>
      <c r="AN618" s="5"/>
      <c r="AO618" s="5"/>
      <c r="AP618" s="5"/>
      <c r="AQ618" s="3"/>
    </row>
    <row x14ac:dyDescent="0.25" r="619" customHeight="1" ht="12.75">
      <c r="A619" s="5" t="s">
        <v>105</v>
      </c>
      <c r="B619" s="3" t="s">
        <v>1127</v>
      </c>
      <c r="C619" s="3" t="s">
        <v>856</v>
      </c>
      <c r="D619" s="3" t="s">
        <v>928</v>
      </c>
      <c r="E619" s="3" t="s">
        <v>855</v>
      </c>
      <c r="F619" s="3" t="s">
        <v>1628</v>
      </c>
      <c r="G619" s="3" t="s">
        <v>1204</v>
      </c>
      <c r="H619" s="6">
        <f>9.66+26.27+33.56</f>
      </c>
      <c r="I619" s="6">
        <f>(0.83*9.66+1.95*26.27+1.24*33.56)/$H619</f>
      </c>
      <c r="J619" s="6">
        <f>(1.41*9.66+3.68*26.27+2.56*33.56)/$H619</f>
      </c>
      <c r="K619" s="31">
        <f>(657*9.66+307*26.27+312*33.56)/$H619</f>
      </c>
      <c r="L619" s="6"/>
      <c r="M619" s="6">
        <f>(0.78*9.66+0.8*26.27+0.71*33.56)/$H619</f>
      </c>
      <c r="N619" s="7"/>
      <c r="O619" s="23"/>
      <c r="P619" s="6"/>
      <c r="Q619" s="6"/>
      <c r="R619" s="31"/>
      <c r="S619" s="6"/>
      <c r="T619" s="31"/>
      <c r="U619" s="6"/>
      <c r="V619" s="23"/>
      <c r="W619" s="6"/>
      <c r="X619" s="6"/>
      <c r="Y619" s="5"/>
      <c r="Z619" s="3"/>
      <c r="AA619" s="6">
        <f>H619*I619/100</f>
      </c>
      <c r="AB619" s="6">
        <f>H619*J619/100</f>
      </c>
      <c r="AC619" s="7">
        <f>H619*K619</f>
      </c>
      <c r="AD619" s="7">
        <f>H619*M619</f>
      </c>
      <c r="AE619" s="6">
        <f>H619*L619/100</f>
      </c>
      <c r="AF619" s="6">
        <f>AA619+AB619+AE619</f>
      </c>
      <c r="AG619" s="6">
        <f>I619+J619+L619</f>
      </c>
      <c r="AH619" s="53">
        <f>$H619*I619</f>
      </c>
      <c r="AI619" s="53">
        <f>$H619*J619</f>
      </c>
      <c r="AJ619" s="53">
        <f>$H619*K619</f>
      </c>
      <c r="AK619" s="53">
        <f>$H619*L619</f>
      </c>
      <c r="AL619" s="53">
        <f>$H619*M619</f>
      </c>
      <c r="AM619" s="3"/>
      <c r="AN619" s="5"/>
      <c r="AO619" s="5"/>
      <c r="AP619" s="5"/>
      <c r="AQ619" s="3"/>
    </row>
    <row x14ac:dyDescent="0.25" r="620" customHeight="1" ht="12.75">
      <c r="A620" s="5" t="s">
        <v>189</v>
      </c>
      <c r="B620" s="3" t="s">
        <v>1127</v>
      </c>
      <c r="C620" s="3" t="s">
        <v>856</v>
      </c>
      <c r="D620" s="3"/>
      <c r="E620" s="3" t="s">
        <v>855</v>
      </c>
      <c r="F620" s="3" t="s">
        <v>1636</v>
      </c>
      <c r="G620" s="3" t="s">
        <v>1637</v>
      </c>
      <c r="H620" s="6">
        <f>4.816+3.205</f>
      </c>
      <c r="I620" s="6">
        <f>(2.09*4.816+1.66*3.205)/$H620</f>
      </c>
      <c r="J620" s="6">
        <f>(3.97*4.816+2.76*3.205)/$H620</f>
      </c>
      <c r="K620" s="31">
        <f>(516*4.816+343*3.205)/$H620</f>
      </c>
      <c r="L620" s="6"/>
      <c r="M620" s="6">
        <f>(1.91*4.816+1.52*3.205)/$H620</f>
      </c>
      <c r="N620" s="7"/>
      <c r="O620" s="23"/>
      <c r="P620" s="6"/>
      <c r="Q620" s="6"/>
      <c r="R620" s="31"/>
      <c r="S620" s="6"/>
      <c r="T620" s="31"/>
      <c r="U620" s="6"/>
      <c r="V620" s="23"/>
      <c r="W620" s="6"/>
      <c r="X620" s="6"/>
      <c r="Y620" s="5"/>
      <c r="Z620" s="3"/>
      <c r="AA620" s="6">
        <f>H620*I620/100</f>
      </c>
      <c r="AB620" s="6">
        <f>H620*J620/100</f>
      </c>
      <c r="AC620" s="7">
        <f>H620*K620</f>
      </c>
      <c r="AD620" s="7">
        <f>H620*M620</f>
      </c>
      <c r="AE620" s="6">
        <f>H620*L620/100</f>
      </c>
      <c r="AF620" s="6">
        <f>AA620+AB620+AE620</f>
      </c>
      <c r="AG620" s="6">
        <f>I620+J620+L620</f>
      </c>
      <c r="AH620" s="53">
        <f>$H620*I620</f>
      </c>
      <c r="AI620" s="53">
        <f>$H620*J620</f>
      </c>
      <c r="AJ620" s="53">
        <f>$H620*K620</f>
      </c>
      <c r="AK620" s="53">
        <f>$H620*L620</f>
      </c>
      <c r="AL620" s="53">
        <f>$H620*M620</f>
      </c>
      <c r="AM620" s="3"/>
      <c r="AN620" s="5"/>
      <c r="AO620" s="5"/>
      <c r="AP620" s="5"/>
      <c r="AQ620" s="3"/>
    </row>
    <row x14ac:dyDescent="0.25" r="621" customHeight="1" ht="12.75">
      <c r="A621" s="5" t="s">
        <v>609</v>
      </c>
      <c r="B621" s="3" t="s">
        <v>1127</v>
      </c>
      <c r="C621" s="3" t="s">
        <v>1014</v>
      </c>
      <c r="D621" s="3" t="s">
        <v>929</v>
      </c>
      <c r="E621" s="3" t="s">
        <v>855</v>
      </c>
      <c r="F621" s="3" t="s">
        <v>1628</v>
      </c>
      <c r="G621" s="3" t="s">
        <v>1204</v>
      </c>
      <c r="H621" s="6">
        <v>44.25</v>
      </c>
      <c r="I621" s="6">
        <v>0.11</v>
      </c>
      <c r="J621" s="6">
        <v>0.17</v>
      </c>
      <c r="K621" s="5">
        <v>10</v>
      </c>
      <c r="L621" s="6"/>
      <c r="M621" s="6">
        <v>0.68</v>
      </c>
      <c r="N621" s="7"/>
      <c r="O621" s="23"/>
      <c r="P621" s="6"/>
      <c r="Q621" s="6"/>
      <c r="R621" s="31"/>
      <c r="S621" s="6"/>
      <c r="T621" s="31"/>
      <c r="U621" s="6"/>
      <c r="V621" s="23"/>
      <c r="W621" s="6"/>
      <c r="X621" s="6"/>
      <c r="Y621" s="5"/>
      <c r="Z621" s="3"/>
      <c r="AA621" s="6">
        <f>H621*I621/100</f>
      </c>
      <c r="AB621" s="6">
        <f>H621*J621/100</f>
      </c>
      <c r="AC621" s="7">
        <f>H621*K621</f>
      </c>
      <c r="AD621" s="7">
        <f>H621*M621</f>
      </c>
      <c r="AE621" s="6">
        <f>H621*L621/100</f>
      </c>
      <c r="AF621" s="6">
        <f>AA621+AB621+AE621</f>
      </c>
      <c r="AG621" s="6">
        <f>I621+J621+L621</f>
      </c>
      <c r="AH621" s="53">
        <f>$H621*I621</f>
      </c>
      <c r="AI621" s="53">
        <f>$H621*J621</f>
      </c>
      <c r="AJ621" s="53">
        <f>$H621*K621</f>
      </c>
      <c r="AK621" s="53">
        <f>$H621*L621</f>
      </c>
      <c r="AL621" s="53">
        <f>$H621*M621</f>
      </c>
      <c r="AM621" s="3"/>
      <c r="AN621" s="5"/>
      <c r="AO621" s="5"/>
      <c r="AP621" s="5"/>
      <c r="AQ621" s="3"/>
    </row>
    <row x14ac:dyDescent="0.25" r="622" customHeight="1" ht="12.75">
      <c r="A622" s="5" t="s">
        <v>720</v>
      </c>
      <c r="B622" s="3" t="s">
        <v>1127</v>
      </c>
      <c r="C622" s="3" t="s">
        <v>1014</v>
      </c>
      <c r="D622" s="3" t="s">
        <v>929</v>
      </c>
      <c r="E622" s="3" t="s">
        <v>855</v>
      </c>
      <c r="F622" s="3" t="s">
        <v>1628</v>
      </c>
      <c r="G622" s="3" t="s">
        <v>1204</v>
      </c>
      <c r="H622" s="6">
        <v>7.049</v>
      </c>
      <c r="I622" s="6">
        <v>1.46</v>
      </c>
      <c r="J622" s="6">
        <v>1.27</v>
      </c>
      <c r="K622" s="5">
        <v>113</v>
      </c>
      <c r="L622" s="6"/>
      <c r="M622" s="6">
        <v>0.01</v>
      </c>
      <c r="N622" s="7"/>
      <c r="O622" s="23"/>
      <c r="P622" s="6"/>
      <c r="Q622" s="6"/>
      <c r="R622" s="31"/>
      <c r="S622" s="6"/>
      <c r="T622" s="31"/>
      <c r="U622" s="6"/>
      <c r="V622" s="23"/>
      <c r="W622" s="6"/>
      <c r="X622" s="6"/>
      <c r="Y622" s="5"/>
      <c r="Z622" s="3"/>
      <c r="AA622" s="6">
        <f>H622*I622/100</f>
      </c>
      <c r="AB622" s="6">
        <f>H622*J622/100</f>
      </c>
      <c r="AC622" s="7">
        <f>H622*K622</f>
      </c>
      <c r="AD622" s="7">
        <f>H622*M622</f>
      </c>
      <c r="AE622" s="6">
        <f>H622*L622/100</f>
      </c>
      <c r="AF622" s="6">
        <f>AA622+AB622+AE622</f>
      </c>
      <c r="AG622" s="6">
        <f>I622+J622+L622</f>
      </c>
      <c r="AH622" s="53">
        <f>$H622*I622</f>
      </c>
      <c r="AI622" s="53">
        <f>$H622*J622</f>
      </c>
      <c r="AJ622" s="53">
        <f>$H622*K622</f>
      </c>
      <c r="AK622" s="53">
        <f>$H622*L622</f>
      </c>
      <c r="AL622" s="53">
        <f>$H622*M622</f>
      </c>
      <c r="AM622" s="3"/>
      <c r="AN622" s="5"/>
      <c r="AO622" s="5"/>
      <c r="AP622" s="5"/>
      <c r="AQ622" s="3"/>
    </row>
    <row x14ac:dyDescent="0.25" r="623" customHeight="1" ht="12.75">
      <c r="A623" s="5" t="s">
        <v>254</v>
      </c>
      <c r="B623" s="3" t="s">
        <v>1127</v>
      </c>
      <c r="C623" s="3" t="s">
        <v>1014</v>
      </c>
      <c r="D623" s="3" t="s">
        <v>929</v>
      </c>
      <c r="E623" s="3" t="s">
        <v>855</v>
      </c>
      <c r="F623" s="3" t="s">
        <v>1628</v>
      </c>
      <c r="G623" s="3" t="s">
        <v>1204</v>
      </c>
      <c r="H623" s="6">
        <f>128.674+34.042</f>
      </c>
      <c r="I623" s="6">
        <f>(0.27*128.674+0.21*34.042)/$H623</f>
      </c>
      <c r="J623" s="6">
        <f>(0.43*128.674+0.35*34.042)/$H623</f>
      </c>
      <c r="K623" s="31">
        <f>(25*128.674+37*34.042)/$H623</f>
      </c>
      <c r="L623" s="6"/>
      <c r="M623" s="6">
        <f>(0.38*128.674+0.43*34.042)/$H623</f>
      </c>
      <c r="N623" s="7"/>
      <c r="O623" s="23"/>
      <c r="P623" s="6"/>
      <c r="Q623" s="6"/>
      <c r="R623" s="31"/>
      <c r="S623" s="6"/>
      <c r="T623" s="31"/>
      <c r="U623" s="6"/>
      <c r="V623" s="23"/>
      <c r="W623" s="6"/>
      <c r="X623" s="6"/>
      <c r="Y623" s="5"/>
      <c r="Z623" s="3"/>
      <c r="AA623" s="6">
        <f>H623*I623/100</f>
      </c>
      <c r="AB623" s="6">
        <f>H623*J623/100</f>
      </c>
      <c r="AC623" s="7">
        <f>H623*K623</f>
      </c>
      <c r="AD623" s="7">
        <f>H623*M623</f>
      </c>
      <c r="AE623" s="6">
        <f>H623*L623/100</f>
      </c>
      <c r="AF623" s="6">
        <f>AA623+AB623+AE623</f>
      </c>
      <c r="AG623" s="6">
        <f>I623+J623+L623</f>
      </c>
      <c r="AH623" s="53">
        <f>$H623*I623</f>
      </c>
      <c r="AI623" s="53">
        <f>$H623*J623</f>
      </c>
      <c r="AJ623" s="53">
        <f>$H623*K623</f>
      </c>
      <c r="AK623" s="53">
        <f>$H623*L623</f>
      </c>
      <c r="AL623" s="53">
        <f>$H623*M623</f>
      </c>
      <c r="AM623" s="3"/>
      <c r="AN623" s="5"/>
      <c r="AO623" s="5"/>
      <c r="AP623" s="5"/>
      <c r="AQ623" s="3"/>
    </row>
    <row x14ac:dyDescent="0.25" r="624" customHeight="1" ht="12.75">
      <c r="A624" s="5" t="s">
        <v>142</v>
      </c>
      <c r="B624" s="3" t="s">
        <v>1127</v>
      </c>
      <c r="C624" s="3" t="s">
        <v>856</v>
      </c>
      <c r="D624" s="3" t="s">
        <v>927</v>
      </c>
      <c r="E624" s="3" t="s">
        <v>855</v>
      </c>
      <c r="F624" s="3" t="s">
        <v>1628</v>
      </c>
      <c r="G624" s="3" t="s">
        <v>1204</v>
      </c>
      <c r="H624" s="6">
        <f>1.37+9.44+33.58</f>
      </c>
      <c r="I624" s="6">
        <f>(0.72*1.37+2.19*9.44+1.17*33.58)/$H624</f>
      </c>
      <c r="J624" s="6">
        <f>(1.2*1.37+3.68*9.44+2.07*33.58)/$H624</f>
      </c>
      <c r="K624" s="31">
        <f>(523*1.37+435*9.44+336*33.58)/$H624</f>
      </c>
      <c r="L624" s="6"/>
      <c r="M624" s="6">
        <f>(2.88*1.37+2.12*9.44+1.19*33.58)/$H624</f>
      </c>
      <c r="N624" s="7"/>
      <c r="O624" s="23"/>
      <c r="P624" s="6"/>
      <c r="Q624" s="6"/>
      <c r="R624" s="31"/>
      <c r="S624" s="6"/>
      <c r="T624" s="31"/>
      <c r="U624" s="6"/>
      <c r="V624" s="23"/>
      <c r="W624" s="6"/>
      <c r="X624" s="6"/>
      <c r="Y624" s="5"/>
      <c r="Z624" s="3"/>
      <c r="AA624" s="6">
        <f>H624*I624/100</f>
      </c>
      <c r="AB624" s="6">
        <f>H624*J624/100</f>
      </c>
      <c r="AC624" s="7">
        <f>H624*K624</f>
      </c>
      <c r="AD624" s="7">
        <f>H624*M624</f>
      </c>
      <c r="AE624" s="6">
        <f>H624*L624/100</f>
      </c>
      <c r="AF624" s="6">
        <f>AA624+AB624+AE624</f>
      </c>
      <c r="AG624" s="6">
        <f>I624+J624+L624</f>
      </c>
      <c r="AH624" s="53">
        <f>$H624*I624</f>
      </c>
      <c r="AI624" s="53">
        <f>$H624*J624</f>
      </c>
      <c r="AJ624" s="53">
        <f>$H624*K624</f>
      </c>
      <c r="AK624" s="53">
        <f>$H624*L624</f>
      </c>
      <c r="AL624" s="53">
        <f>$H624*M624</f>
      </c>
      <c r="AM624" s="3"/>
      <c r="AN624" s="5"/>
      <c r="AO624" s="5"/>
      <c r="AP624" s="5"/>
      <c r="AQ624" s="3"/>
    </row>
    <row x14ac:dyDescent="0.25" r="625" customHeight="1" ht="12.75">
      <c r="A625" s="5" t="s">
        <v>428</v>
      </c>
      <c r="B625" s="3" t="s">
        <v>1127</v>
      </c>
      <c r="C625" s="3" t="s">
        <v>869</v>
      </c>
      <c r="D625" s="3"/>
      <c r="E625" s="3" t="s">
        <v>855</v>
      </c>
      <c r="F625" s="3" t="s">
        <v>1609</v>
      </c>
      <c r="G625" s="3" t="s">
        <v>1204</v>
      </c>
      <c r="H625" s="6">
        <v>13.536</v>
      </c>
      <c r="I625" s="6">
        <v>2.19</v>
      </c>
      <c r="J625" s="6">
        <v>5.18</v>
      </c>
      <c r="K625" s="7">
        <v>92.96</v>
      </c>
      <c r="L625" s="6">
        <v>0.09</v>
      </c>
      <c r="M625" s="6">
        <v>0.04</v>
      </c>
      <c r="N625" s="7"/>
      <c r="O625" s="23"/>
      <c r="P625" s="6"/>
      <c r="Q625" s="6"/>
      <c r="R625" s="31"/>
      <c r="S625" s="6"/>
      <c r="T625" s="31"/>
      <c r="U625" s="6"/>
      <c r="V625" s="23"/>
      <c r="W625" s="6"/>
      <c r="X625" s="6"/>
      <c r="Y625" s="5"/>
      <c r="Z625" s="3"/>
      <c r="AA625" s="6">
        <f>H625*I625/100</f>
      </c>
      <c r="AB625" s="6">
        <f>H625*J625/100</f>
      </c>
      <c r="AC625" s="7">
        <f>H625*K625</f>
      </c>
      <c r="AD625" s="7">
        <f>H625*M625</f>
      </c>
      <c r="AE625" s="6">
        <f>H625*L625/100</f>
      </c>
      <c r="AF625" s="6">
        <f>AA625+AB625+AE625</f>
      </c>
      <c r="AG625" s="6">
        <f>I625+J625+L625</f>
      </c>
      <c r="AH625" s="53">
        <f>$H625*I625</f>
      </c>
      <c r="AI625" s="53">
        <f>$H625*J625</f>
      </c>
      <c r="AJ625" s="53">
        <f>$H625*K625</f>
      </c>
      <c r="AK625" s="53">
        <f>$H625*L625</f>
      </c>
      <c r="AL625" s="53">
        <f>$H625*M625</f>
      </c>
      <c r="AM625" s="3"/>
      <c r="AN625" s="5"/>
      <c r="AO625" s="5"/>
      <c r="AP625" s="5"/>
      <c r="AQ625" s="3"/>
    </row>
    <row x14ac:dyDescent="0.25" r="626" customHeight="1" ht="12.75">
      <c r="A626" s="5" t="s">
        <v>737</v>
      </c>
      <c r="B626" s="3" t="s">
        <v>1127</v>
      </c>
      <c r="C626" s="3" t="s">
        <v>856</v>
      </c>
      <c r="D626" s="3" t="s">
        <v>930</v>
      </c>
      <c r="E626" s="3" t="s">
        <v>855</v>
      </c>
      <c r="F626" s="3" t="s">
        <v>1638</v>
      </c>
      <c r="G626" s="3" t="s">
        <v>1620</v>
      </c>
      <c r="H626" s="6">
        <v>7.6</v>
      </c>
      <c r="I626" s="6">
        <v>0.88</v>
      </c>
      <c r="J626" s="6">
        <v>1.54</v>
      </c>
      <c r="K626" s="7">
        <v>79</v>
      </c>
      <c r="L626" s="6"/>
      <c r="M626" s="6"/>
      <c r="N626" s="7"/>
      <c r="O626" s="23"/>
      <c r="P626" s="6"/>
      <c r="Q626" s="6"/>
      <c r="R626" s="31"/>
      <c r="S626" s="6"/>
      <c r="T626" s="31"/>
      <c r="U626" s="6"/>
      <c r="V626" s="23"/>
      <c r="W626" s="6"/>
      <c r="X626" s="6"/>
      <c r="Y626" s="5"/>
      <c r="Z626" s="3"/>
      <c r="AA626" s="6">
        <f>H626*I626/100</f>
      </c>
      <c r="AB626" s="6">
        <f>H626*J626/100</f>
      </c>
      <c r="AC626" s="7">
        <f>H626*K626</f>
      </c>
      <c r="AD626" s="7">
        <f>H626*M626</f>
      </c>
      <c r="AE626" s="6">
        <f>H626*L626/100</f>
      </c>
      <c r="AF626" s="6">
        <f>AA626+AB626+AE626</f>
      </c>
      <c r="AG626" s="6">
        <f>I626+J626+L626</f>
      </c>
      <c r="AH626" s="53">
        <f>$H626*I626</f>
      </c>
      <c r="AI626" s="53">
        <f>$H626*J626</f>
      </c>
      <c r="AJ626" s="53">
        <f>$H626*K626</f>
      </c>
      <c r="AK626" s="53">
        <f>$H626*L626</f>
      </c>
      <c r="AL626" s="53">
        <f>$H626*M626</f>
      </c>
      <c r="AM626" s="3"/>
      <c r="AN626" s="5"/>
      <c r="AO626" s="5"/>
      <c r="AP626" s="5"/>
      <c r="AQ626" s="3"/>
    </row>
    <row x14ac:dyDescent="0.25" r="627" customHeight="1" ht="12.75">
      <c r="A627" s="5" t="s">
        <v>764</v>
      </c>
      <c r="B627" s="3" t="s">
        <v>1127</v>
      </c>
      <c r="C627" s="3" t="s">
        <v>869</v>
      </c>
      <c r="D627" s="3"/>
      <c r="E627" s="3" t="s">
        <v>855</v>
      </c>
      <c r="F627" s="3" t="s">
        <v>1639</v>
      </c>
      <c r="G627" s="3" t="s">
        <v>1419</v>
      </c>
      <c r="H627" s="6">
        <f>0.332+2.088+2.025</f>
      </c>
      <c r="I627" s="6">
        <f>(0.98*0.332+0.89*2.088+0.71*2.025)/$H627</f>
      </c>
      <c r="J627" s="6">
        <f>(2.01*0.332+1.7*2.088+1.44*2.025)/$H627</f>
      </c>
      <c r="K627" s="7">
        <f>(92.76*0.332+95.26*2.088+88.98*2.025)/$H627</f>
      </c>
      <c r="L627" s="6">
        <f>(0.24*0.332+0.27*2.088+0.26*2.025)/$H627</f>
      </c>
      <c r="M627" s="6"/>
      <c r="N627" s="7"/>
      <c r="O627" s="23"/>
      <c r="P627" s="6"/>
      <c r="Q627" s="6"/>
      <c r="R627" s="31"/>
      <c r="S627" s="6"/>
      <c r="T627" s="31"/>
      <c r="U627" s="6"/>
      <c r="V627" s="23"/>
      <c r="W627" s="6"/>
      <c r="X627" s="6"/>
      <c r="Y627" s="5"/>
      <c r="Z627" s="3"/>
      <c r="AA627" s="6">
        <f>H627*I627/100</f>
      </c>
      <c r="AB627" s="6">
        <f>H627*J627/100</f>
      </c>
      <c r="AC627" s="7">
        <f>H627*K627</f>
      </c>
      <c r="AD627" s="7">
        <f>H627*M627</f>
      </c>
      <c r="AE627" s="6">
        <f>H627*L627/100</f>
      </c>
      <c r="AF627" s="6">
        <f>AA627+AB627+AE627</f>
      </c>
      <c r="AG627" s="6">
        <f>I627+J627+L627</f>
      </c>
      <c r="AH627" s="53">
        <f>$H627*I627</f>
      </c>
      <c r="AI627" s="53">
        <f>$H627*J627</f>
      </c>
      <c r="AJ627" s="53">
        <f>$H627*K627</f>
      </c>
      <c r="AK627" s="53">
        <f>$H627*L627</f>
      </c>
      <c r="AL627" s="53">
        <f>$H627*M627</f>
      </c>
      <c r="AM627" s="3"/>
      <c r="AN627" s="5"/>
      <c r="AO627" s="5"/>
      <c r="AP627" s="5"/>
      <c r="AQ627" s="3"/>
    </row>
    <row x14ac:dyDescent="0.25" r="628" customHeight="1" ht="12.75">
      <c r="A628" s="5" t="s">
        <v>54</v>
      </c>
      <c r="B628" s="3" t="s">
        <v>1127</v>
      </c>
      <c r="C628" s="3" t="s">
        <v>869</v>
      </c>
      <c r="D628" s="3"/>
      <c r="E628" s="3" t="s">
        <v>855</v>
      </c>
      <c r="F628" s="3" t="s">
        <v>1614</v>
      </c>
      <c r="G628" s="3" t="s">
        <v>1204</v>
      </c>
      <c r="H628" s="6">
        <f>335.03+194.94+32.23+248.38+40.79</f>
      </c>
      <c r="I628" s="6">
        <f>(0.35*335.03+0.25*194.94+0.27*32.23+0.31*248.38+0.18*40.79)/$H628</f>
      </c>
      <c r="J628" s="6">
        <f>(0.85*335.03+0.62*194.94+0.67*32.23+1.05*248.38+0.38*40.79)/$H628</f>
      </c>
      <c r="K628" s="7">
        <f>(34.67*335.03+24.7*194.94+23.51*32.23+30.81*248.38+30.82*40.79)/$H628</f>
      </c>
      <c r="L628" s="6"/>
      <c r="M628" s="6">
        <f>(0.71*335.03+0.47*194.94+0.25*32.23+0.27*248.38+0.17*40.79)/$H628</f>
      </c>
      <c r="N628" s="7"/>
      <c r="O628" s="23"/>
      <c r="P628" s="6"/>
      <c r="Q628" s="6"/>
      <c r="R628" s="31"/>
      <c r="S628" s="6"/>
      <c r="T628" s="31"/>
      <c r="U628" s="6"/>
      <c r="V628" s="23"/>
      <c r="W628" s="6"/>
      <c r="X628" s="6"/>
      <c r="Y628" s="5"/>
      <c r="Z628" s="3"/>
      <c r="AA628" s="6">
        <f>H628*I628/100</f>
      </c>
      <c r="AB628" s="6">
        <f>H628*J628/100</f>
      </c>
      <c r="AC628" s="7">
        <f>H628*K628</f>
      </c>
      <c r="AD628" s="7">
        <f>H628*M628</f>
      </c>
      <c r="AE628" s="6">
        <f>H628*L628/100</f>
      </c>
      <c r="AF628" s="6">
        <f>AA628+AB628+AE628</f>
      </c>
      <c r="AG628" s="6">
        <f>I628+J628+L628</f>
      </c>
      <c r="AH628" s="53">
        <f>$H628*I628</f>
      </c>
      <c r="AI628" s="53">
        <f>$H628*J628</f>
      </c>
      <c r="AJ628" s="53">
        <f>$H628*K628</f>
      </c>
      <c r="AK628" s="53">
        <f>$H628*L628</f>
      </c>
      <c r="AL628" s="53">
        <f>$H628*M628</f>
      </c>
      <c r="AM628" s="3"/>
      <c r="AN628" s="5"/>
      <c r="AO628" s="5"/>
      <c r="AP628" s="5"/>
      <c r="AQ628" s="3"/>
    </row>
    <row x14ac:dyDescent="0.25" r="629" customHeight="1" ht="12.75">
      <c r="A629" s="5" t="s">
        <v>114</v>
      </c>
      <c r="B629" s="3" t="s">
        <v>1127</v>
      </c>
      <c r="C629" s="3" t="s">
        <v>856</v>
      </c>
      <c r="D629" s="3" t="s">
        <v>927</v>
      </c>
      <c r="E629" s="3" t="s">
        <v>855</v>
      </c>
      <c r="F629" s="3" t="s">
        <v>1188</v>
      </c>
      <c r="G629" s="3" t="s">
        <v>1185</v>
      </c>
      <c r="H629" s="6">
        <f>260.3+22.1</f>
      </c>
      <c r="I629" s="6">
        <f>(0.32*260.3+0.21*22.1)/$H629</f>
      </c>
      <c r="J629" s="6">
        <f>(0.72*260.3+0.49*22.1)/$H629</f>
      </c>
      <c r="K629" s="7">
        <f>(95.4*20.3+81.9*240+62.1*22.1)/$H629</f>
      </c>
      <c r="L629" s="6"/>
      <c r="M629" s="6"/>
      <c r="N629" s="7"/>
      <c r="O629" s="23"/>
      <c r="P629" s="6"/>
      <c r="Q629" s="6"/>
      <c r="R629" s="31"/>
      <c r="S629" s="6"/>
      <c r="T629" s="31"/>
      <c r="U629" s="6"/>
      <c r="V629" s="23"/>
      <c r="W629" s="6"/>
      <c r="X629" s="6"/>
      <c r="Y629" s="5"/>
      <c r="Z629" s="3"/>
      <c r="AA629" s="6">
        <f>H629*I629/100</f>
      </c>
      <c r="AB629" s="6">
        <f>H629*J629/100</f>
      </c>
      <c r="AC629" s="7">
        <f>H629*K629</f>
      </c>
      <c r="AD629" s="7">
        <f>H629*M629</f>
      </c>
      <c r="AE629" s="6">
        <f>H629*L629/100</f>
      </c>
      <c r="AF629" s="6">
        <f>AA629+AB629+AE629</f>
      </c>
      <c r="AG629" s="6">
        <f>I629+J629+L629</f>
      </c>
      <c r="AH629" s="53">
        <f>$H629*I629</f>
      </c>
      <c r="AI629" s="53">
        <f>$H629*J629</f>
      </c>
      <c r="AJ629" s="53">
        <f>$H629*K629</f>
      </c>
      <c r="AK629" s="53">
        <f>$H629*L629</f>
      </c>
      <c r="AL629" s="53">
        <f>$H629*M629</f>
      </c>
      <c r="AM629" s="3"/>
      <c r="AN629" s="5"/>
      <c r="AO629" s="5"/>
      <c r="AP629" s="5"/>
      <c r="AQ629" s="3"/>
    </row>
    <row x14ac:dyDescent="0.25" r="630" customHeight="1" ht="12.75">
      <c r="A630" s="5" t="s">
        <v>25</v>
      </c>
      <c r="B630" s="3" t="s">
        <v>1127</v>
      </c>
      <c r="C630" s="3" t="s">
        <v>1075</v>
      </c>
      <c r="D630" s="3"/>
      <c r="E630" s="3" t="s">
        <v>855</v>
      </c>
      <c r="F630" s="3" t="s">
        <v>1635</v>
      </c>
      <c r="G630" s="3" t="s">
        <v>1640</v>
      </c>
      <c r="H630" s="6">
        <f>0.088+0.549+0.069</f>
      </c>
      <c r="I630" s="6">
        <f>(9.14*0.088+8.92*0.549+11.35*0.069)/$H630</f>
      </c>
      <c r="J630" s="6">
        <f>(11.99*0.088+10.36*0.549+11.34*0.069)/$H630</f>
      </c>
      <c r="K630" s="31">
        <f>(1064*0.088+800*0.549+1011*0.069)/$H630</f>
      </c>
      <c r="L630" s="6"/>
      <c r="M630" s="6"/>
      <c r="N630" s="7"/>
      <c r="O630" s="23"/>
      <c r="P630" s="6"/>
      <c r="Q630" s="6"/>
      <c r="R630" s="31"/>
      <c r="S630" s="6"/>
      <c r="T630" s="31"/>
      <c r="U630" s="6"/>
      <c r="V630" s="23"/>
      <c r="W630" s="6"/>
      <c r="X630" s="6"/>
      <c r="Y630" s="5"/>
      <c r="Z630" s="3"/>
      <c r="AA630" s="6">
        <f>H630*I630/100</f>
      </c>
      <c r="AB630" s="6">
        <f>H630*J630/100</f>
      </c>
      <c r="AC630" s="7">
        <f>H630*K630</f>
      </c>
      <c r="AD630" s="7">
        <f>H630*M630</f>
      </c>
      <c r="AE630" s="6">
        <f>H630*L630/100</f>
      </c>
      <c r="AF630" s="6">
        <f>AA630+AB630+AE630</f>
      </c>
      <c r="AG630" s="6">
        <f>I630+J630+L630</f>
      </c>
      <c r="AH630" s="53">
        <f>$H630*I630</f>
      </c>
      <c r="AI630" s="53">
        <f>$H630*J630</f>
      </c>
      <c r="AJ630" s="53">
        <f>$H630*K630</f>
      </c>
      <c r="AK630" s="53">
        <f>$H630*L630</f>
      </c>
      <c r="AL630" s="53">
        <f>$H630*M630</f>
      </c>
      <c r="AM630" s="3"/>
      <c r="AN630" s="5"/>
      <c r="AO630" s="5"/>
      <c r="AP630" s="5"/>
      <c r="AQ630" s="3"/>
    </row>
    <row x14ac:dyDescent="0.25" r="631" customHeight="1" ht="12.75">
      <c r="A631" s="5" t="s">
        <v>516</v>
      </c>
      <c r="B631" s="3" t="s">
        <v>1127</v>
      </c>
      <c r="C631" s="3" t="s">
        <v>866</v>
      </c>
      <c r="D631" s="3" t="s">
        <v>989</v>
      </c>
      <c r="E631" s="38" t="s">
        <v>859</v>
      </c>
      <c r="F631" s="3" t="s">
        <v>1623</v>
      </c>
      <c r="G631" s="3" t="s">
        <v>1415</v>
      </c>
      <c r="H631" s="23">
        <v>0.895512</v>
      </c>
      <c r="I631" s="6">
        <v>2.1</v>
      </c>
      <c r="J631" s="6">
        <v>3.4</v>
      </c>
      <c r="K631" s="5">
        <v>191</v>
      </c>
      <c r="L631" s="6"/>
      <c r="M631" s="6">
        <v>0.8</v>
      </c>
      <c r="N631" s="7"/>
      <c r="O631" s="23"/>
      <c r="P631" s="6"/>
      <c r="Q631" s="6"/>
      <c r="R631" s="31"/>
      <c r="S631" s="6"/>
      <c r="T631" s="31"/>
      <c r="U631" s="6"/>
      <c r="V631" s="23"/>
      <c r="W631" s="6"/>
      <c r="X631" s="6"/>
      <c r="Y631" s="5"/>
      <c r="Z631" s="3"/>
      <c r="AA631" s="6">
        <f>H631*I631/100</f>
      </c>
      <c r="AB631" s="6">
        <f>H631*J631/100</f>
      </c>
      <c r="AC631" s="7">
        <f>H631*K631</f>
      </c>
      <c r="AD631" s="7">
        <f>H631*M631</f>
      </c>
      <c r="AE631" s="6">
        <f>H631*L631/100</f>
      </c>
      <c r="AF631" s="6">
        <f>AA631+AB631+AE631</f>
      </c>
      <c r="AG631" s="6">
        <f>I631+J631+L631</f>
      </c>
      <c r="AH631" s="53">
        <f>$H631*I631</f>
      </c>
      <c r="AI631" s="53">
        <f>$H631*J631</f>
      </c>
      <c r="AJ631" s="53">
        <f>$H631*K631</f>
      </c>
      <c r="AK631" s="53">
        <f>$H631*L631</f>
      </c>
      <c r="AL631" s="53">
        <f>$H631*M631</f>
      </c>
      <c r="AM631" s="3"/>
      <c r="AN631" s="5"/>
      <c r="AO631" s="5"/>
      <c r="AP631" s="5"/>
      <c r="AQ631" s="3"/>
    </row>
    <row x14ac:dyDescent="0.25" r="632" customHeight="1" ht="12.75">
      <c r="A632" s="5" t="s">
        <v>191</v>
      </c>
      <c r="B632" s="3" t="s">
        <v>1127</v>
      </c>
      <c r="C632" s="3" t="s">
        <v>870</v>
      </c>
      <c r="D632" s="3"/>
      <c r="E632" s="3" t="s">
        <v>855</v>
      </c>
      <c r="F632" s="3" t="s">
        <v>1641</v>
      </c>
      <c r="G632" s="3" t="s">
        <v>1642</v>
      </c>
      <c r="H632" s="6">
        <v>25.2</v>
      </c>
      <c r="I632" s="6">
        <v>2.1</v>
      </c>
      <c r="J632" s="6">
        <v>8.3</v>
      </c>
      <c r="K632" s="7"/>
      <c r="L632" s="6">
        <v>0.5</v>
      </c>
      <c r="M632" s="6">
        <v>1.3</v>
      </c>
      <c r="N632" s="7"/>
      <c r="O632" s="23"/>
      <c r="P632" s="6"/>
      <c r="Q632" s="6"/>
      <c r="R632" s="31"/>
      <c r="S632" s="6"/>
      <c r="T632" s="31"/>
      <c r="U632" s="6"/>
      <c r="V632" s="23"/>
      <c r="W632" s="6"/>
      <c r="X632" s="6"/>
      <c r="Y632" s="5"/>
      <c r="Z632" s="3"/>
      <c r="AA632" s="6">
        <f>H632*I632/100</f>
      </c>
      <c r="AB632" s="6">
        <f>H632*J632/100</f>
      </c>
      <c r="AC632" s="7">
        <f>H632*K632</f>
      </c>
      <c r="AD632" s="7">
        <f>H632*M632</f>
      </c>
      <c r="AE632" s="6">
        <f>H632*L632/100</f>
      </c>
      <c r="AF632" s="15">
        <f>AA632+AB632+AE632</f>
      </c>
      <c r="AG632" s="6">
        <f>I632+J632+L632</f>
      </c>
      <c r="AH632" s="53">
        <f>$H632*I632</f>
      </c>
      <c r="AI632" s="53">
        <f>$H632*J632</f>
      </c>
      <c r="AJ632" s="53">
        <f>$H632*K632</f>
      </c>
      <c r="AK632" s="53">
        <f>$H632*L632</f>
      </c>
      <c r="AL632" s="53">
        <f>$H632*M632</f>
      </c>
      <c r="AM632" s="3"/>
      <c r="AN632" s="5"/>
      <c r="AO632" s="5"/>
      <c r="AP632" s="5"/>
      <c r="AQ632" s="3"/>
    </row>
    <row x14ac:dyDescent="0.25" r="633" customHeight="1" ht="12.75">
      <c r="A633" s="5" t="s">
        <v>734</v>
      </c>
      <c r="B633" s="3" t="s">
        <v>1127</v>
      </c>
      <c r="C633" s="3" t="s">
        <v>856</v>
      </c>
      <c r="D633" s="3" t="s">
        <v>929</v>
      </c>
      <c r="E633" s="3" t="s">
        <v>855</v>
      </c>
      <c r="F633" s="3" t="s">
        <v>1643</v>
      </c>
      <c r="G633" s="3" t="s">
        <v>1633</v>
      </c>
      <c r="H633" s="6">
        <f>0.284+0.864+0.512</f>
      </c>
      <c r="I633" s="6">
        <f>(1.1*0.284+1.01*0.864+0.61*0.512)/$H633</f>
      </c>
      <c r="J633" s="6">
        <f>(3.34*0.284+2.16*0.864+1.67*0.512)/$H633</f>
      </c>
      <c r="K633" s="7">
        <f>(192.6*0.284+135.5*0.864+72.2*0.512)/$H633</f>
      </c>
      <c r="L633" s="6"/>
      <c r="M633" s="6">
        <f>(0.912*0.284+0.809*0.864+0.772*0.512)/$H633</f>
      </c>
      <c r="N633" s="7"/>
      <c r="O633" s="23"/>
      <c r="P633" s="6"/>
      <c r="Q633" s="6"/>
      <c r="R633" s="31"/>
      <c r="S633" s="6"/>
      <c r="T633" s="31"/>
      <c r="U633" s="6"/>
      <c r="V633" s="23"/>
      <c r="W633" s="6"/>
      <c r="X633" s="6"/>
      <c r="Y633" s="5"/>
      <c r="Z633" s="3"/>
      <c r="AA633" s="6">
        <f>H633*I633/100</f>
      </c>
      <c r="AB633" s="6">
        <f>H633*J633/100</f>
      </c>
      <c r="AC633" s="7">
        <f>H633*K633</f>
      </c>
      <c r="AD633" s="7">
        <f>H633*M633</f>
      </c>
      <c r="AE633" s="6">
        <f>H633*L633/100</f>
      </c>
      <c r="AF633" s="6">
        <f>AA633+AB633+AE633</f>
      </c>
      <c r="AG633" s="6">
        <f>I633+J633+L633</f>
      </c>
      <c r="AH633" s="53">
        <f>$H633*I633</f>
      </c>
      <c r="AI633" s="53">
        <f>$H633*J633</f>
      </c>
      <c r="AJ633" s="53">
        <f>$H633*K633</f>
      </c>
      <c r="AK633" s="53">
        <f>$H633*L633</f>
      </c>
      <c r="AL633" s="53">
        <f>$H633*M633</f>
      </c>
      <c r="AM633" s="3"/>
      <c r="AN633" s="5"/>
      <c r="AO633" s="5"/>
      <c r="AP633" s="5"/>
      <c r="AQ633" s="3"/>
    </row>
    <row x14ac:dyDescent="0.25" r="634" customHeight="1" ht="12.75">
      <c r="A634" s="5" t="s">
        <v>566</v>
      </c>
      <c r="B634" s="3" t="s">
        <v>1127</v>
      </c>
      <c r="C634" s="3" t="s">
        <v>866</v>
      </c>
      <c r="D634" s="3" t="s">
        <v>989</v>
      </c>
      <c r="E634" s="3" t="s">
        <v>855</v>
      </c>
      <c r="F634" s="3" t="s">
        <v>1609</v>
      </c>
      <c r="G634" s="3" t="s">
        <v>1204</v>
      </c>
      <c r="H634" s="6">
        <v>13.155</v>
      </c>
      <c r="I634" s="6">
        <v>1.25</v>
      </c>
      <c r="J634" s="6">
        <v>2.06</v>
      </c>
      <c r="K634" s="7">
        <v>121.57</v>
      </c>
      <c r="L634" s="6">
        <v>0.36</v>
      </c>
      <c r="M634" s="6"/>
      <c r="N634" s="7"/>
      <c r="O634" s="23"/>
      <c r="P634" s="6"/>
      <c r="Q634" s="6"/>
      <c r="R634" s="31"/>
      <c r="S634" s="6"/>
      <c r="T634" s="31"/>
      <c r="U634" s="6"/>
      <c r="V634" s="23"/>
      <c r="W634" s="6"/>
      <c r="X634" s="6"/>
      <c r="Y634" s="5"/>
      <c r="Z634" s="3"/>
      <c r="AA634" s="6">
        <f>H634*I634/100</f>
      </c>
      <c r="AB634" s="6">
        <f>H634*J634/100</f>
      </c>
      <c r="AC634" s="7">
        <f>H634*K634</f>
      </c>
      <c r="AD634" s="7">
        <f>H634*M634</f>
      </c>
      <c r="AE634" s="6">
        <f>H634*L634/100</f>
      </c>
      <c r="AF634" s="6">
        <f>AA634+AB634+AE634</f>
      </c>
      <c r="AG634" s="6">
        <f>I634+J634+L634</f>
      </c>
      <c r="AH634" s="53">
        <f>$H634*I634</f>
      </c>
      <c r="AI634" s="53">
        <f>$H634*J634</f>
      </c>
      <c r="AJ634" s="53">
        <f>$H634*K634</f>
      </c>
      <c r="AK634" s="53">
        <f>$H634*L634</f>
      </c>
      <c r="AL634" s="53">
        <f>$H634*M634</f>
      </c>
      <c r="AM634" s="3"/>
      <c r="AN634" s="5"/>
      <c r="AO634" s="5"/>
      <c r="AP634" s="5"/>
      <c r="AQ634" s="3"/>
    </row>
    <row x14ac:dyDescent="0.25" r="635" customHeight="1" ht="12.75">
      <c r="A635" s="5" t="s">
        <v>257</v>
      </c>
      <c r="B635" s="3" t="s">
        <v>1127</v>
      </c>
      <c r="C635" s="3" t="s">
        <v>869</v>
      </c>
      <c r="D635" s="3"/>
      <c r="E635" s="3" t="s">
        <v>855</v>
      </c>
      <c r="F635" s="3" t="s">
        <v>1644</v>
      </c>
      <c r="G635" s="3" t="s">
        <v>1645</v>
      </c>
      <c r="H635" s="6">
        <f>121+91.2</f>
      </c>
      <c r="I635" s="6">
        <f>(0.06*121+0.07*91.2)/$H635</f>
      </c>
      <c r="J635" s="6">
        <f>(0.49*121+0.48*91.2)/$H635</f>
      </c>
      <c r="K635" s="7">
        <f>(12.3*121+12.6*91.2)/$H635</f>
      </c>
      <c r="L635" s="6"/>
      <c r="M635" s="7">
        <f>(0.4*121+0.4*91.2)/$H635</f>
      </c>
      <c r="N635" s="7"/>
      <c r="O635" s="23"/>
      <c r="P635" s="6"/>
      <c r="Q635" s="6"/>
      <c r="R635" s="31"/>
      <c r="S635" s="6"/>
      <c r="T635" s="31"/>
      <c r="U635" s="6"/>
      <c r="V635" s="23"/>
      <c r="W635" s="6"/>
      <c r="X635" s="6"/>
      <c r="Y635" s="5"/>
      <c r="Z635" s="3"/>
      <c r="AA635" s="6">
        <f>H635*I635/100</f>
      </c>
      <c r="AB635" s="6">
        <f>H635*J635/100</f>
      </c>
      <c r="AC635" s="7">
        <f>H635*K635</f>
      </c>
      <c r="AD635" s="7">
        <f>H635*M635</f>
      </c>
      <c r="AE635" s="6">
        <f>H635*L635/100</f>
      </c>
      <c r="AF635" s="6">
        <f>AA635+AB635+AE635</f>
      </c>
      <c r="AG635" s="6">
        <f>I635+J635+L635</f>
      </c>
      <c r="AH635" s="53">
        <f>$H635*I635</f>
      </c>
      <c r="AI635" s="53">
        <f>$H635*J635</f>
      </c>
      <c r="AJ635" s="53">
        <f>$H635*K635</f>
      </c>
      <c r="AK635" s="53">
        <f>$H635*L635</f>
      </c>
      <c r="AL635" s="53">
        <f>$H635*M635</f>
      </c>
      <c r="AM635" s="3"/>
      <c r="AN635" s="5"/>
      <c r="AO635" s="5"/>
      <c r="AP635" s="5"/>
      <c r="AQ635" s="3"/>
    </row>
    <row x14ac:dyDescent="0.25" r="636" customHeight="1" ht="12.75">
      <c r="A636" s="5" t="s">
        <v>367</v>
      </c>
      <c r="B636" s="3" t="s">
        <v>1127</v>
      </c>
      <c r="C636" s="3" t="s">
        <v>856</v>
      </c>
      <c r="D636" s="3"/>
      <c r="E636" s="3" t="s">
        <v>855</v>
      </c>
      <c r="F636" s="3" t="s">
        <v>1646</v>
      </c>
      <c r="G636" s="3" t="s">
        <v>1204</v>
      </c>
      <c r="H636" s="23">
        <f>1.393716+1.354261+1.257731</f>
      </c>
      <c r="I636" s="6">
        <f>(3.1*1.393716+2.73*1.354261+2.26*1.257731)/$H636</f>
      </c>
      <c r="J636" s="6">
        <f>(7.12*1.393716+6.14*1.354261+6.18*1.257731)/$H636</f>
      </c>
      <c r="K636" s="31">
        <f>(69*1.393716+82*1.354261+84*1.257731)/$H636</f>
      </c>
      <c r="L636" s="6">
        <f>(0.39*1.393716+0.31*1.354261+0.19*1.257731)/$H636</f>
      </c>
      <c r="M636" s="6">
        <f>(0.02*1.393716+0.06*1.354261+0.05*1.257731)/$H636</f>
      </c>
      <c r="N636" s="7"/>
      <c r="O636" s="23"/>
      <c r="P636" s="6"/>
      <c r="Q636" s="6"/>
      <c r="R636" s="31"/>
      <c r="S636" s="6"/>
      <c r="T636" s="31"/>
      <c r="U636" s="6"/>
      <c r="V636" s="23"/>
      <c r="W636" s="6"/>
      <c r="X636" s="6"/>
      <c r="Y636" s="5"/>
      <c r="Z636" s="3"/>
      <c r="AA636" s="6">
        <f>H636*I636/100</f>
      </c>
      <c r="AB636" s="6">
        <f>H636*J636/100</f>
      </c>
      <c r="AC636" s="7">
        <f>H636*K636</f>
      </c>
      <c r="AD636" s="7">
        <f>H636*M636</f>
      </c>
      <c r="AE636" s="6">
        <f>H636*L636/100</f>
      </c>
      <c r="AF636" s="6">
        <f>AA636+AB636+AE636</f>
      </c>
      <c r="AG636" s="6">
        <f>I636+J636+L636</f>
      </c>
      <c r="AH636" s="53">
        <f>$H636*I636</f>
      </c>
      <c r="AI636" s="53">
        <f>$H636*J636</f>
      </c>
      <c r="AJ636" s="53">
        <f>$H636*K636</f>
      </c>
      <c r="AK636" s="53">
        <f>$H636*L636</f>
      </c>
      <c r="AL636" s="53">
        <f>$H636*M636</f>
      </c>
      <c r="AM636" s="3"/>
      <c r="AN636" s="5"/>
      <c r="AO636" s="5"/>
      <c r="AP636" s="5"/>
      <c r="AQ636" s="3"/>
    </row>
    <row x14ac:dyDescent="0.25" r="637" customHeight="1" ht="12.75">
      <c r="A637" s="5" t="s">
        <v>558</v>
      </c>
      <c r="B637" s="3" t="s">
        <v>1127</v>
      </c>
      <c r="C637" s="3" t="s">
        <v>869</v>
      </c>
      <c r="D637" s="3"/>
      <c r="E637" s="3" t="s">
        <v>855</v>
      </c>
      <c r="F637" s="3" t="s">
        <v>1643</v>
      </c>
      <c r="G637" s="3" t="s">
        <v>1633</v>
      </c>
      <c r="H637" s="6">
        <f>4.314+1.546+3.084</f>
      </c>
      <c r="I637" s="6">
        <f>(2.56*4.314+2.29*1.546+2.17*3.084)/$H637</f>
      </c>
      <c r="J637" s="6">
        <f>(4.51*4.314+3.96*1.546+3.35*3.084)/$H637</f>
      </c>
      <c r="K637" s="7">
        <f>(64.3*4.314+53.58*1.546+41.75*3.084)/$H637</f>
      </c>
      <c r="L637" s="6">
        <f>(0.25*4.314+0.2*1.546+0.16*3.084)/$H637</f>
      </c>
      <c r="M637" s="6"/>
      <c r="N637" s="7"/>
      <c r="O637" s="23"/>
      <c r="P637" s="6"/>
      <c r="Q637" s="6"/>
      <c r="R637" s="31"/>
      <c r="S637" s="6"/>
      <c r="T637" s="31"/>
      <c r="U637" s="6"/>
      <c r="V637" s="23"/>
      <c r="W637" s="6"/>
      <c r="X637" s="6"/>
      <c r="Y637" s="5"/>
      <c r="Z637" s="3"/>
      <c r="AA637" s="6">
        <f>H637*I637/100</f>
      </c>
      <c r="AB637" s="6">
        <f>H637*J637/100</f>
      </c>
      <c r="AC637" s="7">
        <f>H637*K637</f>
      </c>
      <c r="AD637" s="7">
        <f>H637*M637</f>
      </c>
      <c r="AE637" s="6">
        <f>H637*L637/100</f>
      </c>
      <c r="AF637" s="6">
        <f>AA637+AB637+AE637</f>
      </c>
      <c r="AG637" s="6">
        <f>I637+J637+L637</f>
      </c>
      <c r="AH637" s="53">
        <f>$H637*I637</f>
      </c>
      <c r="AI637" s="53">
        <f>$H637*J637</f>
      </c>
      <c r="AJ637" s="53">
        <f>$H637*K637</f>
      </c>
      <c r="AK637" s="53">
        <f>$H637*L637</f>
      </c>
      <c r="AL637" s="53">
        <f>$H637*M637</f>
      </c>
      <c r="AM637" s="3"/>
      <c r="AN637" s="5"/>
      <c r="AO637" s="5"/>
      <c r="AP637" s="5"/>
      <c r="AQ637" s="3"/>
    </row>
    <row x14ac:dyDescent="0.25" r="638" customHeight="1" ht="12.75">
      <c r="A638" s="5" t="s">
        <v>481</v>
      </c>
      <c r="B638" s="3" t="s">
        <v>1127</v>
      </c>
      <c r="C638" s="3" t="s">
        <v>856</v>
      </c>
      <c r="D638" s="3" t="s">
        <v>928</v>
      </c>
      <c r="E638" s="3" t="s">
        <v>855</v>
      </c>
      <c r="F638" s="3" t="s">
        <v>1647</v>
      </c>
      <c r="G638" s="3" t="s">
        <v>1419</v>
      </c>
      <c r="H638" s="6">
        <f>8+24.5</f>
      </c>
      <c r="I638" s="6">
        <f>(0.38*8+0.38*24.5)/$H638</f>
      </c>
      <c r="J638" s="6">
        <f>(0.85*8+0.76*24.5)/$H638</f>
      </c>
      <c r="K638" s="31">
        <f>(119*8+110*24.5)/$H638</f>
      </c>
      <c r="L638" s="6"/>
      <c r="M638" s="6"/>
      <c r="N638" s="7"/>
      <c r="O638" s="23"/>
      <c r="P638" s="6"/>
      <c r="Q638" s="6"/>
      <c r="R638" s="31"/>
      <c r="S638" s="6"/>
      <c r="T638" s="31"/>
      <c r="U638" s="6"/>
      <c r="V638" s="23"/>
      <c r="W638" s="6"/>
      <c r="X638" s="6"/>
      <c r="Y638" s="5"/>
      <c r="Z638" s="3"/>
      <c r="AA638" s="6">
        <f>H638*I638/100</f>
      </c>
      <c r="AB638" s="6">
        <f>H638*J638/100</f>
      </c>
      <c r="AC638" s="7">
        <f>H638*K638</f>
      </c>
      <c r="AD638" s="7">
        <f>H638*M638</f>
      </c>
      <c r="AE638" s="6">
        <f>H638*L638/100</f>
      </c>
      <c r="AF638" s="6">
        <f>AA638+AB638+AE638</f>
      </c>
      <c r="AG638" s="6">
        <f>I638+J638+L638</f>
      </c>
      <c r="AH638" s="53">
        <f>$H638*I638</f>
      </c>
      <c r="AI638" s="53">
        <f>$H638*J638</f>
      </c>
      <c r="AJ638" s="53">
        <f>$H638*K638</f>
      </c>
      <c r="AK638" s="53">
        <f>$H638*L638</f>
      </c>
      <c r="AL638" s="53">
        <f>$H638*M638</f>
      </c>
      <c r="AM638" s="3"/>
      <c r="AN638" s="5"/>
      <c r="AO638" s="5"/>
      <c r="AP638" s="5"/>
      <c r="AQ638" s="3"/>
    </row>
    <row x14ac:dyDescent="0.25" r="639" customHeight="1" ht="12.75">
      <c r="A639" s="5" t="s">
        <v>466</v>
      </c>
      <c r="B639" s="3" t="s">
        <v>1127</v>
      </c>
      <c r="C639" s="3" t="s">
        <v>856</v>
      </c>
      <c r="D639" s="3" t="s">
        <v>928</v>
      </c>
      <c r="E639" s="3" t="s">
        <v>855</v>
      </c>
      <c r="F639" s="3" t="s">
        <v>1617</v>
      </c>
      <c r="G639" s="3" t="s">
        <v>1424</v>
      </c>
      <c r="H639" s="6">
        <f>1.06+6.999+2.079+2.192+1.154+1.574</f>
      </c>
      <c r="I639" s="6">
        <f>(0.06*1.06+0.03*6.999+0.06*2.079+0.01*2.192+0.02*1.154+0.02*1.574)/$H639</f>
      </c>
      <c r="J639" s="6">
        <f>(0.52*1.06+0.15*6.999+0.41*2.079+0.04*2.192+0.04*1.154+0.05*1.574)/$H639</f>
      </c>
      <c r="K639" s="7">
        <f>(10.15*1.06+9.74*6.999+10.1*2.079+11.91*2.192+11.24*1.154+5.15*1.574)/$H639</f>
      </c>
      <c r="L639" s="6">
        <f>(0.21*1.06+0.2*6.999+0.24*2.079+0.26*2.192+0.14*1.154+0.08*1.574)/$H639</f>
      </c>
      <c r="M639" s="6">
        <f>(4.52*1.06+4.54*6.999+4.7*2.079+5.64*2.192+3.55*1.154+3.5*1.574)/$H639</f>
      </c>
      <c r="N639" s="7"/>
      <c r="O639" s="23"/>
      <c r="P639" s="6"/>
      <c r="Q639" s="6"/>
      <c r="R639" s="31"/>
      <c r="S639" s="6"/>
      <c r="T639" s="31"/>
      <c r="U639" s="6"/>
      <c r="V639" s="23"/>
      <c r="W639" s="6"/>
      <c r="X639" s="6"/>
      <c r="Y639" s="5"/>
      <c r="Z639" s="3"/>
      <c r="AA639" s="6">
        <f>H639*I639/100</f>
      </c>
      <c r="AB639" s="6">
        <f>H639*J639/100</f>
      </c>
      <c r="AC639" s="7">
        <f>H639*K639</f>
      </c>
      <c r="AD639" s="7">
        <f>H639*M639</f>
      </c>
      <c r="AE639" s="6">
        <f>H639*L639/100</f>
      </c>
      <c r="AF639" s="6">
        <f>AA639+AB639+AE639</f>
      </c>
      <c r="AG639" s="6">
        <f>I639+J639+L639</f>
      </c>
      <c r="AH639" s="53">
        <f>$H639*I639</f>
      </c>
      <c r="AI639" s="53">
        <f>$H639*J639</f>
      </c>
      <c r="AJ639" s="53">
        <f>$H639*K639</f>
      </c>
      <c r="AK639" s="53">
        <f>$H639*L639</f>
      </c>
      <c r="AL639" s="53">
        <f>$H639*M639</f>
      </c>
      <c r="AM639" s="3"/>
      <c r="AN639" s="5"/>
      <c r="AO639" s="5"/>
      <c r="AP639" s="5"/>
      <c r="AQ639" s="3"/>
    </row>
    <row x14ac:dyDescent="0.25" r="640" customHeight="1" ht="12.75">
      <c r="A640" s="5" t="s">
        <v>805</v>
      </c>
      <c r="B640" s="3" t="s">
        <v>1127</v>
      </c>
      <c r="C640" s="3" t="s">
        <v>856</v>
      </c>
      <c r="D640" s="3" t="s">
        <v>928</v>
      </c>
      <c r="E640" s="3" t="s">
        <v>855</v>
      </c>
      <c r="F640" s="3" t="s">
        <v>1188</v>
      </c>
      <c r="G640" s="3" t="s">
        <v>1185</v>
      </c>
      <c r="H640" s="6">
        <v>2.3</v>
      </c>
      <c r="I640" s="6">
        <v>0.32</v>
      </c>
      <c r="J640" s="6">
        <v>0.66</v>
      </c>
      <c r="K640" s="6">
        <v>191.8</v>
      </c>
      <c r="L640" s="6"/>
      <c r="M640" s="6"/>
      <c r="N640" s="7"/>
      <c r="O640" s="23"/>
      <c r="P640" s="6"/>
      <c r="Q640" s="6"/>
      <c r="R640" s="31"/>
      <c r="S640" s="6"/>
      <c r="T640" s="31"/>
      <c r="U640" s="6"/>
      <c r="V640" s="23"/>
      <c r="W640" s="6"/>
      <c r="X640" s="6"/>
      <c r="Y640" s="5"/>
      <c r="Z640" s="3"/>
      <c r="AA640" s="6">
        <f>H640*I640/100</f>
      </c>
      <c r="AB640" s="6">
        <f>H640*J640/100</f>
      </c>
      <c r="AC640" s="7">
        <f>H640*K640</f>
      </c>
      <c r="AD640" s="7">
        <f>H640*M640</f>
      </c>
      <c r="AE640" s="6">
        <f>H640*L640/100</f>
      </c>
      <c r="AF640" s="6">
        <f>AA640+AB640+AE640</f>
      </c>
      <c r="AG640" s="6">
        <f>I640+J640+L640</f>
      </c>
      <c r="AH640" s="53">
        <f>$H640*I640</f>
      </c>
      <c r="AI640" s="53">
        <f>$H640*J640</f>
      </c>
      <c r="AJ640" s="53">
        <f>$H640*K640</f>
      </c>
      <c r="AK640" s="53">
        <f>$H640*L640</f>
      </c>
      <c r="AL640" s="53">
        <f>$H640*M640</f>
      </c>
      <c r="AM640" s="3"/>
      <c r="AN640" s="5"/>
      <c r="AO640" s="5"/>
      <c r="AP640" s="5"/>
      <c r="AQ640" s="3"/>
    </row>
    <row x14ac:dyDescent="0.25" r="641" customHeight="1" ht="12.75">
      <c r="A641" s="5" t="s">
        <v>844</v>
      </c>
      <c r="B641" s="3" t="s">
        <v>1127</v>
      </c>
      <c r="C641" s="3" t="s">
        <v>869</v>
      </c>
      <c r="D641" s="3"/>
      <c r="E641" s="3" t="s">
        <v>855</v>
      </c>
      <c r="F641" s="3" t="s">
        <v>1623</v>
      </c>
      <c r="G641" s="3" t="s">
        <v>1415</v>
      </c>
      <c r="H641" s="23">
        <f>0.741387+0.993661</f>
      </c>
      <c r="I641" s="6">
        <f>(0.7*0.741387+0.7*0.993661)/$H641</f>
      </c>
      <c r="J641" s="6">
        <f>(1.5*0.741387+1.6*0.993661)/$H641</f>
      </c>
      <c r="K641" s="31">
        <f>(60*0.741387+54*0.993661)/$H641</f>
      </c>
      <c r="L641" s="6"/>
      <c r="M641" s="6"/>
      <c r="N641" s="7"/>
      <c r="O641" s="23"/>
      <c r="P641" s="6"/>
      <c r="Q641" s="6"/>
      <c r="R641" s="31"/>
      <c r="S641" s="6"/>
      <c r="T641" s="31"/>
      <c r="U641" s="6"/>
      <c r="V641" s="23"/>
      <c r="W641" s="6"/>
      <c r="X641" s="6"/>
      <c r="Y641" s="5"/>
      <c r="Z641" s="3"/>
      <c r="AA641" s="6">
        <f>H641*I641/100</f>
      </c>
      <c r="AB641" s="6">
        <f>H641*J641/100</f>
      </c>
      <c r="AC641" s="7">
        <f>H641*K641</f>
      </c>
      <c r="AD641" s="7">
        <f>H641*M641</f>
      </c>
      <c r="AE641" s="6">
        <f>H641*L641/100</f>
      </c>
      <c r="AF641" s="6">
        <f>AA641+AB641+AE641</f>
      </c>
      <c r="AG641" s="6">
        <f>I641+J641+L641</f>
      </c>
      <c r="AH641" s="53">
        <f>$H641*I641</f>
      </c>
      <c r="AI641" s="53">
        <f>$H641*J641</f>
      </c>
      <c r="AJ641" s="53">
        <f>$H641*K641</f>
      </c>
      <c r="AK641" s="53">
        <f>$H641*L641</f>
      </c>
      <c r="AL641" s="53">
        <f>$H641*M641</f>
      </c>
      <c r="AM641" s="3"/>
      <c r="AN641" s="5"/>
      <c r="AO641" s="5"/>
      <c r="AP641" s="5"/>
      <c r="AQ641" s="3"/>
    </row>
    <row x14ac:dyDescent="0.25" r="642" customHeight="1" ht="12.75">
      <c r="A642" s="5" t="s">
        <v>664</v>
      </c>
      <c r="B642" s="3" t="s">
        <v>1127</v>
      </c>
      <c r="C642" s="3" t="s">
        <v>870</v>
      </c>
      <c r="D642" s="3"/>
      <c r="E642" s="3" t="s">
        <v>855</v>
      </c>
      <c r="F642" s="3" t="s">
        <v>1648</v>
      </c>
      <c r="G642" s="3" t="s">
        <v>1649</v>
      </c>
      <c r="H642" s="6">
        <f>19.26+2.28</f>
      </c>
      <c r="I642" s="6"/>
      <c r="J642" s="6">
        <f>(1.68*19.26+0.97*2.28)/$H642</f>
      </c>
      <c r="K642" s="7">
        <f>(26.7*19.26+17.4*2.28)/$H642</f>
      </c>
      <c r="L642" s="6"/>
      <c r="M642" s="6"/>
      <c r="N642" s="7"/>
      <c r="O642" s="23"/>
      <c r="P642" s="6"/>
      <c r="Q642" s="6"/>
      <c r="R642" s="31"/>
      <c r="S642" s="6"/>
      <c r="T642" s="31"/>
      <c r="U642" s="6"/>
      <c r="V642" s="23"/>
      <c r="W642" s="6"/>
      <c r="X642" s="6"/>
      <c r="Y642" s="5"/>
      <c r="Z642" s="3"/>
      <c r="AA642" s="6">
        <f>H642*I642/100</f>
      </c>
      <c r="AB642" s="6">
        <f>H642*J642/100</f>
      </c>
      <c r="AC642" s="7">
        <f>H642*K642</f>
      </c>
      <c r="AD642" s="7">
        <f>H642*M642</f>
      </c>
      <c r="AE642" s="6">
        <f>H642*L642/100</f>
      </c>
      <c r="AF642" s="6">
        <f>AA642+AB642+AE642</f>
      </c>
      <c r="AG642" s="6">
        <f>I642+J642+L642</f>
      </c>
      <c r="AH642" s="53">
        <f>$H642*I642</f>
      </c>
      <c r="AI642" s="53">
        <f>$H642*J642</f>
      </c>
      <c r="AJ642" s="53">
        <f>$H642*K642</f>
      </c>
      <c r="AK642" s="53">
        <f>$H642*L642</f>
      </c>
      <c r="AL642" s="53">
        <f>$H642*M642</f>
      </c>
      <c r="AM642" s="3"/>
      <c r="AN642" s="5"/>
      <c r="AO642" s="5"/>
      <c r="AP642" s="5"/>
      <c r="AQ642" s="3"/>
    </row>
    <row x14ac:dyDescent="0.25" r="643" customHeight="1" ht="12.75">
      <c r="A643" s="5" t="s">
        <v>578</v>
      </c>
      <c r="B643" s="3" t="s">
        <v>1127</v>
      </c>
      <c r="C643" s="3" t="s">
        <v>869</v>
      </c>
      <c r="D643" s="3"/>
      <c r="E643" s="3" t="s">
        <v>855</v>
      </c>
      <c r="F643" s="3" t="s">
        <v>1639</v>
      </c>
      <c r="G643" s="3" t="s">
        <v>1419</v>
      </c>
      <c r="H643" s="6">
        <f>5.124+14.788+3.331</f>
      </c>
      <c r="I643" s="6">
        <f>(0.93*5.124+0.56*14.788+0.58*3.331)/$H643</f>
      </c>
      <c r="J643" s="6">
        <f>(2.1*5.124+1.37*14.788+0.18*3.331)/$H643</f>
      </c>
      <c r="K643" s="7">
        <f>(72.9*5.124+57.6*14.788+56.1*3.331)/$H643</f>
      </c>
      <c r="L643" s="6">
        <f>(0.06*5.124+0.1*14.788+0.08*3.331)/$H643</f>
      </c>
      <c r="M643" s="6">
        <f>(0.14*5.124+0.1*14.788+0.16*3.331)/$H643</f>
      </c>
      <c r="N643" s="7"/>
      <c r="O643" s="23"/>
      <c r="P643" s="6"/>
      <c r="Q643" s="6"/>
      <c r="R643" s="31"/>
      <c r="S643" s="6"/>
      <c r="T643" s="31"/>
      <c r="U643" s="6"/>
      <c r="V643" s="23"/>
      <c r="W643" s="6"/>
      <c r="X643" s="6"/>
      <c r="Y643" s="5"/>
      <c r="Z643" s="3"/>
      <c r="AA643" s="6">
        <f>H643*I643/100</f>
      </c>
      <c r="AB643" s="6">
        <f>H643*J643/100</f>
      </c>
      <c r="AC643" s="7">
        <f>H643*K643</f>
      </c>
      <c r="AD643" s="7">
        <f>H643*M643</f>
      </c>
      <c r="AE643" s="6">
        <f>H643*L643/100</f>
      </c>
      <c r="AF643" s="6">
        <f>AA643+AB643+AE643</f>
      </c>
      <c r="AG643" s="6">
        <f>I643+J643+L643</f>
      </c>
      <c r="AH643" s="53">
        <f>$H643*I643</f>
      </c>
      <c r="AI643" s="53">
        <f>$H643*J643</f>
      </c>
      <c r="AJ643" s="53">
        <f>$H643*K643</f>
      </c>
      <c r="AK643" s="53">
        <f>$H643*L643</f>
      </c>
      <c r="AL643" s="53">
        <f>$H643*M643</f>
      </c>
      <c r="AM643" s="3"/>
      <c r="AN643" s="5"/>
      <c r="AO643" s="5"/>
      <c r="AP643" s="5"/>
      <c r="AQ643" s="3"/>
    </row>
    <row x14ac:dyDescent="0.25" r="644" customHeight="1" ht="12.75">
      <c r="A644" s="5" t="s">
        <v>701</v>
      </c>
      <c r="B644" s="3" t="s">
        <v>1127</v>
      </c>
      <c r="C644" s="3" t="s">
        <v>856</v>
      </c>
      <c r="D644" s="3" t="s">
        <v>930</v>
      </c>
      <c r="E644" s="3" t="s">
        <v>855</v>
      </c>
      <c r="F644" s="3" t="s">
        <v>1650</v>
      </c>
      <c r="G644" s="3" t="s">
        <v>1415</v>
      </c>
      <c r="H644" s="23">
        <f>(1.994+3.549)*0.9072</f>
      </c>
      <c r="I644" s="7">
        <f>(0.8*1.994+0.6*3.549)/(1.994+3.549)</f>
      </c>
      <c r="J644" s="7">
        <f>(1*1.994+0.9*3.549)/(1.994+3.549)</f>
      </c>
      <c r="K644" s="31">
        <f>((6.6*1.994+3.8*3.549)/(1.994+3.549))*31.1/0.9072</f>
      </c>
      <c r="L644" s="6"/>
      <c r="M644" s="7">
        <f>((0.06*1.994+0.03*3.549)/(1.994+3.549))*31.1/0.9072</f>
      </c>
      <c r="N644" s="7"/>
      <c r="O644" s="23"/>
      <c r="P644" s="6"/>
      <c r="Q644" s="6"/>
      <c r="R644" s="31"/>
      <c r="S644" s="6"/>
      <c r="T644" s="31"/>
      <c r="U644" s="6"/>
      <c r="V644" s="23"/>
      <c r="W644" s="6"/>
      <c r="X644" s="6"/>
      <c r="Y644" s="5"/>
      <c r="Z644" s="3"/>
      <c r="AA644" s="6">
        <f>H644*I644/100</f>
      </c>
      <c r="AB644" s="6">
        <f>H644*J644/100</f>
      </c>
      <c r="AC644" s="7">
        <f>H644*K644</f>
      </c>
      <c r="AD644" s="7">
        <f>H644*M644</f>
      </c>
      <c r="AE644" s="6">
        <f>H644*L644/100</f>
      </c>
      <c r="AF644" s="6">
        <f>AA644+AB644+AE644</f>
      </c>
      <c r="AG644" s="6">
        <f>I644+J644+L644</f>
      </c>
      <c r="AH644" s="53">
        <f>$H644*I644</f>
      </c>
      <c r="AI644" s="53">
        <f>$H644*J644</f>
      </c>
      <c r="AJ644" s="53">
        <f>$H644*K644</f>
      </c>
      <c r="AK644" s="53">
        <f>$H644*L644</f>
      </c>
      <c r="AL644" s="53">
        <f>$H644*M644</f>
      </c>
      <c r="AM644" s="3"/>
      <c r="AN644" s="5"/>
      <c r="AO644" s="5"/>
      <c r="AP644" s="5"/>
      <c r="AQ644" s="3"/>
    </row>
    <row x14ac:dyDescent="0.25" r="645" customHeight="1" ht="12.75">
      <c r="A645" s="5" t="s">
        <v>297</v>
      </c>
      <c r="B645" s="3" t="s">
        <v>1127</v>
      </c>
      <c r="C645" s="3" t="s">
        <v>866</v>
      </c>
      <c r="D645" s="3" t="s">
        <v>989</v>
      </c>
      <c r="E645" s="3" t="s">
        <v>855</v>
      </c>
      <c r="F645" s="3" t="s">
        <v>1651</v>
      </c>
      <c r="G645" s="3" t="s">
        <v>1652</v>
      </c>
      <c r="H645" s="6">
        <v>94.5</v>
      </c>
      <c r="I645" s="6"/>
      <c r="J645" s="6">
        <v>1.27</v>
      </c>
      <c r="K645" s="6">
        <v>58.7</v>
      </c>
      <c r="L645" s="6"/>
      <c r="M645" s="6"/>
      <c r="N645" s="7"/>
      <c r="O645" s="23"/>
      <c r="P645" s="6"/>
      <c r="Q645" s="6"/>
      <c r="R645" s="31"/>
      <c r="S645" s="6"/>
      <c r="T645" s="31"/>
      <c r="U645" s="6"/>
      <c r="V645" s="23"/>
      <c r="W645" s="6"/>
      <c r="X645" s="6"/>
      <c r="Y645" s="5"/>
      <c r="Z645" s="3"/>
      <c r="AA645" s="6">
        <f>H645*I645/100</f>
      </c>
      <c r="AB645" s="6">
        <f>H645*J645/100</f>
      </c>
      <c r="AC645" s="7">
        <f>H645*K645</f>
      </c>
      <c r="AD645" s="7">
        <f>H645*M645</f>
      </c>
      <c r="AE645" s="6">
        <f>H645*L645/100</f>
      </c>
      <c r="AF645" s="6">
        <f>AA645+AB645+AE645</f>
      </c>
      <c r="AG645" s="6">
        <f>I645+J645+L645</f>
      </c>
      <c r="AH645" s="53">
        <f>$H645*I645</f>
      </c>
      <c r="AI645" s="53">
        <f>$H645*J645</f>
      </c>
      <c r="AJ645" s="53">
        <f>$H645*K645</f>
      </c>
      <c r="AK645" s="53">
        <f>$H645*L645</f>
      </c>
      <c r="AL645" s="53">
        <f>$H645*M645</f>
      </c>
      <c r="AM645" s="3"/>
      <c r="AN645" s="5"/>
      <c r="AO645" s="5"/>
      <c r="AP645" s="5"/>
      <c r="AQ645" s="3"/>
    </row>
    <row x14ac:dyDescent="0.25" r="646" customHeight="1" ht="12.75">
      <c r="A646" s="5" t="s">
        <v>252</v>
      </c>
      <c r="B646" s="3" t="s">
        <v>1127</v>
      </c>
      <c r="C646" s="3" t="s">
        <v>939</v>
      </c>
      <c r="D646" s="3" t="s">
        <v>940</v>
      </c>
      <c r="E646" s="3" t="s">
        <v>855</v>
      </c>
      <c r="F646" s="3" t="s">
        <v>1613</v>
      </c>
      <c r="G646" s="3" t="s">
        <v>1605</v>
      </c>
      <c r="H646" s="6">
        <v>48.765</v>
      </c>
      <c r="I646" s="6">
        <v>0.957</v>
      </c>
      <c r="J646" s="6">
        <v>2.882</v>
      </c>
      <c r="K646" s="5"/>
      <c r="L646" s="6">
        <v>0.487</v>
      </c>
      <c r="M646" s="6"/>
      <c r="N646" s="7"/>
      <c r="O646" s="23"/>
      <c r="P646" s="6"/>
      <c r="Q646" s="6"/>
      <c r="R646" s="31"/>
      <c r="S646" s="6"/>
      <c r="T646" s="31"/>
      <c r="U646" s="6"/>
      <c r="V646" s="23"/>
      <c r="W646" s="6"/>
      <c r="X646" s="6"/>
      <c r="Y646" s="5"/>
      <c r="Z646" s="3"/>
      <c r="AA646" s="6">
        <f>H646*I646/100</f>
      </c>
      <c r="AB646" s="6">
        <f>H646*J646/100</f>
      </c>
      <c r="AC646" s="7">
        <f>H646*K646</f>
      </c>
      <c r="AD646" s="7">
        <f>H646*M646</f>
      </c>
      <c r="AE646" s="6">
        <f>H646*L646/100</f>
      </c>
      <c r="AF646" s="6">
        <f>AA646+AB646+AE646</f>
      </c>
      <c r="AG646" s="6">
        <f>I646+J646+L646</f>
      </c>
      <c r="AH646" s="53">
        <f>$H646*I646</f>
      </c>
      <c r="AI646" s="53">
        <f>$H646*J646</f>
      </c>
      <c r="AJ646" s="53">
        <f>$H646*K646</f>
      </c>
      <c r="AK646" s="53">
        <f>$H646*L646</f>
      </c>
      <c r="AL646" s="53">
        <f>$H646*M646</f>
      </c>
      <c r="AM646" s="3"/>
      <c r="AN646" s="5"/>
      <c r="AO646" s="5"/>
      <c r="AP646" s="5"/>
      <c r="AQ646" s="3"/>
    </row>
    <row x14ac:dyDescent="0.25" r="647" customHeight="1" ht="12.75">
      <c r="A647" s="5" t="s">
        <v>319</v>
      </c>
      <c r="B647" s="3" t="s">
        <v>1127</v>
      </c>
      <c r="C647" s="3" t="s">
        <v>972</v>
      </c>
      <c r="D647" s="3"/>
      <c r="E647" s="3" t="s">
        <v>855</v>
      </c>
      <c r="F647" s="3" t="s">
        <v>1653</v>
      </c>
      <c r="G647" s="3" t="s">
        <v>1220</v>
      </c>
      <c r="H647" s="6">
        <f>60.956+24.637+1.567+3.48</f>
      </c>
      <c r="I647" s="6"/>
      <c r="J647" s="6">
        <f>(0.51*60.956+2.97*24.637+0.27*1.567+5.01*3.48)/$H647</f>
      </c>
      <c r="K647" s="5"/>
      <c r="L647" s="6">
        <f>(0.34*60.956+0.28*24.637+0.35*1.567+0.36*3.48)/$H647</f>
      </c>
      <c r="M647" s="6"/>
      <c r="N647" s="7"/>
      <c r="O647" s="23"/>
      <c r="P647" s="6"/>
      <c r="Q647" s="6"/>
      <c r="R647" s="31"/>
      <c r="S647" s="6"/>
      <c r="T647" s="31"/>
      <c r="U647" s="6"/>
      <c r="V647" s="23"/>
      <c r="W647" s="6"/>
      <c r="X647" s="6"/>
      <c r="Y647" s="5"/>
      <c r="Z647" s="3"/>
      <c r="AA647" s="6">
        <f>H647*I647/100</f>
      </c>
      <c r="AB647" s="6">
        <f>H647*J647/100</f>
      </c>
      <c r="AC647" s="7">
        <f>H647*K647</f>
      </c>
      <c r="AD647" s="7">
        <f>H647*M647</f>
      </c>
      <c r="AE647" s="6">
        <f>H647*L647/100</f>
      </c>
      <c r="AF647" s="6">
        <f>AA647+AB647+AE647</f>
      </c>
      <c r="AG647" s="6">
        <f>I647+J647+L647</f>
      </c>
      <c r="AH647" s="53">
        <f>$H647*I647</f>
      </c>
      <c r="AI647" s="53">
        <f>$H647*J647</f>
      </c>
      <c r="AJ647" s="53">
        <f>$H647*K647</f>
      </c>
      <c r="AK647" s="53">
        <f>$H647*L647</f>
      </c>
      <c r="AL647" s="53">
        <f>$H647*M647</f>
      </c>
      <c r="AM647" s="3"/>
      <c r="AN647" s="5"/>
      <c r="AO647" s="5"/>
      <c r="AP647" s="5"/>
      <c r="AQ647" s="3"/>
    </row>
    <row x14ac:dyDescent="0.25" r="648" customHeight="1" ht="12.75">
      <c r="A648" s="5" t="s">
        <v>277</v>
      </c>
      <c r="B648" s="3" t="s">
        <v>1127</v>
      </c>
      <c r="C648" s="3" t="s">
        <v>870</v>
      </c>
      <c r="D648" s="3"/>
      <c r="E648" s="3" t="s">
        <v>855</v>
      </c>
      <c r="F648" s="3" t="s">
        <v>1609</v>
      </c>
      <c r="G648" s="3" t="s">
        <v>1204</v>
      </c>
      <c r="H648" s="6">
        <v>10.873</v>
      </c>
      <c r="I648" s="6">
        <v>1.36</v>
      </c>
      <c r="J648" s="6">
        <v>5.38</v>
      </c>
      <c r="K648" s="7">
        <v>221.21</v>
      </c>
      <c r="L648" s="6">
        <v>0.31</v>
      </c>
      <c r="M648" s="6">
        <v>1.82</v>
      </c>
      <c r="N648" s="7"/>
      <c r="O648" s="23"/>
      <c r="P648" s="6"/>
      <c r="Q648" s="6"/>
      <c r="R648" s="31"/>
      <c r="S648" s="6"/>
      <c r="T648" s="31"/>
      <c r="U648" s="6"/>
      <c r="V648" s="23"/>
      <c r="W648" s="6"/>
      <c r="X648" s="6"/>
      <c r="Y648" s="5"/>
      <c r="Z648" s="3"/>
      <c r="AA648" s="6">
        <f>H648*I648/100</f>
      </c>
      <c r="AB648" s="6">
        <f>H648*J648/100</f>
      </c>
      <c r="AC648" s="7">
        <f>H648*K648</f>
      </c>
      <c r="AD648" s="7">
        <f>H648*M648</f>
      </c>
      <c r="AE648" s="6">
        <f>H648*L648/100</f>
      </c>
      <c r="AF648" s="6">
        <f>AA648+AB648+AE648</f>
      </c>
      <c r="AG648" s="6">
        <f>I648+J648+L648</f>
      </c>
      <c r="AH648" s="53">
        <f>$H648*I648</f>
      </c>
      <c r="AI648" s="53">
        <f>$H648*J648</f>
      </c>
      <c r="AJ648" s="53">
        <f>$H648*K648</f>
      </c>
      <c r="AK648" s="53">
        <f>$H648*L648</f>
      </c>
      <c r="AL648" s="53">
        <f>$H648*M648</f>
      </c>
      <c r="AM648" s="3"/>
      <c r="AN648" s="5"/>
      <c r="AO648" s="5"/>
      <c r="AP648" s="5"/>
      <c r="AQ648" s="3"/>
    </row>
    <row x14ac:dyDescent="0.25" r="649" customHeight="1" ht="12.75">
      <c r="A649" s="5" t="s">
        <v>50</v>
      </c>
      <c r="B649" s="3" t="s">
        <v>1127</v>
      </c>
      <c r="C649" s="3" t="s">
        <v>856</v>
      </c>
      <c r="D649" s="3" t="s">
        <v>928</v>
      </c>
      <c r="E649" s="3" t="s">
        <v>855</v>
      </c>
      <c r="F649" s="3" t="s">
        <v>1654</v>
      </c>
      <c r="G649" s="3" t="s">
        <v>1185</v>
      </c>
      <c r="H649" s="23">
        <f>0.0604+0.0954+0.273</f>
      </c>
      <c r="I649" s="6">
        <f>(6.73*0.0604+6.33*0.0954+5.7*0.273)/$H649</f>
      </c>
      <c r="J649" s="7">
        <f>(5.2*0.0604+3.7*0.0954+3.9*0.273)/$H649</f>
      </c>
      <c r="K649" s="31">
        <f>(801*0.0604+809*0.0954+837*0.273)/$H649</f>
      </c>
      <c r="L649" s="6"/>
      <c r="M649" s="6"/>
      <c r="N649" s="7"/>
      <c r="O649" s="23"/>
      <c r="P649" s="6"/>
      <c r="Q649" s="6"/>
      <c r="R649" s="31"/>
      <c r="S649" s="6"/>
      <c r="T649" s="31"/>
      <c r="U649" s="6"/>
      <c r="V649" s="23"/>
      <c r="W649" s="6"/>
      <c r="X649" s="6"/>
      <c r="Y649" s="5"/>
      <c r="Z649" s="3"/>
      <c r="AA649" s="6">
        <f>H649*I649/100</f>
      </c>
      <c r="AB649" s="6">
        <f>H649*J649/100</f>
      </c>
      <c r="AC649" s="7">
        <f>H649*K649</f>
      </c>
      <c r="AD649" s="7">
        <f>H649*M649</f>
      </c>
      <c r="AE649" s="6">
        <f>H649*L649/100</f>
      </c>
      <c r="AF649" s="6">
        <f>AA649+AB649+AE649</f>
      </c>
      <c r="AG649" s="6">
        <f>I649+J649+L649</f>
      </c>
      <c r="AH649" s="53">
        <f>$H649*I649</f>
      </c>
      <c r="AI649" s="53">
        <f>$H649*J649</f>
      </c>
      <c r="AJ649" s="53">
        <f>$H649*K649</f>
      </c>
      <c r="AK649" s="53">
        <f>$H649*L649</f>
      </c>
      <c r="AL649" s="53">
        <f>$H649*M649</f>
      </c>
      <c r="AM649" s="3"/>
      <c r="AN649" s="5"/>
      <c r="AO649" s="5"/>
      <c r="AP649" s="5"/>
      <c r="AQ649" s="3"/>
    </row>
    <row x14ac:dyDescent="0.25" r="650" customHeight="1" ht="12.75">
      <c r="A650" s="5" t="s">
        <v>335</v>
      </c>
      <c r="B650" s="3" t="s">
        <v>1127</v>
      </c>
      <c r="C650" s="3" t="s">
        <v>869</v>
      </c>
      <c r="D650" s="3"/>
      <c r="E650" s="3" t="s">
        <v>855</v>
      </c>
      <c r="F650" s="3" t="s">
        <v>1609</v>
      </c>
      <c r="G650" s="3" t="s">
        <v>1204</v>
      </c>
      <c r="H650" s="6">
        <v>29.938</v>
      </c>
      <c r="I650" s="6">
        <v>0.48</v>
      </c>
      <c r="J650" s="6">
        <v>4.21</v>
      </c>
      <c r="K650" s="6">
        <v>26.48</v>
      </c>
      <c r="L650" s="6">
        <v>0.17</v>
      </c>
      <c r="M650" s="6">
        <v>0.25</v>
      </c>
      <c r="N650" s="7"/>
      <c r="O650" s="23"/>
      <c r="P650" s="6"/>
      <c r="Q650" s="6"/>
      <c r="R650" s="31"/>
      <c r="S650" s="6"/>
      <c r="T650" s="31"/>
      <c r="U650" s="6"/>
      <c r="V650" s="23"/>
      <c r="W650" s="6"/>
      <c r="X650" s="6"/>
      <c r="Y650" s="5"/>
      <c r="Z650" s="3"/>
      <c r="AA650" s="6">
        <f>H650*I650/100</f>
      </c>
      <c r="AB650" s="6">
        <f>H650*J650/100</f>
      </c>
      <c r="AC650" s="7">
        <f>H650*K650</f>
      </c>
      <c r="AD650" s="7">
        <f>H650*M650</f>
      </c>
      <c r="AE650" s="6">
        <f>H650*L650/100</f>
      </c>
      <c r="AF650" s="6">
        <f>AA650+AB650+AE650</f>
      </c>
      <c r="AG650" s="6">
        <f>I650+J650+L650</f>
      </c>
      <c r="AH650" s="53">
        <f>$H650*I650</f>
      </c>
      <c r="AI650" s="53">
        <f>$H650*J650</f>
      </c>
      <c r="AJ650" s="53">
        <f>$H650*K650</f>
      </c>
      <c r="AK650" s="53">
        <f>$H650*L650</f>
      </c>
      <c r="AL650" s="53">
        <f>$H650*M650</f>
      </c>
      <c r="AM650" s="3"/>
      <c r="AN650" s="5"/>
      <c r="AO650" s="5"/>
      <c r="AP650" s="5"/>
      <c r="AQ650" s="3"/>
    </row>
    <row x14ac:dyDescent="0.25" r="651" customHeight="1" ht="12.75">
      <c r="A651" s="5" t="s">
        <v>381</v>
      </c>
      <c r="B651" s="3" t="s">
        <v>1127</v>
      </c>
      <c r="C651" s="3" t="s">
        <v>869</v>
      </c>
      <c r="D651" s="3"/>
      <c r="E651" s="3" t="s">
        <v>855</v>
      </c>
      <c r="F651" s="3" t="s">
        <v>1655</v>
      </c>
      <c r="G651" s="3" t="s">
        <v>1605</v>
      </c>
      <c r="H651" s="6">
        <f>0.679+1.279+0.091+0.089</f>
      </c>
      <c r="I651" s="6">
        <f>(1.16*0.679+0.95*1.279+2.95*0.091+3.04*0.089)/$H651</f>
      </c>
      <c r="J651" s="6">
        <f>(1.03*0.679+1.18*1.279+2.55*0.091+2.56*0.089)/$H651</f>
      </c>
      <c r="K651" s="31">
        <f>(182*0.679+204*1.279+147*0.091+200*0.089)/$H651</f>
      </c>
      <c r="L651" s="6"/>
      <c r="M651" s="6">
        <f>(3.69*0.679+3.48*1.279+3.14*0.091+2.25*0.089)/$H651</f>
      </c>
      <c r="N651" s="7"/>
      <c r="O651" s="23"/>
      <c r="P651" s="6"/>
      <c r="Q651" s="6"/>
      <c r="R651" s="31"/>
      <c r="S651" s="6"/>
      <c r="T651" s="31"/>
      <c r="U651" s="6"/>
      <c r="V651" s="23"/>
      <c r="W651" s="6"/>
      <c r="X651" s="6"/>
      <c r="Y651" s="5"/>
      <c r="Z651" s="3"/>
      <c r="AA651" s="6">
        <f>H651*I651/100</f>
      </c>
      <c r="AB651" s="6">
        <f>H651*J651/100</f>
      </c>
      <c r="AC651" s="7">
        <f>H651*K651</f>
      </c>
      <c r="AD651" s="7">
        <f>H651*M651</f>
      </c>
      <c r="AE651" s="6">
        <f>H651*L651/100</f>
      </c>
      <c r="AF651" s="6">
        <f>AA651+AB651+AE651</f>
      </c>
      <c r="AG651" s="6">
        <f>I651+J651+L651</f>
      </c>
      <c r="AH651" s="53">
        <f>$H651*I651</f>
      </c>
      <c r="AI651" s="53">
        <f>$H651*J651</f>
      </c>
      <c r="AJ651" s="53">
        <f>$H651*K651</f>
      </c>
      <c r="AK651" s="53">
        <f>$H651*L651</f>
      </c>
      <c r="AL651" s="53">
        <f>$H651*M651</f>
      </c>
      <c r="AM651" s="3"/>
      <c r="AN651" s="5"/>
      <c r="AO651" s="5"/>
      <c r="AP651" s="5"/>
      <c r="AQ651" s="3"/>
    </row>
    <row x14ac:dyDescent="0.25" r="652" customHeight="1" ht="12.75">
      <c r="A652" s="5" t="s">
        <v>524</v>
      </c>
      <c r="B652" s="3" t="s">
        <v>1128</v>
      </c>
      <c r="C652" s="3" t="s">
        <v>866</v>
      </c>
      <c r="D652" s="3" t="s">
        <v>988</v>
      </c>
      <c r="E652" s="3" t="s">
        <v>855</v>
      </c>
      <c r="F652" s="3" t="s">
        <v>1656</v>
      </c>
      <c r="G652" s="3" t="s">
        <v>1204</v>
      </c>
      <c r="H652" s="6">
        <v>2.51</v>
      </c>
      <c r="I652" s="6">
        <v>3.17</v>
      </c>
      <c r="J652" s="6">
        <v>3.84</v>
      </c>
      <c r="K652" s="7">
        <f>(16.51*1.63)/H652</f>
      </c>
      <c r="L652" s="6">
        <v>0.31</v>
      </c>
      <c r="M652" s="6"/>
      <c r="N652" s="7"/>
      <c r="O652" s="23"/>
      <c r="P652" s="6"/>
      <c r="Q652" s="6"/>
      <c r="R652" s="31"/>
      <c r="S652" s="6"/>
      <c r="T652" s="31"/>
      <c r="U652" s="6"/>
      <c r="V652" s="23"/>
      <c r="W652" s="6"/>
      <c r="X652" s="6"/>
      <c r="Y652" s="5"/>
      <c r="Z652" s="3"/>
      <c r="AA652" s="6">
        <f>H652*I652/100</f>
      </c>
      <c r="AB652" s="6">
        <f>H652*J652/100</f>
      </c>
      <c r="AC652" s="7">
        <f>H652*K652</f>
      </c>
      <c r="AD652" s="7">
        <f>H652*M652</f>
      </c>
      <c r="AE652" s="6">
        <f>H652*L652/100</f>
      </c>
      <c r="AF652" s="6">
        <f>AA652+AB652+AE652</f>
      </c>
      <c r="AG652" s="6">
        <f>I652+J652+L652</f>
      </c>
      <c r="AH652" s="53">
        <f>$H652*I652</f>
      </c>
      <c r="AI652" s="53">
        <f>$H652*J652</f>
      </c>
      <c r="AJ652" s="53">
        <f>$H652*K652</f>
      </c>
      <c r="AK652" s="53">
        <f>$H652*L652</f>
      </c>
      <c r="AL652" s="53">
        <f>$H652*M652</f>
      </c>
      <c r="AM652" s="3"/>
      <c r="AN652" s="5"/>
      <c r="AO652" s="5"/>
      <c r="AP652" s="5"/>
      <c r="AQ652" s="3"/>
    </row>
    <row x14ac:dyDescent="0.25" r="653" customHeight="1" ht="12.75">
      <c r="A653" s="5" t="s">
        <v>740</v>
      </c>
      <c r="B653" s="3" t="s">
        <v>1128</v>
      </c>
      <c r="C653" s="3" t="s">
        <v>866</v>
      </c>
      <c r="D653" s="3" t="s">
        <v>988</v>
      </c>
      <c r="E653" s="3" t="s">
        <v>855</v>
      </c>
      <c r="F653" s="3" t="s">
        <v>1656</v>
      </c>
      <c r="G653" s="3" t="s">
        <v>1204</v>
      </c>
      <c r="H653" s="6">
        <v>1.9</v>
      </c>
      <c r="I653" s="6">
        <v>1.51</v>
      </c>
      <c r="J653" s="6">
        <v>2.98</v>
      </c>
      <c r="K653" s="5"/>
      <c r="L653" s="6">
        <v>0.26</v>
      </c>
      <c r="M653" s="6"/>
      <c r="N653" s="7"/>
      <c r="O653" s="23"/>
      <c r="P653" s="6"/>
      <c r="Q653" s="6"/>
      <c r="R653" s="31"/>
      <c r="S653" s="6"/>
      <c r="T653" s="31"/>
      <c r="U653" s="6"/>
      <c r="V653" s="23"/>
      <c r="W653" s="6"/>
      <c r="X653" s="6"/>
      <c r="Y653" s="5"/>
      <c r="Z653" s="3"/>
      <c r="AA653" s="6">
        <f>H653*I653/100</f>
      </c>
      <c r="AB653" s="6">
        <f>H653*J653/100</f>
      </c>
      <c r="AC653" s="7">
        <f>H653*K653</f>
      </c>
      <c r="AD653" s="7">
        <f>H653*M653</f>
      </c>
      <c r="AE653" s="6">
        <f>H653*L653/100</f>
      </c>
      <c r="AF653" s="6">
        <f>AA653+AB653+AE653</f>
      </c>
      <c r="AG653" s="6">
        <f>I653+J653+L653</f>
      </c>
      <c r="AH653" s="53">
        <f>$H653*I653</f>
      </c>
      <c r="AI653" s="53">
        <f>$H653*J653</f>
      </c>
      <c r="AJ653" s="53">
        <f>$H653*K653</f>
      </c>
      <c r="AK653" s="53">
        <f>$H653*L653</f>
      </c>
      <c r="AL653" s="53">
        <f>$H653*M653</f>
      </c>
      <c r="AM653" s="3"/>
      <c r="AN653" s="5"/>
      <c r="AO653" s="5"/>
      <c r="AP653" s="5"/>
      <c r="AQ653" s="3"/>
    </row>
    <row x14ac:dyDescent="0.25" r="654" customHeight="1" ht="12.75">
      <c r="A654" s="5" t="s">
        <v>730</v>
      </c>
      <c r="B654" s="3" t="s">
        <v>1128</v>
      </c>
      <c r="C654" s="3" t="s">
        <v>866</v>
      </c>
      <c r="D654" s="3" t="s">
        <v>988</v>
      </c>
      <c r="E654" s="3" t="s">
        <v>855</v>
      </c>
      <c r="F654" s="3" t="s">
        <v>1656</v>
      </c>
      <c r="G654" s="3" t="s">
        <v>1204</v>
      </c>
      <c r="H654" s="6">
        <v>4.74</v>
      </c>
      <c r="I654" s="6">
        <v>0.11</v>
      </c>
      <c r="J654" s="6">
        <v>4.06</v>
      </c>
      <c r="K654" s="5"/>
      <c r="L654" s="6">
        <v>0.3</v>
      </c>
      <c r="M654" s="6"/>
      <c r="N654" s="7"/>
      <c r="O654" s="23"/>
      <c r="P654" s="6"/>
      <c r="Q654" s="6"/>
      <c r="R654" s="31"/>
      <c r="S654" s="6"/>
      <c r="T654" s="31"/>
      <c r="U654" s="6"/>
      <c r="V654" s="23"/>
      <c r="W654" s="6"/>
      <c r="X654" s="6"/>
      <c r="Y654" s="5"/>
      <c r="Z654" s="3"/>
      <c r="AA654" s="6">
        <f>H654*I654/100</f>
      </c>
      <c r="AB654" s="6">
        <f>H654*J654/100</f>
      </c>
      <c r="AC654" s="7">
        <f>H654*K654</f>
      </c>
      <c r="AD654" s="7">
        <f>H654*M654</f>
      </c>
      <c r="AE654" s="6">
        <f>H654*L654/100</f>
      </c>
      <c r="AF654" s="6">
        <f>AA654+AB654+AE654</f>
      </c>
      <c r="AG654" s="6">
        <f>I654+J654+L654</f>
      </c>
      <c r="AH654" s="53">
        <f>$H654*I654</f>
      </c>
      <c r="AI654" s="53">
        <f>$H654*J654</f>
      </c>
      <c r="AJ654" s="53">
        <f>$H654*K654</f>
      </c>
      <c r="AK654" s="53">
        <f>$H654*L654</f>
      </c>
      <c r="AL654" s="53">
        <f>$H654*M654</f>
      </c>
      <c r="AM654" s="3"/>
      <c r="AN654" s="5"/>
      <c r="AO654" s="5"/>
      <c r="AP654" s="5"/>
      <c r="AQ654" s="3"/>
    </row>
    <row x14ac:dyDescent="0.25" r="655" customHeight="1" ht="12.75">
      <c r="A655" s="5" t="s">
        <v>280</v>
      </c>
      <c r="B655" s="3" t="s">
        <v>1129</v>
      </c>
      <c r="C655" s="3" t="s">
        <v>856</v>
      </c>
      <c r="D655" s="3" t="s">
        <v>955</v>
      </c>
      <c r="E655" s="38" t="s">
        <v>859</v>
      </c>
      <c r="F655" s="3" t="s">
        <v>1657</v>
      </c>
      <c r="G655" s="3" t="s">
        <v>1337</v>
      </c>
      <c r="H655" s="23">
        <v>3.83897</v>
      </c>
      <c r="I655" s="6">
        <v>0.86</v>
      </c>
      <c r="J655" s="6">
        <v>3.9</v>
      </c>
      <c r="K655" s="5">
        <v>203</v>
      </c>
      <c r="L655" s="6"/>
      <c r="M655" s="6">
        <v>3.6</v>
      </c>
      <c r="N655" s="7"/>
      <c r="O655" s="23"/>
      <c r="P655" s="6"/>
      <c r="Q655" s="6"/>
      <c r="R655" s="31"/>
      <c r="S655" s="6"/>
      <c r="T655" s="31"/>
      <c r="U655" s="6"/>
      <c r="V655" s="23"/>
      <c r="W655" s="6"/>
      <c r="X655" s="6"/>
      <c r="Y655" s="5"/>
      <c r="Z655" s="3"/>
      <c r="AA655" s="6">
        <f>H655*I655/100</f>
      </c>
      <c r="AB655" s="6">
        <f>H655*J655/100</f>
      </c>
      <c r="AC655" s="7">
        <f>H655*K655</f>
      </c>
      <c r="AD655" s="7">
        <f>H655*M655</f>
      </c>
      <c r="AE655" s="6">
        <f>H655*L655/100</f>
      </c>
      <c r="AF655" s="6">
        <f>AA655+AB655+AE655</f>
      </c>
      <c r="AG655" s="6">
        <f>I655+J655+L655</f>
      </c>
      <c r="AH655" s="53">
        <f>$H655*I655</f>
      </c>
      <c r="AI655" s="53">
        <f>$H655*J655</f>
      </c>
      <c r="AJ655" s="53">
        <f>$H655*K655</f>
      </c>
      <c r="AK655" s="53">
        <f>$H655*L655</f>
      </c>
      <c r="AL655" s="53">
        <f>$H655*M655</f>
      </c>
      <c r="AM655" s="3"/>
      <c r="AN655" s="5"/>
      <c r="AO655" s="5"/>
      <c r="AP655" s="5"/>
      <c r="AQ655" s="3"/>
    </row>
    <row x14ac:dyDescent="0.25" r="656" customHeight="1" ht="12.75">
      <c r="A656" s="5" t="s">
        <v>283</v>
      </c>
      <c r="B656" s="3" t="s">
        <v>1129</v>
      </c>
      <c r="C656" s="3" t="s">
        <v>866</v>
      </c>
      <c r="D656" s="3" t="s">
        <v>989</v>
      </c>
      <c r="E656" s="38" t="s">
        <v>859</v>
      </c>
      <c r="F656" s="3" t="s">
        <v>1658</v>
      </c>
      <c r="G656" s="3" t="s">
        <v>1659</v>
      </c>
      <c r="H656" s="5">
        <v>19</v>
      </c>
      <c r="I656" s="5">
        <v>2</v>
      </c>
      <c r="J656" s="5">
        <v>7</v>
      </c>
      <c r="K656" s="5"/>
      <c r="L656" s="6">
        <v>0.5</v>
      </c>
      <c r="M656" s="6"/>
      <c r="N656" s="7"/>
      <c r="O656" s="23"/>
      <c r="P656" s="6"/>
      <c r="Q656" s="6"/>
      <c r="R656" s="31"/>
      <c r="S656" s="6"/>
      <c r="T656" s="31"/>
      <c r="U656" s="6"/>
      <c r="V656" s="23"/>
      <c r="W656" s="6"/>
      <c r="X656" s="6"/>
      <c r="Y656" s="5"/>
      <c r="Z656" s="3"/>
      <c r="AA656" s="6">
        <f>H656*I656/100</f>
      </c>
      <c r="AB656" s="6">
        <f>H656*J656/100</f>
      </c>
      <c r="AC656" s="7">
        <f>H656*K656</f>
      </c>
      <c r="AD656" s="7">
        <f>H656*M656</f>
      </c>
      <c r="AE656" s="6">
        <f>H656*L656/100</f>
      </c>
      <c r="AF656" s="6">
        <f>AA656+AB656+AE656</f>
      </c>
      <c r="AG656" s="6">
        <f>I656+J656+L656</f>
      </c>
      <c r="AH656" s="53">
        <f>$H656*I656</f>
      </c>
      <c r="AI656" s="53">
        <f>$H656*J656</f>
      </c>
      <c r="AJ656" s="53">
        <f>$H656*K656</f>
      </c>
      <c r="AK656" s="53">
        <f>$H656*L656</f>
      </c>
      <c r="AL656" s="53">
        <f>$H656*M656</f>
      </c>
      <c r="AM656" s="3"/>
      <c r="AN656" s="5"/>
      <c r="AO656" s="5"/>
      <c r="AP656" s="5"/>
      <c r="AQ656" s="3"/>
    </row>
    <row x14ac:dyDescent="0.25" r="657" customHeight="1" ht="12.75">
      <c r="A657" s="5" t="s">
        <v>351</v>
      </c>
      <c r="B657" s="3" t="s">
        <v>1129</v>
      </c>
      <c r="C657" s="3" t="s">
        <v>869</v>
      </c>
      <c r="D657" s="3"/>
      <c r="E657" s="3" t="s">
        <v>855</v>
      </c>
      <c r="F657" s="3" t="s">
        <v>1660</v>
      </c>
      <c r="G657" s="3" t="s">
        <v>1661</v>
      </c>
      <c r="H657" s="6">
        <f>5.05+4.933+5.898</f>
      </c>
      <c r="I657" s="6">
        <f>(6.79*5.05+7.44*4.933+6.98*5.898)/$H657</f>
      </c>
      <c r="J657" s="6">
        <f>(0.97*5.05+1.27*4.933+1.66*5.898)/$H657</f>
      </c>
      <c r="K657" s="7">
        <f>(121.8*5.05+133*4.933+131.1*5.898)/$H657</f>
      </c>
      <c r="L657" s="6"/>
      <c r="M657" s="6"/>
      <c r="N657" s="7"/>
      <c r="O657" s="23"/>
      <c r="P657" s="6"/>
      <c r="Q657" s="6"/>
      <c r="R657" s="31"/>
      <c r="S657" s="6"/>
      <c r="T657" s="31"/>
      <c r="U657" s="6"/>
      <c r="V657" s="23"/>
      <c r="W657" s="6"/>
      <c r="X657" s="6"/>
      <c r="Y657" s="5"/>
      <c r="Z657" s="3"/>
      <c r="AA657" s="6">
        <f>H657*I657/100</f>
      </c>
      <c r="AB657" s="6">
        <f>H657*J657/100</f>
      </c>
      <c r="AC657" s="7">
        <f>H657*K657</f>
      </c>
      <c r="AD657" s="7">
        <f>H657*M657</f>
      </c>
      <c r="AE657" s="6">
        <f>H657*L657/100</f>
      </c>
      <c r="AF657" s="6">
        <f>AA657+AB657+AE657</f>
      </c>
      <c r="AG657" s="6">
        <f>I657+J657+L657</f>
      </c>
      <c r="AH657" s="53">
        <f>$H657*I657</f>
      </c>
      <c r="AI657" s="53">
        <f>$H657*J657</f>
      </c>
      <c r="AJ657" s="53">
        <f>$H657*K657</f>
      </c>
      <c r="AK657" s="53">
        <f>$H657*L657</f>
      </c>
      <c r="AL657" s="53">
        <f>$H657*M657</f>
      </c>
      <c r="AM657" s="3"/>
      <c r="AN657" s="5"/>
      <c r="AO657" s="5"/>
      <c r="AP657" s="5"/>
      <c r="AQ657" s="3"/>
    </row>
    <row x14ac:dyDescent="0.25" r="658" customHeight="1" ht="12.75">
      <c r="A658" s="5" t="s">
        <v>77</v>
      </c>
      <c r="B658" s="3" t="s">
        <v>1130</v>
      </c>
      <c r="C658" s="3" t="s">
        <v>866</v>
      </c>
      <c r="D658" s="3" t="s">
        <v>989</v>
      </c>
      <c r="E658" s="3" t="s">
        <v>855</v>
      </c>
      <c r="F658" s="3" t="s">
        <v>1662</v>
      </c>
      <c r="G658" s="3" t="s">
        <v>1337</v>
      </c>
      <c r="H658" s="23">
        <v>1.3396</v>
      </c>
      <c r="I658" s="6">
        <v>3.69</v>
      </c>
      <c r="J658" s="6">
        <v>14.74</v>
      </c>
      <c r="K658" s="6">
        <v>8.7</v>
      </c>
      <c r="L658" s="6"/>
      <c r="M658" s="6"/>
      <c r="N658" s="7"/>
      <c r="O658" s="23"/>
      <c r="P658" s="6"/>
      <c r="Q658" s="6"/>
      <c r="R658" s="31"/>
      <c r="S658" s="6"/>
      <c r="T658" s="31"/>
      <c r="U658" s="6"/>
      <c r="V658" s="23"/>
      <c r="W658" s="6"/>
      <c r="X658" s="23">
        <f>0.329*(2*50.9415/(2*50.9415+5*16))</f>
      </c>
      <c r="Y658" s="23"/>
      <c r="Z658" s="3"/>
      <c r="AA658" s="6">
        <f>H658*I658/100</f>
      </c>
      <c r="AB658" s="6">
        <f>H658*J658/100</f>
      </c>
      <c r="AC658" s="7">
        <f>H658*K658</f>
      </c>
      <c r="AD658" s="7">
        <f>H658*M658</f>
      </c>
      <c r="AE658" s="6">
        <f>H658*L658/100</f>
      </c>
      <c r="AF658" s="6">
        <f>AA658+AB658+AE658</f>
      </c>
      <c r="AG658" s="6">
        <f>I658+J658+L658</f>
      </c>
      <c r="AH658" s="53">
        <f>$H658*I658</f>
      </c>
      <c r="AI658" s="53">
        <f>$H658*J658</f>
      </c>
      <c r="AJ658" s="53">
        <f>$H658*K658</f>
      </c>
      <c r="AK658" s="53">
        <f>$H658*L658</f>
      </c>
      <c r="AL658" s="53">
        <f>$H658*M658</f>
      </c>
      <c r="AM658" s="3"/>
      <c r="AN658" s="5"/>
      <c r="AO658" s="5"/>
      <c r="AP658" s="5"/>
      <c r="AQ658" s="3"/>
    </row>
    <row x14ac:dyDescent="0.25" r="659" customHeight="1" ht="12.75">
      <c r="A659" s="5" t="s">
        <v>274</v>
      </c>
      <c r="B659" s="3" t="s">
        <v>1130</v>
      </c>
      <c r="C659" s="3" t="s">
        <v>866</v>
      </c>
      <c r="D659" s="3" t="s">
        <v>988</v>
      </c>
      <c r="E659" s="38" t="s">
        <v>859</v>
      </c>
      <c r="F659" s="3" t="s">
        <v>1663</v>
      </c>
      <c r="G659" s="3" t="s">
        <v>1519</v>
      </c>
      <c r="H659" s="6">
        <v>17.5</v>
      </c>
      <c r="I659" s="6">
        <v>2.3</v>
      </c>
      <c r="J659" s="6">
        <v>8.6</v>
      </c>
      <c r="K659" s="5"/>
      <c r="L659" s="6"/>
      <c r="M659" s="6"/>
      <c r="N659" s="7"/>
      <c r="O659" s="23"/>
      <c r="P659" s="6"/>
      <c r="Q659" s="6"/>
      <c r="R659" s="31"/>
      <c r="S659" s="6"/>
      <c r="T659" s="31"/>
      <c r="U659" s="6"/>
      <c r="V659" s="23"/>
      <c r="W659" s="6"/>
      <c r="X659" s="6"/>
      <c r="Y659" s="5"/>
      <c r="Z659" s="3"/>
      <c r="AA659" s="6">
        <f>H659*I659/100</f>
      </c>
      <c r="AB659" s="6">
        <f>H659*J659/100</f>
      </c>
      <c r="AC659" s="7">
        <f>H659*K659</f>
      </c>
      <c r="AD659" s="7">
        <f>H659*M659</f>
      </c>
      <c r="AE659" s="6">
        <f>H659*L659/100</f>
      </c>
      <c r="AF659" s="6">
        <f>AA659+AB659+AE659</f>
      </c>
      <c r="AG659" s="6">
        <f>I659+J659+L659</f>
      </c>
      <c r="AH659" s="53">
        <f>$H659*I659</f>
      </c>
      <c r="AI659" s="53">
        <f>$H659*J659</f>
      </c>
      <c r="AJ659" s="53">
        <f>$H659*K659</f>
      </c>
      <c r="AK659" s="53">
        <f>$H659*L659</f>
      </c>
      <c r="AL659" s="53">
        <f>$H659*M659</f>
      </c>
      <c r="AM659" s="3"/>
      <c r="AN659" s="5"/>
      <c r="AO659" s="5"/>
      <c r="AP659" s="5"/>
      <c r="AQ659" s="3"/>
    </row>
    <row x14ac:dyDescent="0.25" r="660" customHeight="1" ht="12.75">
      <c r="A660" s="5" t="s">
        <v>461</v>
      </c>
      <c r="B660" s="3" t="s">
        <v>1130</v>
      </c>
      <c r="C660" s="3" t="s">
        <v>866</v>
      </c>
      <c r="D660" s="3" t="s">
        <v>988</v>
      </c>
      <c r="E660" s="3" t="s">
        <v>855</v>
      </c>
      <c r="F660" s="3" t="s">
        <v>1664</v>
      </c>
      <c r="G660" s="3" t="s">
        <v>1204</v>
      </c>
      <c r="H660" s="6">
        <v>0.917</v>
      </c>
      <c r="I660" s="6">
        <v>2.4</v>
      </c>
      <c r="J660" s="6">
        <v>5.7</v>
      </c>
      <c r="K660" s="6">
        <v>44.8</v>
      </c>
      <c r="L660" s="6"/>
      <c r="M660" s="6"/>
      <c r="N660" s="7"/>
      <c r="O660" s="23"/>
      <c r="P660" s="6"/>
      <c r="Q660" s="6"/>
      <c r="R660" s="31">
        <f>(5.7/6.6)*33</f>
      </c>
      <c r="S660" s="6"/>
      <c r="T660" s="31"/>
      <c r="U660" s="6"/>
      <c r="V660" s="23"/>
      <c r="W660" s="6"/>
      <c r="X660" s="6"/>
      <c r="Y660" s="5"/>
      <c r="Z660" s="3"/>
      <c r="AA660" s="6">
        <f>H660*I660/100</f>
      </c>
      <c r="AB660" s="6">
        <f>H660*J660/100</f>
      </c>
      <c r="AC660" s="7">
        <f>H660*K660</f>
      </c>
      <c r="AD660" s="7">
        <f>H660*M660</f>
      </c>
      <c r="AE660" s="6">
        <f>H660*L660/100</f>
      </c>
      <c r="AF660" s="6">
        <f>AA660+AB660+AE660</f>
      </c>
      <c r="AG660" s="6">
        <f>I660+J660+L660</f>
      </c>
      <c r="AH660" s="53">
        <f>$H660*I660</f>
      </c>
      <c r="AI660" s="53">
        <f>$H660*J660</f>
      </c>
      <c r="AJ660" s="53">
        <f>$H660*K660</f>
      </c>
      <c r="AK660" s="53">
        <f>$H660*L660</f>
      </c>
      <c r="AL660" s="53">
        <f>$H660*M660</f>
      </c>
      <c r="AM660" s="3"/>
      <c r="AN660" s="5"/>
      <c r="AO660" s="5"/>
      <c r="AP660" s="5"/>
      <c r="AQ660" s="3"/>
    </row>
    <row x14ac:dyDescent="0.25" r="661" customHeight="1" ht="12.75">
      <c r="A661" s="5" t="s">
        <v>1041</v>
      </c>
      <c r="B661" s="3" t="s">
        <v>1130</v>
      </c>
      <c r="C661" s="16" t="s">
        <v>1665</v>
      </c>
      <c r="D661" s="3"/>
      <c r="E661" s="16" t="s">
        <v>1247</v>
      </c>
      <c r="F661" s="3" t="s">
        <v>1664</v>
      </c>
      <c r="G661" s="3" t="s">
        <v>1204</v>
      </c>
      <c r="H661" s="6">
        <v>0.61</v>
      </c>
      <c r="I661" s="6">
        <v>0.3</v>
      </c>
      <c r="J661" s="6">
        <v>2.1</v>
      </c>
      <c r="K661" s="6">
        <v>7.6</v>
      </c>
      <c r="L661" s="6"/>
      <c r="M661" s="6"/>
      <c r="N661" s="7"/>
      <c r="O661" s="23"/>
      <c r="P661" s="6"/>
      <c r="Q661" s="6"/>
      <c r="R661" s="31"/>
      <c r="S661" s="6"/>
      <c r="T661" s="31"/>
      <c r="U661" s="6"/>
      <c r="V661" s="23"/>
      <c r="W661" s="6"/>
      <c r="X661" s="6"/>
      <c r="Y661" s="5"/>
      <c r="Z661" s="3"/>
      <c r="AA661" s="6">
        <f>H661*I661/100</f>
      </c>
      <c r="AB661" s="6">
        <f>H661*J661/100</f>
      </c>
      <c r="AC661" s="7">
        <f>H661*K661</f>
      </c>
      <c r="AD661" s="7">
        <f>H661*M661</f>
      </c>
      <c r="AE661" s="6">
        <f>H661*L661/100</f>
      </c>
      <c r="AF661" s="6">
        <f>AA661+AB661+AE661</f>
      </c>
      <c r="AG661" s="6">
        <f>I661+J661+L661</f>
      </c>
      <c r="AH661" s="53">
        <f>$H661*I661</f>
      </c>
      <c r="AI661" s="53">
        <f>$H661*J661</f>
      </c>
      <c r="AJ661" s="53">
        <f>$H661*K661</f>
      </c>
      <c r="AK661" s="53">
        <f>$H661*L661</f>
      </c>
      <c r="AL661" s="53">
        <f>$H661*M661</f>
      </c>
      <c r="AM661" s="3"/>
      <c r="AN661" s="5"/>
      <c r="AO661" s="5"/>
      <c r="AP661" s="5"/>
      <c r="AQ661" s="3"/>
    </row>
    <row x14ac:dyDescent="0.25" r="662" customHeight="1" ht="12.75">
      <c r="A662" s="5" t="s">
        <v>346</v>
      </c>
      <c r="B662" s="3" t="s">
        <v>1130</v>
      </c>
      <c r="C662" s="3" t="s">
        <v>866</v>
      </c>
      <c r="D662" s="3" t="s">
        <v>988</v>
      </c>
      <c r="E662" s="3" t="s">
        <v>855</v>
      </c>
      <c r="F662" s="3" t="s">
        <v>1180</v>
      </c>
      <c r="G662" s="3" t="s">
        <v>1181</v>
      </c>
      <c r="H662" s="6">
        <f>2.62+7.5+4.5</f>
      </c>
      <c r="I662" s="6">
        <f>(2.26*2.62+1.8*7.5+1*4.5)/$H662</f>
      </c>
      <c r="J662" s="7">
        <f>(8.15*2.62+7.8*7.5+7*4.5)/$H662</f>
      </c>
      <c r="K662" s="31">
        <f>(47*2.62+33*7.5+40*4.5)/$H662</f>
      </c>
      <c r="L662" s="6"/>
      <c r="M662" s="6"/>
      <c r="N662" s="7"/>
      <c r="O662" s="23"/>
      <c r="P662" s="6"/>
      <c r="Q662" s="6"/>
      <c r="R662" s="31"/>
      <c r="S662" s="6"/>
      <c r="T662" s="31"/>
      <c r="U662" s="6"/>
      <c r="V662" s="23"/>
      <c r="W662" s="6"/>
      <c r="X662" s="6"/>
      <c r="Y662" s="5"/>
      <c r="Z662" s="3"/>
      <c r="AA662" s="6">
        <f>H662*I662/100</f>
      </c>
      <c r="AB662" s="6">
        <f>H662*J662/100</f>
      </c>
      <c r="AC662" s="7">
        <f>H662*K662</f>
      </c>
      <c r="AD662" s="7">
        <f>H662*M662</f>
      </c>
      <c r="AE662" s="6">
        <f>H662*L662/100</f>
      </c>
      <c r="AF662" s="6">
        <f>AA662+AB662+AE662</f>
      </c>
      <c r="AG662" s="6">
        <f>I662+J662+L662</f>
      </c>
      <c r="AH662" s="53">
        <f>$H662*I662</f>
      </c>
      <c r="AI662" s="53">
        <f>$H662*J662</f>
      </c>
      <c r="AJ662" s="53">
        <f>$H662*K662</f>
      </c>
      <c r="AK662" s="53">
        <f>$H662*L662</f>
      </c>
      <c r="AL662" s="53">
        <f>$H662*M662</f>
      </c>
      <c r="AM662" s="3"/>
      <c r="AN662" s="5"/>
      <c r="AO662" s="5"/>
      <c r="AP662" s="5"/>
      <c r="AQ662" s="3"/>
    </row>
    <row x14ac:dyDescent="0.25" r="663" customHeight="1" ht="12.75">
      <c r="A663" s="5" t="s">
        <v>359</v>
      </c>
      <c r="B663" s="3" t="s">
        <v>1130</v>
      </c>
      <c r="C663" s="3" t="s">
        <v>870</v>
      </c>
      <c r="D663" s="3" t="s">
        <v>1013</v>
      </c>
      <c r="E663" s="3" t="s">
        <v>855</v>
      </c>
      <c r="F663" s="3" t="s">
        <v>1588</v>
      </c>
      <c r="G663" s="3" t="s">
        <v>1566</v>
      </c>
      <c r="H663" s="6">
        <f>3.6+3.5</f>
      </c>
      <c r="I663" s="6"/>
      <c r="J663" s="6">
        <f>(10.2*3.6+9.13*3.5)/H663</f>
      </c>
      <c r="K663" s="5"/>
      <c r="L663" s="6"/>
      <c r="M663" s="6"/>
      <c r="N663" s="7"/>
      <c r="O663" s="23"/>
      <c r="P663" s="6"/>
      <c r="Q663" s="6"/>
      <c r="R663" s="31"/>
      <c r="S663" s="6"/>
      <c r="T663" s="31"/>
      <c r="U663" s="6"/>
      <c r="V663" s="23"/>
      <c r="W663" s="6"/>
      <c r="X663" s="6"/>
      <c r="Y663" s="5"/>
      <c r="Z663" s="3"/>
      <c r="AA663" s="6">
        <f>H663*I663/100</f>
      </c>
      <c r="AB663" s="6">
        <f>H663*J663/100</f>
      </c>
      <c r="AC663" s="7">
        <f>H663*K663</f>
      </c>
      <c r="AD663" s="7">
        <f>H663*M663</f>
      </c>
      <c r="AE663" s="6">
        <f>H663*L663/100</f>
      </c>
      <c r="AF663" s="6">
        <f>AA663+AB663+AE663</f>
      </c>
      <c r="AG663" s="6">
        <f>I663+J663+L663</f>
      </c>
      <c r="AH663" s="53">
        <f>$H663*I663</f>
      </c>
      <c r="AI663" s="53">
        <f>$H663*J663</f>
      </c>
      <c r="AJ663" s="53">
        <f>$H663*K663</f>
      </c>
      <c r="AK663" s="53">
        <f>$H663*L663</f>
      </c>
      <c r="AL663" s="53">
        <f>$H663*M663</f>
      </c>
      <c r="AM663" s="3"/>
      <c r="AN663" s="5"/>
      <c r="AO663" s="5"/>
      <c r="AP663" s="5"/>
      <c r="AQ663" s="3"/>
    </row>
    <row x14ac:dyDescent="0.25" r="664" customHeight="1" ht="12.75">
      <c r="A664" s="5" t="s">
        <v>499</v>
      </c>
      <c r="B664" s="3" t="s">
        <v>1130</v>
      </c>
      <c r="C664" s="3" t="s">
        <v>866</v>
      </c>
      <c r="D664" s="3" t="s">
        <v>993</v>
      </c>
      <c r="E664" s="3" t="s">
        <v>855</v>
      </c>
      <c r="F664" s="3" t="s">
        <v>1171</v>
      </c>
      <c r="G664" s="3" t="s">
        <v>1666</v>
      </c>
      <c r="H664" s="6">
        <v>5.8</v>
      </c>
      <c r="I664" s="6">
        <v>6.4</v>
      </c>
      <c r="J664" s="6">
        <v>0.8</v>
      </c>
      <c r="K664" s="5">
        <v>47</v>
      </c>
      <c r="L664" s="6">
        <v>0.4</v>
      </c>
      <c r="M664" s="6"/>
      <c r="N664" s="7"/>
      <c r="O664" s="23"/>
      <c r="P664" s="6"/>
      <c r="Q664" s="6"/>
      <c r="R664" s="31"/>
      <c r="S664" s="6"/>
      <c r="T664" s="31"/>
      <c r="U664" s="6"/>
      <c r="V664" s="23"/>
      <c r="W664" s="6"/>
      <c r="X664" s="6"/>
      <c r="Y664" s="5"/>
      <c r="Z664" s="3"/>
      <c r="AA664" s="6">
        <f>H664*I664/100</f>
      </c>
      <c r="AB664" s="6">
        <f>H664*J664/100</f>
      </c>
      <c r="AC664" s="7">
        <f>H664*K664</f>
      </c>
      <c r="AD664" s="7">
        <f>H664*M664</f>
      </c>
      <c r="AE664" s="6">
        <f>H664*L664/100</f>
      </c>
      <c r="AF664" s="6">
        <f>AA664+AB664+AE664</f>
      </c>
      <c r="AG664" s="6">
        <f>I664+J664+L664</f>
      </c>
      <c r="AH664" s="53">
        <f>$H664*I664</f>
      </c>
      <c r="AI664" s="53">
        <f>$H664*J664</f>
      </c>
      <c r="AJ664" s="53">
        <f>$H664*K664</f>
      </c>
      <c r="AK664" s="53">
        <f>$H664*L664</f>
      </c>
      <c r="AL664" s="53">
        <f>$H664*M664</f>
      </c>
      <c r="AM664" s="3"/>
      <c r="AN664" s="5"/>
      <c r="AO664" s="5"/>
      <c r="AP664" s="5"/>
      <c r="AQ664" s="3"/>
    </row>
    <row x14ac:dyDescent="0.25" r="665" customHeight="1" ht="12.75">
      <c r="A665" s="5" t="s">
        <v>1055</v>
      </c>
      <c r="B665" s="3" t="s">
        <v>1130</v>
      </c>
      <c r="C665" s="16" t="s">
        <v>1665</v>
      </c>
      <c r="D665" s="3" t="s">
        <v>994</v>
      </c>
      <c r="E665" s="16" t="s">
        <v>1247</v>
      </c>
      <c r="F665" s="3" t="s">
        <v>1667</v>
      </c>
      <c r="G665" s="3" t="s">
        <v>1337</v>
      </c>
      <c r="H665" s="5">
        <v>12</v>
      </c>
      <c r="I665" s="6">
        <v>0.77</v>
      </c>
      <c r="J665" s="6">
        <v>0.63</v>
      </c>
      <c r="K665" s="6">
        <v>12.74</v>
      </c>
      <c r="L665" s="6">
        <v>0.48</v>
      </c>
      <c r="M665" s="6"/>
      <c r="N665" s="7"/>
      <c r="O665" s="23"/>
      <c r="P665" s="6"/>
      <c r="Q665" s="6"/>
      <c r="R665" s="31"/>
      <c r="S665" s="6"/>
      <c r="T665" s="31"/>
      <c r="U665" s="6"/>
      <c r="V665" s="23"/>
      <c r="W665" s="6"/>
      <c r="X665" s="6"/>
      <c r="Y665" s="5"/>
      <c r="Z665" s="3"/>
      <c r="AA665" s="6">
        <f>H665*I665/100</f>
      </c>
      <c r="AB665" s="6">
        <f>H665*J665/100</f>
      </c>
      <c r="AC665" s="7">
        <f>H665*K665</f>
      </c>
      <c r="AD665" s="7">
        <f>H665*M665</f>
      </c>
      <c r="AE665" s="6">
        <f>H665*L665/100</f>
      </c>
      <c r="AF665" s="6">
        <f>AA665+AB665+AE665</f>
      </c>
      <c r="AG665" s="6">
        <f>I665+J665+L665</f>
      </c>
      <c r="AH665" s="53">
        <f>$H665*I665</f>
      </c>
      <c r="AI665" s="53">
        <f>$H665*J665</f>
      </c>
      <c r="AJ665" s="53">
        <f>$H665*K665</f>
      </c>
      <c r="AK665" s="53">
        <f>$H665*L665</f>
      </c>
      <c r="AL665" s="53">
        <f>$H665*M665</f>
      </c>
      <c r="AM665" s="3"/>
      <c r="AN665" s="5"/>
      <c r="AO665" s="5"/>
      <c r="AP665" s="5"/>
      <c r="AQ665" s="3"/>
    </row>
    <row x14ac:dyDescent="0.25" r="666" customHeight="1" ht="12.75">
      <c r="A666" s="5" t="s">
        <v>130</v>
      </c>
      <c r="B666" s="3" t="s">
        <v>1131</v>
      </c>
      <c r="C666" s="3" t="s">
        <v>866</v>
      </c>
      <c r="D666" s="3" t="s">
        <v>988</v>
      </c>
      <c r="E666" s="38" t="s">
        <v>859</v>
      </c>
      <c r="F666" s="3" t="s">
        <v>1171</v>
      </c>
      <c r="G666" s="3" t="s">
        <v>1668</v>
      </c>
      <c r="H666" s="6">
        <v>1.3</v>
      </c>
      <c r="I666" s="6">
        <v>2.13</v>
      </c>
      <c r="J666" s="6">
        <v>13.35</v>
      </c>
      <c r="K666" s="5">
        <v>27</v>
      </c>
      <c r="L666" s="6"/>
      <c r="M666" s="6"/>
      <c r="N666" s="7"/>
      <c r="O666" s="23"/>
      <c r="P666" s="6"/>
      <c r="Q666" s="6"/>
      <c r="R666" s="31"/>
      <c r="S666" s="6"/>
      <c r="T666" s="31"/>
      <c r="U666" s="6"/>
      <c r="V666" s="23"/>
      <c r="W666" s="6"/>
      <c r="X666" s="6"/>
      <c r="Y666" s="5"/>
      <c r="Z666" s="3"/>
      <c r="AA666" s="6">
        <f>H666*I666/100</f>
      </c>
      <c r="AB666" s="6">
        <f>H666*J666/100</f>
      </c>
      <c r="AC666" s="7">
        <f>H666*K666</f>
      </c>
      <c r="AD666" s="7">
        <f>H666*M666</f>
      </c>
      <c r="AE666" s="6">
        <f>H666*L666/100</f>
      </c>
      <c r="AF666" s="6">
        <f>AA666+AB666+AE666</f>
      </c>
      <c r="AG666" s="6">
        <f>I666+J666+L666</f>
      </c>
      <c r="AH666" s="53">
        <f>$H666*I666</f>
      </c>
      <c r="AI666" s="53">
        <f>$H666*J666</f>
      </c>
      <c r="AJ666" s="53">
        <f>$H666*K666</f>
      </c>
      <c r="AK666" s="53">
        <f>$H666*L666</f>
      </c>
      <c r="AL666" s="53">
        <f>$H666*M666</f>
      </c>
      <c r="AM666" s="3"/>
      <c r="AN666" s="5"/>
      <c r="AO666" s="5"/>
      <c r="AP666" s="5"/>
      <c r="AQ666" s="3"/>
    </row>
    <row x14ac:dyDescent="0.25" r="667" customHeight="1" ht="12.75">
      <c r="A667" s="5" t="s">
        <v>64</v>
      </c>
      <c r="B667" s="3" t="s">
        <v>1131</v>
      </c>
      <c r="C667" s="3" t="s">
        <v>866</v>
      </c>
      <c r="D667" s="3" t="s">
        <v>988</v>
      </c>
      <c r="E667" s="38" t="s">
        <v>859</v>
      </c>
      <c r="F667" s="3" t="s">
        <v>1171</v>
      </c>
      <c r="G667" s="3" t="s">
        <v>1668</v>
      </c>
      <c r="H667" s="6">
        <v>1.1</v>
      </c>
      <c r="I667" s="6">
        <v>4.05</v>
      </c>
      <c r="J667" s="6">
        <v>16.25</v>
      </c>
      <c r="K667" s="6">
        <v>19.43</v>
      </c>
      <c r="L667" s="6"/>
      <c r="M667" s="6"/>
      <c r="N667" s="7"/>
      <c r="O667" s="23"/>
      <c r="P667" s="6"/>
      <c r="Q667" s="6"/>
      <c r="R667" s="31"/>
      <c r="S667" s="6"/>
      <c r="T667" s="31"/>
      <c r="U667" s="6"/>
      <c r="V667" s="23"/>
      <c r="W667" s="6"/>
      <c r="X667" s="6"/>
      <c r="Y667" s="5"/>
      <c r="Z667" s="3"/>
      <c r="AA667" s="6">
        <f>H667*I667/100</f>
      </c>
      <c r="AB667" s="6">
        <f>H667*J667/100</f>
      </c>
      <c r="AC667" s="7">
        <f>H667*K667</f>
      </c>
      <c r="AD667" s="7">
        <f>H667*M667</f>
      </c>
      <c r="AE667" s="6">
        <f>H667*L667/100</f>
      </c>
      <c r="AF667" s="6">
        <f>AA667+AB667+AE667</f>
      </c>
      <c r="AG667" s="6">
        <f>I667+J667+L667</f>
      </c>
      <c r="AH667" s="53">
        <f>$H667*I667</f>
      </c>
      <c r="AI667" s="53">
        <f>$H667*J667</f>
      </c>
      <c r="AJ667" s="53">
        <f>$H667*K667</f>
      </c>
      <c r="AK667" s="53">
        <f>$H667*L667</f>
      </c>
      <c r="AL667" s="53">
        <f>$H667*M667</f>
      </c>
      <c r="AM667" s="3"/>
      <c r="AN667" s="5"/>
      <c r="AO667" s="5"/>
      <c r="AP667" s="5"/>
      <c r="AQ667" s="3"/>
    </row>
    <row x14ac:dyDescent="0.25" r="668" customHeight="1" ht="12.75">
      <c r="A668" s="5" t="s">
        <v>42</v>
      </c>
      <c r="B668" s="3" t="s">
        <v>1132</v>
      </c>
      <c r="C668" s="3" t="s">
        <v>865</v>
      </c>
      <c r="D668" s="3"/>
      <c r="E668" s="38" t="s">
        <v>859</v>
      </c>
      <c r="F668" s="3" t="s">
        <v>1669</v>
      </c>
      <c r="G668" s="3" t="s">
        <v>1670</v>
      </c>
      <c r="H668" s="5">
        <v>160</v>
      </c>
      <c r="I668" s="6">
        <v>3.2</v>
      </c>
      <c r="J668" s="6">
        <v>3.6</v>
      </c>
      <c r="K668" s="5">
        <v>180</v>
      </c>
      <c r="L668" s="6">
        <v>1.5</v>
      </c>
      <c r="M668" s="6">
        <v>0.6</v>
      </c>
      <c r="N668" s="7"/>
      <c r="O668" s="23"/>
      <c r="P668" s="6"/>
      <c r="Q668" s="6"/>
      <c r="R668" s="31"/>
      <c r="S668" s="6"/>
      <c r="T668" s="31"/>
      <c r="U668" s="6"/>
      <c r="V668" s="23"/>
      <c r="W668" s="6"/>
      <c r="X668" s="6"/>
      <c r="Y668" s="5"/>
      <c r="Z668" s="3"/>
      <c r="AA668" s="6">
        <f>H668*I668/100</f>
      </c>
      <c r="AB668" s="6">
        <f>H668*J668/100</f>
      </c>
      <c r="AC668" s="7">
        <f>H668*K668</f>
      </c>
      <c r="AD668" s="7">
        <f>H668*M668</f>
      </c>
      <c r="AE668" s="6">
        <f>H668*L668/100</f>
      </c>
      <c r="AF668" s="6">
        <f>AA668+AB668+AE668</f>
      </c>
      <c r="AG668" s="6">
        <f>I668+J668+L668</f>
      </c>
      <c r="AH668" s="53">
        <f>$H668*I668</f>
      </c>
      <c r="AI668" s="53">
        <f>$H668*J668</f>
      </c>
      <c r="AJ668" s="53">
        <f>$H668*K668</f>
      </c>
      <c r="AK668" s="53">
        <f>$H668*L668</f>
      </c>
      <c r="AL668" s="53">
        <f>$H668*M668</f>
      </c>
      <c r="AM668" s="3"/>
      <c r="AN668" s="5"/>
      <c r="AO668" s="5"/>
      <c r="AP668" s="5"/>
      <c r="AQ668" s="3"/>
    </row>
    <row x14ac:dyDescent="0.25" r="669" customHeight="1" ht="12.75">
      <c r="A669" s="5" t="s">
        <v>40</v>
      </c>
      <c r="B669" s="3" t="s">
        <v>1132</v>
      </c>
      <c r="C669" s="3" t="s">
        <v>866</v>
      </c>
      <c r="D669" s="3" t="s">
        <v>989</v>
      </c>
      <c r="E669" s="38" t="s">
        <v>859</v>
      </c>
      <c r="F669" s="3" t="s">
        <v>1669</v>
      </c>
      <c r="G669" s="3" t="s">
        <v>1670</v>
      </c>
      <c r="H669" s="5">
        <v>266</v>
      </c>
      <c r="I669" s="6">
        <v>0.88</v>
      </c>
      <c r="J669" s="6">
        <v>4.21</v>
      </c>
      <c r="K669" s="5"/>
      <c r="L669" s="6"/>
      <c r="M669" s="6"/>
      <c r="N669" s="7"/>
      <c r="O669" s="23"/>
      <c r="P669" s="6"/>
      <c r="Q669" s="6"/>
      <c r="R669" s="31"/>
      <c r="S669" s="6"/>
      <c r="T669" s="31"/>
      <c r="U669" s="6"/>
      <c r="V669" s="23"/>
      <c r="W669" s="6"/>
      <c r="X669" s="6"/>
      <c r="Y669" s="5"/>
      <c r="Z669" s="3"/>
      <c r="AA669" s="6">
        <f>H669*I669/100</f>
      </c>
      <c r="AB669" s="6">
        <f>H669*J669/100</f>
      </c>
      <c r="AC669" s="7">
        <f>H669*K669</f>
      </c>
      <c r="AD669" s="7">
        <f>H669*M669</f>
      </c>
      <c r="AE669" s="6">
        <f>H669*L669/100</f>
      </c>
      <c r="AF669" s="6">
        <f>AA669+AB669+AE669</f>
      </c>
      <c r="AG669" s="6">
        <f>I669+J669+L669</f>
      </c>
      <c r="AH669" s="53">
        <f>$H669*I669</f>
      </c>
      <c r="AI669" s="53">
        <f>$H669*J669</f>
      </c>
      <c r="AJ669" s="53">
        <f>$H669*K669</f>
      </c>
      <c r="AK669" s="53">
        <f>$H669*L669</f>
      </c>
      <c r="AL669" s="53">
        <f>$H669*M669</f>
      </c>
      <c r="AM669" s="3"/>
      <c r="AN669" s="5"/>
      <c r="AO669" s="5"/>
      <c r="AP669" s="5"/>
      <c r="AQ669" s="3"/>
    </row>
    <row x14ac:dyDescent="0.25" r="670" customHeight="1" ht="12.75">
      <c r="A670" s="5" t="s">
        <v>166</v>
      </c>
      <c r="B670" s="3" t="s">
        <v>1133</v>
      </c>
      <c r="C670" s="3" t="s">
        <v>866</v>
      </c>
      <c r="D670" s="3" t="s">
        <v>988</v>
      </c>
      <c r="E670" s="3" t="s">
        <v>855</v>
      </c>
      <c r="F670" s="3" t="s">
        <v>1526</v>
      </c>
      <c r="G670" s="3" t="s">
        <v>1527</v>
      </c>
      <c r="H670" s="6">
        <v>14.48</v>
      </c>
      <c r="I670" s="6">
        <v>3.4</v>
      </c>
      <c r="J670" s="6">
        <v>9.9</v>
      </c>
      <c r="K670" s="6">
        <v>19.1</v>
      </c>
      <c r="L670" s="6"/>
      <c r="M670" s="6"/>
      <c r="N670" s="6">
        <v>7.8</v>
      </c>
      <c r="O670" s="23"/>
      <c r="P670" s="6"/>
      <c r="Q670" s="6"/>
      <c r="R670" s="31"/>
      <c r="S670" s="6"/>
      <c r="T670" s="6">
        <v>11.9</v>
      </c>
      <c r="U670" s="6"/>
      <c r="V670" s="23"/>
      <c r="W670" s="6"/>
      <c r="X670" s="6"/>
      <c r="Y670" s="5"/>
      <c r="Z670" s="3"/>
      <c r="AA670" s="6">
        <f>H670*I670/100</f>
      </c>
      <c r="AB670" s="6">
        <f>H670*J670/100</f>
      </c>
      <c r="AC670" s="7">
        <f>H670*K670</f>
      </c>
      <c r="AD670" s="7">
        <f>H670*M670</f>
      </c>
      <c r="AE670" s="6">
        <f>H670*L670/100</f>
      </c>
      <c r="AF670" s="6">
        <f>AA670+AB670+AE670</f>
      </c>
      <c r="AG670" s="6">
        <f>I670+J670+L670</f>
      </c>
      <c r="AH670" s="53">
        <f>$H670*I670</f>
      </c>
      <c r="AI670" s="53">
        <f>$H670*J670</f>
      </c>
      <c r="AJ670" s="53">
        <f>$H670*K670</f>
      </c>
      <c r="AK670" s="53">
        <f>$H670*L670</f>
      </c>
      <c r="AL670" s="53">
        <f>$H670*M670</f>
      </c>
      <c r="AM670" s="3"/>
      <c r="AN670" s="5"/>
      <c r="AO670" s="5"/>
      <c r="AP670" s="5"/>
      <c r="AQ670" s="3"/>
    </row>
    <row x14ac:dyDescent="0.25" r="671" customHeight="1" ht="12.75">
      <c r="A671" s="5" t="s">
        <v>512</v>
      </c>
      <c r="B671" s="3" t="s">
        <v>1133</v>
      </c>
      <c r="C671" s="3" t="s">
        <v>866</v>
      </c>
      <c r="D671" s="3" t="s">
        <v>988</v>
      </c>
      <c r="E671" s="38" t="s">
        <v>859</v>
      </c>
      <c r="F671" s="3" t="s">
        <v>1171</v>
      </c>
      <c r="G671" s="3" t="s">
        <v>1172</v>
      </c>
      <c r="H671" s="6">
        <v>9.9</v>
      </c>
      <c r="I671" s="6">
        <v>1.4</v>
      </c>
      <c r="J671" s="6">
        <v>5.4</v>
      </c>
      <c r="K671" s="5"/>
      <c r="L671" s="6"/>
      <c r="M671" s="6"/>
      <c r="N671" s="7"/>
      <c r="O671" s="23"/>
      <c r="P671" s="6"/>
      <c r="Q671" s="6"/>
      <c r="R671" s="31"/>
      <c r="S671" s="6"/>
      <c r="T671" s="31"/>
      <c r="U671" s="6"/>
      <c r="V671" s="23"/>
      <c r="W671" s="6"/>
      <c r="X671" s="6"/>
      <c r="Y671" s="5"/>
      <c r="Z671" s="3"/>
      <c r="AA671" s="6">
        <f>H671*I671/100</f>
      </c>
      <c r="AB671" s="6">
        <f>H671*J671/100</f>
      </c>
      <c r="AC671" s="7">
        <f>H671*K671</f>
      </c>
      <c r="AD671" s="7">
        <f>H671*M671</f>
      </c>
      <c r="AE671" s="6">
        <f>H671*L671/100</f>
      </c>
      <c r="AF671" s="6">
        <f>AA671+AB671+AE671</f>
      </c>
      <c r="AG671" s="6">
        <f>I671+J671+L671</f>
      </c>
      <c r="AH671" s="53">
        <f>$H671*I671</f>
      </c>
      <c r="AI671" s="53">
        <f>$H671*J671</f>
      </c>
      <c r="AJ671" s="53">
        <f>$H671*K671</f>
      </c>
      <c r="AK671" s="53">
        <f>$H671*L671</f>
      </c>
      <c r="AL671" s="53">
        <f>$H671*M671</f>
      </c>
      <c r="AM671" s="3"/>
      <c r="AN671" s="5"/>
      <c r="AO671" s="5"/>
      <c r="AP671" s="5"/>
      <c r="AQ671" s="3"/>
    </row>
    <row x14ac:dyDescent="0.25" r="672" customHeight="1" ht="12.75">
      <c r="A672" s="5" t="s">
        <v>1671</v>
      </c>
      <c r="B672" s="3" t="s">
        <v>1134</v>
      </c>
      <c r="C672" s="3" t="s">
        <v>869</v>
      </c>
      <c r="D672" s="3" t="s">
        <v>1013</v>
      </c>
      <c r="E672" s="3" t="s">
        <v>855</v>
      </c>
      <c r="F672" s="3" t="s">
        <v>1672</v>
      </c>
      <c r="G672" s="3" t="s">
        <v>1480</v>
      </c>
      <c r="H672" s="6">
        <f>2.119+4.494+0.197+0.017+0.92+0.553</f>
      </c>
      <c r="I672" s="6">
        <f>(0.93*2.119+0.71*4.494+0.51*0.197+1.66*0.017+0.95*0.92+0.81*0.553)/$H672</f>
      </c>
      <c r="J672" s="6">
        <f>(8.11*2.119+5.55*4.494+4.6*0.197+4.58*0.017+5.58*0.92+5.63*0.553)/$H672</f>
      </c>
      <c r="K672" s="5"/>
      <c r="L672" s="6"/>
      <c r="M672" s="6"/>
      <c r="N672" s="7"/>
      <c r="O672" s="23"/>
      <c r="P672" s="6"/>
      <c r="Q672" s="6"/>
      <c r="R672" s="31"/>
      <c r="S672" s="6"/>
      <c r="T672" s="31"/>
      <c r="U672" s="6"/>
      <c r="V672" s="23"/>
      <c r="W672" s="6"/>
      <c r="X672" s="6"/>
      <c r="Y672" s="5"/>
      <c r="Z672" s="3"/>
      <c r="AA672" s="6">
        <f>H672*I672/100</f>
      </c>
      <c r="AB672" s="6">
        <f>H672*J672/100</f>
      </c>
      <c r="AC672" s="7">
        <f>H672*K672</f>
      </c>
      <c r="AD672" s="7">
        <f>H672*M672</f>
      </c>
      <c r="AE672" s="6">
        <f>H672*L672/100</f>
      </c>
      <c r="AF672" s="6">
        <f>AA672+AB672+AE672</f>
      </c>
      <c r="AG672" s="6">
        <f>I672+J672+L672</f>
      </c>
      <c r="AH672" s="53">
        <f>$H672*I672</f>
      </c>
      <c r="AI672" s="53">
        <f>$H672*J672</f>
      </c>
      <c r="AJ672" s="53">
        <f>$H672*K672</f>
      </c>
      <c r="AK672" s="53">
        <f>$H672*L672</f>
      </c>
      <c r="AL672" s="53">
        <f>$H672*M672</f>
      </c>
      <c r="AM672" s="3"/>
      <c r="AN672" s="5"/>
      <c r="AO672" s="5"/>
      <c r="AP672" s="5"/>
      <c r="AQ672" s="3"/>
    </row>
    <row x14ac:dyDescent="0.25" r="673" customHeight="1" ht="12.75">
      <c r="A673" s="5" t="s">
        <v>665</v>
      </c>
      <c r="B673" s="3" t="s">
        <v>1134</v>
      </c>
      <c r="C673" s="3" t="s">
        <v>971</v>
      </c>
      <c r="D673" s="3" t="s">
        <v>972</v>
      </c>
      <c r="E673" s="3" t="s">
        <v>855</v>
      </c>
      <c r="F673" s="3" t="s">
        <v>1673</v>
      </c>
      <c r="G673" s="3" t="s">
        <v>1204</v>
      </c>
      <c r="H673" s="6">
        <f>4.969+3.008+3.031</f>
      </c>
      <c r="I673" s="6">
        <f>(1.04*4.969+0.69*3.008+0.85*3.031)/$H673</f>
      </c>
      <c r="J673" s="6">
        <f>(1.62*4.969+0.99*3.008+1.42*3.031)/$H673</f>
      </c>
      <c r="K673" s="7">
        <f>31.1*(3.92*4.969+1.9*3.008+5.01*3.031)/$H673</f>
      </c>
      <c r="L673" s="6">
        <f>(0.12*4.969+0.06*3.008+0.15*3.031)/$H673</f>
      </c>
      <c r="M673" s="6"/>
      <c r="N673" s="7"/>
      <c r="O673" s="23"/>
      <c r="P673" s="6"/>
      <c r="Q673" s="6"/>
      <c r="R673" s="31"/>
      <c r="S673" s="6"/>
      <c r="T673" s="31"/>
      <c r="U673" s="6"/>
      <c r="V673" s="23"/>
      <c r="W673" s="6"/>
      <c r="X673" s="6"/>
      <c r="Y673" s="5"/>
      <c r="Z673" s="3"/>
      <c r="AA673" s="6">
        <f>H673*I673/100</f>
      </c>
      <c r="AB673" s="6">
        <f>H673*J673/100</f>
      </c>
      <c r="AC673" s="7">
        <f>H673*K673</f>
      </c>
      <c r="AD673" s="7">
        <f>H673*M673</f>
      </c>
      <c r="AE673" s="6">
        <f>H673*L673/100</f>
      </c>
      <c r="AF673" s="6">
        <f>AA673+AB673+AE673</f>
      </c>
      <c r="AG673" s="6">
        <f>I673+J673+L673</f>
      </c>
      <c r="AH673" s="53">
        <f>$H673*I673</f>
      </c>
      <c r="AI673" s="53">
        <f>$H673*J673</f>
      </c>
      <c r="AJ673" s="53">
        <f>$H673*K673</f>
      </c>
      <c r="AK673" s="53">
        <f>$H673*L673</f>
      </c>
      <c r="AL673" s="53">
        <f>$H673*M673</f>
      </c>
      <c r="AM673" s="3"/>
      <c r="AN673" s="5"/>
      <c r="AO673" s="5"/>
      <c r="AP673" s="5"/>
      <c r="AQ673" s="3"/>
    </row>
    <row x14ac:dyDescent="0.25" r="674" customHeight="1" ht="12.75">
      <c r="A674" s="5" t="s">
        <v>399</v>
      </c>
      <c r="B674" s="3" t="s">
        <v>1134</v>
      </c>
      <c r="C674" s="3" t="s">
        <v>869</v>
      </c>
      <c r="D674" s="3"/>
      <c r="E674" s="3" t="s">
        <v>855</v>
      </c>
      <c r="F674" s="3" t="s">
        <v>1674</v>
      </c>
      <c r="G674" s="3" t="s">
        <v>1197</v>
      </c>
      <c r="H674" s="6">
        <v>0.173</v>
      </c>
      <c r="I674" s="6">
        <v>0.38</v>
      </c>
      <c r="J674" s="6">
        <v>4.32</v>
      </c>
      <c r="K674" s="7">
        <v>325.30600000000004</v>
      </c>
      <c r="L674" s="6"/>
      <c r="M674" s="6"/>
      <c r="N674" s="7"/>
      <c r="O674" s="23"/>
      <c r="P674" s="6"/>
      <c r="Q674" s="6"/>
      <c r="R674" s="31"/>
      <c r="S674" s="6"/>
      <c r="T674" s="31"/>
      <c r="U674" s="6"/>
      <c r="V674" s="23"/>
      <c r="W674" s="6"/>
      <c r="X674" s="6"/>
      <c r="Y674" s="5"/>
      <c r="Z674" s="3"/>
      <c r="AA674" s="6">
        <f>H674*I674/100</f>
      </c>
      <c r="AB674" s="6">
        <f>H674*J674/100</f>
      </c>
      <c r="AC674" s="7">
        <f>H674*K674</f>
      </c>
      <c r="AD674" s="7">
        <f>H674*M674</f>
      </c>
      <c r="AE674" s="6">
        <f>H674*L674/100</f>
      </c>
      <c r="AF674" s="6">
        <f>AA674+AB674+AE674</f>
      </c>
      <c r="AG674" s="6">
        <f>I674+J674+L674</f>
      </c>
      <c r="AH674" s="53">
        <f>$H674*I674</f>
      </c>
      <c r="AI674" s="53">
        <f>$H674*J674</f>
      </c>
      <c r="AJ674" s="53">
        <f>$H674*K674</f>
      </c>
      <c r="AK674" s="53">
        <f>$H674*L674</f>
      </c>
      <c r="AL674" s="53">
        <f>$H674*M674</f>
      </c>
      <c r="AM674" s="3"/>
      <c r="AN674" s="5"/>
      <c r="AO674" s="5"/>
      <c r="AP674" s="5"/>
      <c r="AQ674" s="3"/>
    </row>
    <row x14ac:dyDescent="0.25" r="675" customHeight="1" ht="12.75">
      <c r="A675" s="5" t="s">
        <v>109</v>
      </c>
      <c r="B675" s="3" t="s">
        <v>1134</v>
      </c>
      <c r="C675" s="3" t="s">
        <v>856</v>
      </c>
      <c r="D675" s="3" t="s">
        <v>925</v>
      </c>
      <c r="E675" s="3" t="s">
        <v>855</v>
      </c>
      <c r="F675" s="3" t="s">
        <v>1675</v>
      </c>
      <c r="G675" s="3" t="s">
        <v>1347</v>
      </c>
      <c r="H675" s="6">
        <v>519.541</v>
      </c>
      <c r="I675" s="6">
        <v>0.05</v>
      </c>
      <c r="J675" s="6">
        <v>0.19</v>
      </c>
      <c r="K675" s="6">
        <v>7.56</v>
      </c>
      <c r="L675" s="6">
        <v>0.27</v>
      </c>
      <c r="M675" s="6">
        <v>0.35</v>
      </c>
      <c r="N675" s="7"/>
      <c r="O675" s="23"/>
      <c r="P675" s="6"/>
      <c r="Q675" s="6"/>
      <c r="R675" s="31"/>
      <c r="S675" s="23">
        <f>9.25/10000</f>
      </c>
      <c r="T675" s="31"/>
      <c r="U675" s="6"/>
      <c r="V675" s="23"/>
      <c r="W675" s="6"/>
      <c r="X675" s="6"/>
      <c r="Y675" s="5"/>
      <c r="Z675" s="3"/>
      <c r="AA675" s="6">
        <f>H675*I675/100</f>
      </c>
      <c r="AB675" s="6">
        <f>H675*J675/100</f>
      </c>
      <c r="AC675" s="7">
        <f>H675*K675</f>
      </c>
      <c r="AD675" s="7">
        <f>H675*M675</f>
      </c>
      <c r="AE675" s="6">
        <f>H675*L675/100</f>
      </c>
      <c r="AF675" s="6">
        <f>AA675+AB675+AE675</f>
      </c>
      <c r="AG675" s="6">
        <f>I675+J675+L675</f>
      </c>
      <c r="AH675" s="53">
        <f>$H675*I675</f>
      </c>
      <c r="AI675" s="53">
        <f>$H675*J675</f>
      </c>
      <c r="AJ675" s="53">
        <f>$H675*K675</f>
      </c>
      <c r="AK675" s="53">
        <f>$H675*L675</f>
      </c>
      <c r="AL675" s="53">
        <f>$H675*M675</f>
      </c>
      <c r="AM675" s="3"/>
      <c r="AN675" s="5"/>
      <c r="AO675" s="5"/>
      <c r="AP675" s="5"/>
      <c r="AQ675" s="3"/>
    </row>
    <row x14ac:dyDescent="0.25" r="676" customHeight="1" ht="12.75">
      <c r="A676" s="5" t="s">
        <v>4</v>
      </c>
      <c r="B676" s="3" t="s">
        <v>1134</v>
      </c>
      <c r="C676" s="3" t="s">
        <v>869</v>
      </c>
      <c r="D676" s="3" t="s">
        <v>1020</v>
      </c>
      <c r="E676" s="3" t="s">
        <v>855</v>
      </c>
      <c r="F676" s="3" t="s">
        <v>1676</v>
      </c>
      <c r="G676" s="3" t="s">
        <v>1677</v>
      </c>
      <c r="H676" s="5">
        <f>185+523+630+71+312+400</f>
      </c>
      <c r="I676" s="6"/>
      <c r="J676" s="6">
        <f>(0.13*185+0.15*523+0.1*630+1.73*71+1.73*312+1.4*400)/$H676</f>
      </c>
      <c r="K676" s="7">
        <f>(7.7*185+8*523+7.4*630+15.6*71+14.3*312+15*400)/$H676</f>
      </c>
      <c r="L676" s="6">
        <f>(0.87*185+0.86*523+0.7*630+0.99*71+0.92*312+0.9*400)/$H676</f>
      </c>
      <c r="M676" s="6"/>
      <c r="N676" s="7"/>
      <c r="O676" s="23"/>
      <c r="P676" s="6"/>
      <c r="Q676" s="6"/>
      <c r="R676" s="31"/>
      <c r="S676" s="23">
        <f>(0.034*185+0.025*523+0.02*630+0.012*71+0.007*312+0.005*400)/$H676</f>
      </c>
      <c r="T676" s="31"/>
      <c r="U676" s="6"/>
      <c r="V676" s="23"/>
      <c r="W676" s="6"/>
      <c r="X676" s="6"/>
      <c r="Y676" s="5"/>
      <c r="Z676" s="3"/>
      <c r="AA676" s="6">
        <f>H676*I676/100</f>
      </c>
      <c r="AB676" s="6">
        <f>H676*J676/100</f>
      </c>
      <c r="AC676" s="7">
        <f>H676*K676</f>
      </c>
      <c r="AD676" s="7">
        <f>H676*M676</f>
      </c>
      <c r="AE676" s="6">
        <f>H676*L676/100</f>
      </c>
      <c r="AF676" s="6">
        <f>AA676+AB676+AE676</f>
      </c>
      <c r="AG676" s="6">
        <f>I676+J676+L676</f>
      </c>
      <c r="AH676" s="53">
        <f>$H676*I676</f>
      </c>
      <c r="AI676" s="53">
        <f>$H676*J676</f>
      </c>
      <c r="AJ676" s="53">
        <f>$H676*K676</f>
      </c>
      <c r="AK676" s="53">
        <f>$H676*L676</f>
      </c>
      <c r="AL676" s="53">
        <f>$H676*M676</f>
      </c>
      <c r="AM676" s="3"/>
      <c r="AN676" s="5"/>
      <c r="AO676" s="5"/>
      <c r="AP676" s="5"/>
      <c r="AQ676" s="3"/>
    </row>
    <row x14ac:dyDescent="0.25" r="677" customHeight="1" ht="12.75">
      <c r="A677" s="5" t="s">
        <v>597</v>
      </c>
      <c r="B677" s="3" t="s">
        <v>1134</v>
      </c>
      <c r="C677" s="3" t="s">
        <v>869</v>
      </c>
      <c r="D677" s="3"/>
      <c r="E677" s="3" t="s">
        <v>855</v>
      </c>
      <c r="F677" s="3" t="s">
        <v>1678</v>
      </c>
      <c r="G677" s="3" t="s">
        <v>1679</v>
      </c>
      <c r="H677" s="23">
        <f>7.279032+3.706297</f>
      </c>
      <c r="I677" s="6"/>
      <c r="J677" s="6">
        <f>(1.88*7.279032+1.62*3.706297)/$H677</f>
      </c>
      <c r="K677" s="7">
        <f>(19.2*7.279032+16.6*3.706297)/$H677</f>
      </c>
      <c r="L677" s="6">
        <f>(1.2*7.279032+1.04*3.706297)/$H677</f>
      </c>
      <c r="M677" s="6">
        <f>(0.88*7.279032+0.93*3.706297)/$H677</f>
      </c>
      <c r="N677" s="7"/>
      <c r="O677" s="23"/>
      <c r="P677" s="6"/>
      <c r="Q677" s="6"/>
      <c r="R677" s="31"/>
      <c r="S677" s="6"/>
      <c r="T677" s="31"/>
      <c r="U677" s="6"/>
      <c r="V677" s="23"/>
      <c r="W677" s="6"/>
      <c r="X677" s="6"/>
      <c r="Y677" s="5"/>
      <c r="Z677" s="3"/>
      <c r="AA677" s="6">
        <f>H677*I677/100</f>
      </c>
      <c r="AB677" s="6">
        <f>H677*J677/100</f>
      </c>
      <c r="AC677" s="7">
        <f>H677*K677</f>
      </c>
      <c r="AD677" s="7">
        <f>H677*M677</f>
      </c>
      <c r="AE677" s="6">
        <f>H677*L677/100</f>
      </c>
      <c r="AF677" s="6">
        <f>AA677+AB677+AE677</f>
      </c>
      <c r="AG677" s="6">
        <f>I677+J677+L677</f>
      </c>
      <c r="AH677" s="53">
        <f>$H677*I677</f>
      </c>
      <c r="AI677" s="53">
        <f>$H677*J677</f>
      </c>
      <c r="AJ677" s="53">
        <f>$H677*K677</f>
      </c>
      <c r="AK677" s="53">
        <f>$H677*L677</f>
      </c>
      <c r="AL677" s="53">
        <f>$H677*M677</f>
      </c>
      <c r="AM677" s="3"/>
      <c r="AN677" s="5"/>
      <c r="AO677" s="5"/>
      <c r="AP677" s="5"/>
      <c r="AQ677" s="3"/>
    </row>
    <row x14ac:dyDescent="0.25" r="678" customHeight="1" ht="12.75">
      <c r="A678" s="5" t="s">
        <v>419</v>
      </c>
      <c r="B678" s="3" t="s">
        <v>1134</v>
      </c>
      <c r="C678" s="3" t="s">
        <v>869</v>
      </c>
      <c r="D678" s="3"/>
      <c r="E678" s="3" t="s">
        <v>855</v>
      </c>
      <c r="F678" s="3" t="s">
        <v>1680</v>
      </c>
      <c r="G678" s="3" t="s">
        <v>1204</v>
      </c>
      <c r="H678" s="23">
        <v>18.093468</v>
      </c>
      <c r="I678" s="6">
        <v>1.37</v>
      </c>
      <c r="J678" s="6">
        <v>3.92</v>
      </c>
      <c r="K678" s="7">
        <f>2.34*31.1</f>
      </c>
      <c r="L678" s="6">
        <v>0.34</v>
      </c>
      <c r="M678" s="6"/>
      <c r="N678" s="7"/>
      <c r="O678" s="23"/>
      <c r="P678" s="6"/>
      <c r="Q678" s="6"/>
      <c r="R678" s="31"/>
      <c r="S678" s="6"/>
      <c r="T678" s="31"/>
      <c r="U678" s="6"/>
      <c r="V678" s="23"/>
      <c r="W678" s="6"/>
      <c r="X678" s="6"/>
      <c r="Y678" s="5"/>
      <c r="Z678" s="3"/>
      <c r="AA678" s="6">
        <f>H678*I678/100</f>
      </c>
      <c r="AB678" s="6">
        <f>H678*J678/100</f>
      </c>
      <c r="AC678" s="7">
        <f>H678*K678</f>
      </c>
      <c r="AD678" s="7">
        <f>H678*M678</f>
      </c>
      <c r="AE678" s="6">
        <f>H678*L678/100</f>
      </c>
      <c r="AF678" s="6">
        <f>AA678+AB678+AE678</f>
      </c>
      <c r="AG678" s="6">
        <f>I678+J678+L678</f>
      </c>
      <c r="AH678" s="53">
        <f>$H678*I678</f>
      </c>
      <c r="AI678" s="53">
        <f>$H678*J678</f>
      </c>
      <c r="AJ678" s="53">
        <f>$H678*K678</f>
      </c>
      <c r="AK678" s="53">
        <f>$H678*L678</f>
      </c>
      <c r="AL678" s="53">
        <f>$H678*M678</f>
      </c>
      <c r="AM678" s="3"/>
      <c r="AN678" s="5"/>
      <c r="AO678" s="5"/>
      <c r="AP678" s="5"/>
      <c r="AQ678" s="3"/>
    </row>
    <row x14ac:dyDescent="0.25" r="679" customHeight="1" ht="12.75">
      <c r="A679" s="5" t="s">
        <v>462</v>
      </c>
      <c r="B679" s="3" t="s">
        <v>1134</v>
      </c>
      <c r="C679" s="3" t="s">
        <v>869</v>
      </c>
      <c r="D679" s="3"/>
      <c r="E679" s="3" t="s">
        <v>855</v>
      </c>
      <c r="F679" s="3" t="s">
        <v>1681</v>
      </c>
      <c r="G679" s="3" t="s">
        <v>1682</v>
      </c>
      <c r="H679" s="6">
        <v>13.3</v>
      </c>
      <c r="I679" s="6">
        <v>0.2</v>
      </c>
      <c r="J679" s="6">
        <v>5.9</v>
      </c>
      <c r="K679" s="5">
        <v>14</v>
      </c>
      <c r="L679" s="6"/>
      <c r="M679" s="6"/>
      <c r="N679" s="7"/>
      <c r="O679" s="23"/>
      <c r="P679" s="6"/>
      <c r="Q679" s="6"/>
      <c r="R679" s="5">
        <v>68</v>
      </c>
      <c r="S679" s="6"/>
      <c r="T679" s="31"/>
      <c r="U679" s="6"/>
      <c r="V679" s="23"/>
      <c r="W679" s="6"/>
      <c r="X679" s="6"/>
      <c r="Y679" s="5"/>
      <c r="Z679" s="3"/>
      <c r="AA679" s="6">
        <f>H679*I679/100</f>
      </c>
      <c r="AB679" s="6">
        <f>H679*J679/100</f>
      </c>
      <c r="AC679" s="7">
        <f>H679*K679</f>
      </c>
      <c r="AD679" s="7">
        <f>H679*M679</f>
      </c>
      <c r="AE679" s="6">
        <f>H679*L679/100</f>
      </c>
      <c r="AF679" s="6">
        <f>AA679+AB679+AE679</f>
      </c>
      <c r="AG679" s="6">
        <f>I679+J679+L679</f>
      </c>
      <c r="AH679" s="53">
        <f>$H679*I679</f>
      </c>
      <c r="AI679" s="53">
        <f>$H679*J679</f>
      </c>
      <c r="AJ679" s="53">
        <f>$H679*K679</f>
      </c>
      <c r="AK679" s="53">
        <f>$H679*L679</f>
      </c>
      <c r="AL679" s="53">
        <f>$H679*M679</f>
      </c>
      <c r="AM679" s="3"/>
      <c r="AN679" s="5"/>
      <c r="AO679" s="5"/>
      <c r="AP679" s="5"/>
      <c r="AQ679" s="3"/>
    </row>
    <row x14ac:dyDescent="0.25" r="680" customHeight="1" ht="12.75">
      <c r="A680" s="5" t="s">
        <v>196</v>
      </c>
      <c r="B680" s="3" t="s">
        <v>1134</v>
      </c>
      <c r="C680" s="3" t="s">
        <v>866</v>
      </c>
      <c r="D680" s="3" t="s">
        <v>989</v>
      </c>
      <c r="E680" s="3" t="s">
        <v>855</v>
      </c>
      <c r="F680" s="3" t="s">
        <v>1683</v>
      </c>
      <c r="G680" s="3" t="s">
        <v>1684</v>
      </c>
      <c r="H680" s="6">
        <f>1.43+1.35+9.07</f>
      </c>
      <c r="I680" s="6">
        <f>(1.85*1.43+1.71*1.35+1.21*9.07)/$H680</f>
      </c>
      <c r="J680" s="6">
        <f>(13.02*1.43+12.51*1.35+10.87*9.07)/$H680</f>
      </c>
      <c r="K680" s="7">
        <f>(19.3*1.43+17.1*1.35+12.2*9.07)/$H680</f>
      </c>
      <c r="L680" s="6"/>
      <c r="M680" s="6"/>
      <c r="N680" s="7"/>
      <c r="O680" s="23"/>
      <c r="P680" s="6"/>
      <c r="Q680" s="6"/>
      <c r="R680" s="31"/>
      <c r="S680" s="6"/>
      <c r="T680" s="31"/>
      <c r="U680" s="6"/>
      <c r="V680" s="23"/>
      <c r="W680" s="6"/>
      <c r="X680" s="6"/>
      <c r="Y680" s="5"/>
      <c r="Z680" s="3"/>
      <c r="AA680" s="6">
        <f>H680*I680/100</f>
      </c>
      <c r="AB680" s="6">
        <f>H680*J680/100</f>
      </c>
      <c r="AC680" s="7">
        <f>H680*K680</f>
      </c>
      <c r="AD680" s="7">
        <f>H680*M680</f>
      </c>
      <c r="AE680" s="6">
        <f>H680*L680/100</f>
      </c>
      <c r="AF680" s="6">
        <f>AA680+AB680+AE680</f>
      </c>
      <c r="AG680" s="6">
        <f>I680+J680+L680</f>
      </c>
      <c r="AH680" s="53">
        <f>$H680*I680</f>
      </c>
      <c r="AI680" s="53">
        <f>$H680*J680</f>
      </c>
      <c r="AJ680" s="53">
        <f>$H680*K680</f>
      </c>
      <c r="AK680" s="53">
        <f>$H680*L680</f>
      </c>
      <c r="AL680" s="53">
        <f>$H680*M680</f>
      </c>
      <c r="AM680" s="3"/>
      <c r="AN680" s="5"/>
      <c r="AO680" s="5"/>
      <c r="AP680" s="5"/>
      <c r="AQ680" s="3"/>
    </row>
    <row x14ac:dyDescent="0.25" r="681" customHeight="1" ht="12.75">
      <c r="A681" s="5" t="s">
        <v>586</v>
      </c>
      <c r="B681" s="3" t="s">
        <v>1134</v>
      </c>
      <c r="C681" s="3" t="s">
        <v>856</v>
      </c>
      <c r="D681" s="3" t="s">
        <v>927</v>
      </c>
      <c r="E681" s="3" t="s">
        <v>855</v>
      </c>
      <c r="F681" s="3" t="s">
        <v>1685</v>
      </c>
      <c r="G681" s="3" t="s">
        <v>1204</v>
      </c>
      <c r="H681" s="6">
        <f>3.083+1.989+6.184</f>
      </c>
      <c r="I681" s="6">
        <f>(1.69*3.083+1.08*1.989+2.11*6.184)/$H681</f>
      </c>
      <c r="J681" s="6">
        <f>(2.49*3.083+2.07*1.989+2.97*6.184)/$H681</f>
      </c>
      <c r="K681" s="31">
        <f>(137*3.083+76*1.989+121*6.184)/$H681</f>
      </c>
      <c r="L681" s="6"/>
      <c r="M681" s="6">
        <f>(0.4*3.083+0.3*1.989+0.5*6.184)/$H681</f>
      </c>
      <c r="N681" s="7"/>
      <c r="O681" s="23"/>
      <c r="P681" s="6"/>
      <c r="Q681" s="6"/>
      <c r="R681" s="31"/>
      <c r="S681" s="6"/>
      <c r="T681" s="31"/>
      <c r="U681" s="6"/>
      <c r="V681" s="23"/>
      <c r="W681" s="6"/>
      <c r="X681" s="6"/>
      <c r="Y681" s="5"/>
      <c r="Z681" s="3"/>
      <c r="AA681" s="6">
        <f>H681*I681/100</f>
      </c>
      <c r="AB681" s="6">
        <f>H681*J681/100</f>
      </c>
      <c r="AC681" s="7">
        <f>H681*K681</f>
      </c>
      <c r="AD681" s="7">
        <f>H681*M681</f>
      </c>
      <c r="AE681" s="6">
        <f>H681*L681/100</f>
      </c>
      <c r="AF681" s="6">
        <f>AA681+AB681+AE681</f>
      </c>
      <c r="AG681" s="6">
        <f>I681+J681+L681</f>
      </c>
      <c r="AH681" s="53">
        <f>$H681*I681</f>
      </c>
      <c r="AI681" s="53">
        <f>$H681*J681</f>
      </c>
      <c r="AJ681" s="53">
        <f>$H681*K681</f>
      </c>
      <c r="AK681" s="53">
        <f>$H681*L681</f>
      </c>
      <c r="AL681" s="53">
        <f>$H681*M681</f>
      </c>
      <c r="AM681" s="3"/>
      <c r="AN681" s="5"/>
      <c r="AO681" s="5"/>
      <c r="AP681" s="5"/>
      <c r="AQ681" s="3"/>
    </row>
    <row x14ac:dyDescent="0.25" r="682" customHeight="1" ht="12.75">
      <c r="A682" s="5" t="s">
        <v>72</v>
      </c>
      <c r="B682" s="3" t="s">
        <v>1134</v>
      </c>
      <c r="C682" s="3" t="s">
        <v>856</v>
      </c>
      <c r="D682" s="3" t="s">
        <v>934</v>
      </c>
      <c r="E682" s="3" t="s">
        <v>855</v>
      </c>
      <c r="F682" s="3" t="s">
        <v>1673</v>
      </c>
      <c r="G682" s="3" t="s">
        <v>1204</v>
      </c>
      <c r="H682" s="6">
        <f>29.741+120.75+52.606</f>
      </c>
      <c r="I682" s="6">
        <f>(0.78*29.741+1.25*120.75+0.78*52.606)/$H682</f>
      </c>
      <c r="J682" s="6">
        <f>(1.99*29.741+3.1*120.75+1.6*52.606)/$H682</f>
      </c>
      <c r="K682" s="7">
        <f>31.1*(4.05*29.741+2.75*120.75+3.84*52.606)/$H682</f>
      </c>
      <c r="L682" s="6">
        <f>(0.05*29.741+0.24*120.75+0.25*52.606)/$H682</f>
      </c>
      <c r="M682" s="6"/>
      <c r="N682" s="7"/>
      <c r="O682" s="23"/>
      <c r="P682" s="6"/>
      <c r="Q682" s="6"/>
      <c r="R682" s="31"/>
      <c r="S682" s="6"/>
      <c r="T682" s="31"/>
      <c r="U682" s="6"/>
      <c r="V682" s="23"/>
      <c r="W682" s="6"/>
      <c r="X682" s="6"/>
      <c r="Y682" s="5"/>
      <c r="Z682" s="3"/>
      <c r="AA682" s="6">
        <f>H682*I682/100</f>
      </c>
      <c r="AB682" s="6">
        <f>H682*J682/100</f>
      </c>
      <c r="AC682" s="7">
        <f>H682*K682</f>
      </c>
      <c r="AD682" s="7">
        <f>H682*M682</f>
      </c>
      <c r="AE682" s="6">
        <f>H682*L682/100</f>
      </c>
      <c r="AF682" s="6">
        <f>AA682+AB682+AE682</f>
      </c>
      <c r="AG682" s="6">
        <f>I682+J682+L682</f>
      </c>
      <c r="AH682" s="53">
        <f>$H682*I682</f>
      </c>
      <c r="AI682" s="53">
        <f>$H682*J682</f>
      </c>
      <c r="AJ682" s="53">
        <f>$H682*K682</f>
      </c>
      <c r="AK682" s="53">
        <f>$H682*L682</f>
      </c>
      <c r="AL682" s="53">
        <f>$H682*M682</f>
      </c>
      <c r="AM682" s="3"/>
      <c r="AN682" s="5"/>
      <c r="AO682" s="5"/>
      <c r="AP682" s="5"/>
      <c r="AQ682" s="3"/>
    </row>
    <row x14ac:dyDescent="0.25" r="683" customHeight="1" ht="12.75">
      <c r="A683" s="5" t="s">
        <v>169</v>
      </c>
      <c r="B683" s="3" t="s">
        <v>1134</v>
      </c>
      <c r="C683" s="3" t="s">
        <v>870</v>
      </c>
      <c r="D683" s="3"/>
      <c r="E683" s="3" t="s">
        <v>855</v>
      </c>
      <c r="F683" s="3" t="s">
        <v>1680</v>
      </c>
      <c r="G683" s="3" t="s">
        <v>1204</v>
      </c>
      <c r="H683" s="23">
        <v>85.107369</v>
      </c>
      <c r="I683" s="6">
        <v>0.29</v>
      </c>
      <c r="J683" s="6">
        <v>2.57</v>
      </c>
      <c r="K683" s="7">
        <f>0.79*31.1</f>
      </c>
      <c r="L683" s="6">
        <v>0.75</v>
      </c>
      <c r="M683" s="6"/>
      <c r="N683" s="7"/>
      <c r="O683" s="23"/>
      <c r="P683" s="6"/>
      <c r="Q683" s="6"/>
      <c r="R683" s="31"/>
      <c r="S683" s="6"/>
      <c r="T683" s="31"/>
      <c r="U683" s="6"/>
      <c r="V683" s="23"/>
      <c r="W683" s="6"/>
      <c r="X683" s="6"/>
      <c r="Y683" s="5"/>
      <c r="Z683" s="3"/>
      <c r="AA683" s="6">
        <f>H683*I683/100</f>
      </c>
      <c r="AB683" s="6">
        <f>H683*J683/100</f>
      </c>
      <c r="AC683" s="7">
        <f>H683*K683</f>
      </c>
      <c r="AD683" s="7">
        <f>H683*M683</f>
      </c>
      <c r="AE683" s="6">
        <f>H683*L683/100</f>
      </c>
      <c r="AF683" s="6">
        <f>AA683+AB683+AE683</f>
      </c>
      <c r="AG683" s="6">
        <f>I683+J683+L683</f>
      </c>
      <c r="AH683" s="53">
        <f>$H683*I683</f>
      </c>
      <c r="AI683" s="53">
        <f>$H683*J683</f>
      </c>
      <c r="AJ683" s="53">
        <f>$H683*K683</f>
      </c>
      <c r="AK683" s="53">
        <f>$H683*L683</f>
      </c>
      <c r="AL683" s="53">
        <f>$H683*M683</f>
      </c>
      <c r="AM683" s="3"/>
      <c r="AN683" s="5"/>
      <c r="AO683" s="5"/>
      <c r="AP683" s="5"/>
      <c r="AQ683" s="3"/>
    </row>
    <row x14ac:dyDescent="0.25" r="684" customHeight="1" ht="12.75">
      <c r="A684" s="5" t="s">
        <v>306</v>
      </c>
      <c r="B684" s="3" t="s">
        <v>1134</v>
      </c>
      <c r="C684" s="3" t="s">
        <v>869</v>
      </c>
      <c r="D684" s="3"/>
      <c r="E684" s="3" t="s">
        <v>855</v>
      </c>
      <c r="F684" s="3" t="s">
        <v>1673</v>
      </c>
      <c r="G684" s="3" t="s">
        <v>1204</v>
      </c>
      <c r="H684" s="6">
        <f>9.157+1.148+7.966</f>
      </c>
      <c r="I684" s="6">
        <f>(1.72*9.157+2.35*1.148+2.55*7.966)/$H684</f>
      </c>
      <c r="J684" s="6">
        <f>(6.26*9.157+7.54*1.148+6.91*7.966)/$H684</f>
      </c>
      <c r="K684" s="7">
        <f>31.1*(3.92*9.157+3.74*1.148+3.82*7.966)/$H684</f>
      </c>
      <c r="L684" s="6">
        <f>(0.24*9.157+0.18*1.148+0.28*7.966)/$H684</f>
      </c>
      <c r="M684" s="6"/>
      <c r="N684" s="7"/>
      <c r="O684" s="23"/>
      <c r="P684" s="6"/>
      <c r="Q684" s="6"/>
      <c r="R684" s="31"/>
      <c r="S684" s="6"/>
      <c r="T684" s="31"/>
      <c r="U684" s="6"/>
      <c r="V684" s="23"/>
      <c r="W684" s="6"/>
      <c r="X684" s="6"/>
      <c r="Y684" s="5"/>
      <c r="Z684" s="3"/>
      <c r="AA684" s="6">
        <f>H684*I684/100</f>
      </c>
      <c r="AB684" s="6">
        <f>H684*J684/100</f>
      </c>
      <c r="AC684" s="7">
        <f>H684*K684</f>
      </c>
      <c r="AD684" s="7">
        <f>H684*M684</f>
      </c>
      <c r="AE684" s="6">
        <f>H684*L684/100</f>
      </c>
      <c r="AF684" s="6">
        <f>AA684+AB684+AE684</f>
      </c>
      <c r="AG684" s="6">
        <f>I684+J684+L684</f>
      </c>
      <c r="AH684" s="53">
        <f>$H684*I684</f>
      </c>
      <c r="AI684" s="53">
        <f>$H684*J684</f>
      </c>
      <c r="AJ684" s="53">
        <f>$H684*K684</f>
      </c>
      <c r="AK684" s="53">
        <f>$H684*L684</f>
      </c>
      <c r="AL684" s="53">
        <f>$H684*M684</f>
      </c>
      <c r="AM684" s="3"/>
      <c r="AN684" s="5"/>
      <c r="AO684" s="5"/>
      <c r="AP684" s="5"/>
      <c r="AQ684" s="3"/>
    </row>
    <row x14ac:dyDescent="0.25" r="685" customHeight="1" ht="12.75">
      <c r="A685" s="5" t="s">
        <v>639</v>
      </c>
      <c r="B685" s="3" t="s">
        <v>1134</v>
      </c>
      <c r="C685" s="3" t="s">
        <v>869</v>
      </c>
      <c r="D685" s="3"/>
      <c r="E685" s="3" t="s">
        <v>855</v>
      </c>
      <c r="F685" s="3" t="s">
        <v>1432</v>
      </c>
      <c r="G685" s="3" t="s">
        <v>1181</v>
      </c>
      <c r="H685" s="6">
        <f>1.33+0.97+0.81</f>
      </c>
      <c r="I685" s="6">
        <f>(1.83*1.33+0.69*0.97+0.63*0.81)/$H685</f>
      </c>
      <c r="J685" s="6">
        <f>(4.65*1.33+3.76*0.97+3.07*0.81)/$H685</f>
      </c>
      <c r="K685" s="7">
        <f>(94.72*1.33+61.66*0.97+45.96*0.81)/$H685</f>
      </c>
      <c r="L685" s="6">
        <f>(0.8*1.33+0.93*0.97+0.81*0.81)/$H685</f>
      </c>
      <c r="M685" s="6"/>
      <c r="N685" s="7"/>
      <c r="O685" s="23"/>
      <c r="P685" s="6"/>
      <c r="Q685" s="6"/>
      <c r="R685" s="31"/>
      <c r="S685" s="6"/>
      <c r="T685" s="31"/>
      <c r="U685" s="6"/>
      <c r="V685" s="23"/>
      <c r="W685" s="6"/>
      <c r="X685" s="6"/>
      <c r="Y685" s="5"/>
      <c r="Z685" s="3"/>
      <c r="AA685" s="6">
        <f>H685*I685/100</f>
      </c>
      <c r="AB685" s="6">
        <f>H685*J685/100</f>
      </c>
      <c r="AC685" s="7">
        <f>H685*K685</f>
      </c>
      <c r="AD685" s="7">
        <f>H685*M685</f>
      </c>
      <c r="AE685" s="6">
        <f>H685*L685/100</f>
      </c>
      <c r="AF685" s="6">
        <f>AA685+AB685+AE685</f>
      </c>
      <c r="AG685" s="6">
        <f>I685+J685+L685</f>
      </c>
      <c r="AH685" s="53">
        <f>$H685*I685</f>
      </c>
      <c r="AI685" s="53">
        <f>$H685*J685</f>
      </c>
      <c r="AJ685" s="53">
        <f>$H685*K685</f>
      </c>
      <c r="AK685" s="53">
        <f>$H685*L685</f>
      </c>
      <c r="AL685" s="53">
        <f>$H685*M685</f>
      </c>
      <c r="AM685" s="3"/>
      <c r="AN685" s="5"/>
      <c r="AO685" s="5"/>
      <c r="AP685" s="5"/>
      <c r="AQ685" s="3"/>
    </row>
    <row x14ac:dyDescent="0.25" r="686" customHeight="1" ht="12.75">
      <c r="A686" s="5" t="s">
        <v>153</v>
      </c>
      <c r="B686" s="3" t="s">
        <v>1134</v>
      </c>
      <c r="C686" s="3" t="s">
        <v>856</v>
      </c>
      <c r="D686" s="3" t="s">
        <v>926</v>
      </c>
      <c r="E686" s="3" t="s">
        <v>855</v>
      </c>
      <c r="F686" s="3" t="s">
        <v>1686</v>
      </c>
      <c r="G686" s="3" t="s">
        <v>1687</v>
      </c>
      <c r="H686" s="6">
        <f>40.961+249.63+49.793</f>
      </c>
      <c r="I686" s="6">
        <f>(0.866*40.961+0.629*249.63+0.464*49.793)/$H686</f>
      </c>
      <c r="J686" s="6">
        <f>(0.531*40.961+0.377*249.63+0.278*49.793)/$H686</f>
      </c>
      <c r="K686" s="7">
        <f>(53.57*40.961+35.89*249.63+30*49.793)/$H686</f>
      </c>
      <c r="L686" s="6"/>
      <c r="M686" s="6"/>
      <c r="N686" s="7"/>
      <c r="O686" s="23"/>
      <c r="P686" s="6"/>
      <c r="Q686" s="6"/>
      <c r="R686" s="31"/>
      <c r="S686" s="6"/>
      <c r="T686" s="31"/>
      <c r="U686" s="6"/>
      <c r="V686" s="23"/>
      <c r="W686" s="6"/>
      <c r="X686" s="6"/>
      <c r="Y686" s="5"/>
      <c r="Z686" s="3"/>
      <c r="AA686" s="6">
        <f>H686*I686/100</f>
      </c>
      <c r="AB686" s="6">
        <f>H686*J686/100</f>
      </c>
      <c r="AC686" s="7">
        <f>H686*K686</f>
      </c>
      <c r="AD686" s="7">
        <f>H686*M686</f>
      </c>
      <c r="AE686" s="6">
        <f>H686*L686/100</f>
      </c>
      <c r="AF686" s="6">
        <f>AA686+AB686+AE686</f>
      </c>
      <c r="AG686" s="6">
        <f>I686+J686+L686</f>
      </c>
      <c r="AH686" s="53">
        <f>$H686*I686</f>
      </c>
      <c r="AI686" s="53">
        <f>$H686*J686</f>
      </c>
      <c r="AJ686" s="53">
        <f>$H686*K686</f>
      </c>
      <c r="AK686" s="53">
        <f>$H686*L686</f>
      </c>
      <c r="AL686" s="53">
        <f>$H686*M686</f>
      </c>
      <c r="AM686" s="3"/>
      <c r="AN686" s="5"/>
      <c r="AO686" s="5"/>
      <c r="AP686" s="5"/>
      <c r="AQ686" s="3"/>
    </row>
    <row x14ac:dyDescent="0.25" r="687" customHeight="1" ht="12.75">
      <c r="A687" s="5" t="s">
        <v>177</v>
      </c>
      <c r="B687" s="3" t="s">
        <v>1134</v>
      </c>
      <c r="C687" s="3" t="s">
        <v>869</v>
      </c>
      <c r="D687" s="3"/>
      <c r="E687" s="3" t="s">
        <v>855</v>
      </c>
      <c r="F687" s="3" t="s">
        <v>1432</v>
      </c>
      <c r="G687" s="3" t="s">
        <v>1688</v>
      </c>
      <c r="H687" s="6">
        <f>0.63+0.26+4.88-0.051</f>
      </c>
      <c r="I687" s="6">
        <f>(2.1*0.63+1.66*0.26+1.57*4.88-0.49*0.051)/$H687</f>
      </c>
      <c r="J687" s="6">
        <f>(2.97*0.63+3.45*0.26+2.98*4.88-1.82*0.051)/$H687</f>
      </c>
      <c r="K687" s="7">
        <f>(169.85*0.63+186.07*0.26+224.54*4.88-119.78*0.051)/$H687</f>
      </c>
      <c r="L687" s="6">
        <f>(0.38*0.63+0.54*0.26+0.48*4.88-0.53*0.051)/$H687</f>
      </c>
      <c r="M687" s="6">
        <f>(5.18*0.63+4.72*0.26+4.91*4.88-2.42*0.051)/$H687</f>
      </c>
      <c r="N687" s="7"/>
      <c r="O687" s="23"/>
      <c r="P687" s="6"/>
      <c r="Q687" s="6"/>
      <c r="R687" s="31"/>
      <c r="S687" s="6"/>
      <c r="T687" s="31"/>
      <c r="U687" s="6"/>
      <c r="V687" s="23"/>
      <c r="W687" s="6"/>
      <c r="X687" s="6"/>
      <c r="Y687" s="5"/>
      <c r="Z687" s="3"/>
      <c r="AA687" s="6">
        <f>H687*I687/100</f>
      </c>
      <c r="AB687" s="6">
        <f>H687*J687/100</f>
      </c>
      <c r="AC687" s="7">
        <f>H687*K687</f>
      </c>
      <c r="AD687" s="7">
        <f>H687*M687</f>
      </c>
      <c r="AE687" s="6">
        <f>H687*L687/100</f>
      </c>
      <c r="AF687" s="6">
        <f>AA687+AB687+AE687</f>
      </c>
      <c r="AG687" s="6">
        <f>I687+J687+L687</f>
      </c>
      <c r="AH687" s="53">
        <f>$H687*I687</f>
      </c>
      <c r="AI687" s="53">
        <f>$H687*J687</f>
      </c>
      <c r="AJ687" s="53">
        <f>$H687*K687</f>
      </c>
      <c r="AK687" s="53">
        <f>$H687*L687</f>
      </c>
      <c r="AL687" s="53">
        <f>$H687*M687</f>
      </c>
      <c r="AM687" s="3"/>
      <c r="AN687" s="5"/>
      <c r="AO687" s="5"/>
      <c r="AP687" s="5"/>
      <c r="AQ687" s="3"/>
    </row>
    <row x14ac:dyDescent="0.25" r="688" customHeight="1" ht="12.75">
      <c r="A688" s="5" t="s">
        <v>316</v>
      </c>
      <c r="B688" s="3" t="s">
        <v>1134</v>
      </c>
      <c r="C688" s="3" t="s">
        <v>869</v>
      </c>
      <c r="D688" s="3"/>
      <c r="E688" s="3" t="s">
        <v>855</v>
      </c>
      <c r="F688" s="3" t="s">
        <v>1689</v>
      </c>
      <c r="G688" s="3" t="s">
        <v>1690</v>
      </c>
      <c r="H688" s="6">
        <v>45.926</v>
      </c>
      <c r="I688" s="6">
        <v>0.86</v>
      </c>
      <c r="J688" s="6">
        <v>2.53</v>
      </c>
      <c r="K688" s="6">
        <v>28.62</v>
      </c>
      <c r="L688" s="6"/>
      <c r="M688" s="6"/>
      <c r="N688" s="7"/>
      <c r="O688" s="23"/>
      <c r="P688" s="6"/>
      <c r="Q688" s="6"/>
      <c r="R688" s="31"/>
      <c r="S688" s="6"/>
      <c r="T688" s="31"/>
      <c r="U688" s="6"/>
      <c r="V688" s="23"/>
      <c r="W688" s="6"/>
      <c r="X688" s="6"/>
      <c r="Y688" s="5"/>
      <c r="Z688" s="3"/>
      <c r="AA688" s="6">
        <f>H688*I688/100</f>
      </c>
      <c r="AB688" s="6">
        <f>H688*J688/100</f>
      </c>
      <c r="AC688" s="7">
        <f>H688*K688</f>
      </c>
      <c r="AD688" s="7">
        <f>H688*M688</f>
      </c>
      <c r="AE688" s="6">
        <f>H688*L688/100</f>
      </c>
      <c r="AF688" s="6">
        <f>AA688+AB688+AE688</f>
      </c>
      <c r="AG688" s="6">
        <f>I688+J688+L688</f>
      </c>
      <c r="AH688" s="53">
        <f>$H688*I688</f>
      </c>
      <c r="AI688" s="53">
        <f>$H688*J688</f>
      </c>
      <c r="AJ688" s="53">
        <f>$H688*K688</f>
      </c>
      <c r="AK688" s="53">
        <f>$H688*L688</f>
      </c>
      <c r="AL688" s="53">
        <f>$H688*M688</f>
      </c>
      <c r="AM688" s="3"/>
      <c r="AN688" s="5"/>
      <c r="AO688" s="5"/>
      <c r="AP688" s="5"/>
      <c r="AQ688" s="3"/>
    </row>
    <row x14ac:dyDescent="0.25" r="689" customHeight="1" ht="12.75">
      <c r="A689" s="5" t="s">
        <v>216</v>
      </c>
      <c r="B689" s="3" t="s">
        <v>1134</v>
      </c>
      <c r="C689" s="3" t="s">
        <v>869</v>
      </c>
      <c r="D689" s="3"/>
      <c r="E689" s="3" t="s">
        <v>855</v>
      </c>
      <c r="F689" s="3" t="s">
        <v>1680</v>
      </c>
      <c r="G689" s="3" t="s">
        <v>1204</v>
      </c>
      <c r="H689" s="23">
        <v>40.972762</v>
      </c>
      <c r="I689" s="6">
        <v>0.89</v>
      </c>
      <c r="J689" s="6">
        <v>4.64</v>
      </c>
      <c r="K689" s="7">
        <f>1.94*31.1</f>
      </c>
      <c r="L689" s="6">
        <v>0.27</v>
      </c>
      <c r="M689" s="6"/>
      <c r="N689" s="7"/>
      <c r="O689" s="23"/>
      <c r="P689" s="6"/>
      <c r="Q689" s="6"/>
      <c r="R689" s="31"/>
      <c r="S689" s="6"/>
      <c r="T689" s="31"/>
      <c r="U689" s="6"/>
      <c r="V689" s="23"/>
      <c r="W689" s="6"/>
      <c r="X689" s="6"/>
      <c r="Y689" s="5"/>
      <c r="Z689" s="3"/>
      <c r="AA689" s="6">
        <f>H689*I689/100</f>
      </c>
      <c r="AB689" s="6">
        <f>H689*J689/100</f>
      </c>
      <c r="AC689" s="7">
        <f>H689*K689</f>
      </c>
      <c r="AD689" s="7">
        <f>H689*M689</f>
      </c>
      <c r="AE689" s="6">
        <f>H689*L689/100</f>
      </c>
      <c r="AF689" s="6">
        <f>AA689+AB689+AE689</f>
      </c>
      <c r="AG689" s="6">
        <f>I689+J689+L689</f>
      </c>
      <c r="AH689" s="53">
        <f>$H689*I689</f>
      </c>
      <c r="AI689" s="53">
        <f>$H689*J689</f>
      </c>
      <c r="AJ689" s="53">
        <f>$H689*K689</f>
      </c>
      <c r="AK689" s="53">
        <f>$H689*L689</f>
      </c>
      <c r="AL689" s="53">
        <f>$H689*M689</f>
      </c>
      <c r="AM689" s="3"/>
      <c r="AN689" s="5"/>
      <c r="AO689" s="5"/>
      <c r="AP689" s="5"/>
      <c r="AQ689" s="3"/>
    </row>
    <row x14ac:dyDescent="0.25" r="690" customHeight="1" ht="12.75">
      <c r="A690" s="5" t="s">
        <v>165</v>
      </c>
      <c r="B690" s="3" t="s">
        <v>1134</v>
      </c>
      <c r="C690" s="3" t="s">
        <v>869</v>
      </c>
      <c r="D690" s="3"/>
      <c r="E690" s="3" t="s">
        <v>855</v>
      </c>
      <c r="F690" s="3" t="s">
        <v>1680</v>
      </c>
      <c r="G690" s="3" t="s">
        <v>1204</v>
      </c>
      <c r="H690" s="23">
        <v>60.45558</v>
      </c>
      <c r="I690" s="6">
        <v>0.65</v>
      </c>
      <c r="J690" s="6">
        <v>4.38</v>
      </c>
      <c r="K690" s="7">
        <f>0.98*31.1</f>
      </c>
      <c r="L690" s="6">
        <v>0.06</v>
      </c>
      <c r="M690" s="6"/>
      <c r="N690" s="7"/>
      <c r="O690" s="23"/>
      <c r="P690" s="6"/>
      <c r="Q690" s="6"/>
      <c r="R690" s="31"/>
      <c r="S690" s="6"/>
      <c r="T690" s="31"/>
      <c r="U690" s="6"/>
      <c r="V690" s="23"/>
      <c r="W690" s="6"/>
      <c r="X690" s="6"/>
      <c r="Y690" s="5"/>
      <c r="Z690" s="3"/>
      <c r="AA690" s="6">
        <f>H690*I690/100</f>
      </c>
      <c r="AB690" s="6">
        <f>H690*J690/100</f>
      </c>
      <c r="AC690" s="7">
        <f>H690*K690</f>
      </c>
      <c r="AD690" s="7">
        <f>H690*M690</f>
      </c>
      <c r="AE690" s="6">
        <f>H690*L690/100</f>
      </c>
      <c r="AF690" s="6">
        <f>AA690+AB690+AE690</f>
      </c>
      <c r="AG690" s="6">
        <f>I690+J690+L690</f>
      </c>
      <c r="AH690" s="53">
        <f>$H690*I690</f>
      </c>
      <c r="AI690" s="53">
        <f>$H690*J690</f>
      </c>
      <c r="AJ690" s="53">
        <f>$H690*K690</f>
      </c>
      <c r="AK690" s="53">
        <f>$H690*L690</f>
      </c>
      <c r="AL690" s="53">
        <f>$H690*M690</f>
      </c>
      <c r="AM690" s="3"/>
      <c r="AN690" s="5"/>
      <c r="AO690" s="5"/>
      <c r="AP690" s="5"/>
      <c r="AQ690" s="3"/>
    </row>
    <row x14ac:dyDescent="0.25" r="691" customHeight="1" ht="12.75">
      <c r="A691" s="5" t="s">
        <v>357</v>
      </c>
      <c r="B691" s="3" t="s">
        <v>1134</v>
      </c>
      <c r="C691" s="3" t="s">
        <v>946</v>
      </c>
      <c r="D691" s="3"/>
      <c r="E691" s="38" t="s">
        <v>859</v>
      </c>
      <c r="F691" s="3" t="s">
        <v>1362</v>
      </c>
      <c r="G691" s="3" t="s">
        <v>1691</v>
      </c>
      <c r="H691" s="23">
        <v>0.874412</v>
      </c>
      <c r="I691" s="6">
        <v>3.31</v>
      </c>
      <c r="J691" s="6">
        <v>3.63</v>
      </c>
      <c r="K691" s="5">
        <v>209</v>
      </c>
      <c r="L691" s="6"/>
      <c r="M691" s="6">
        <v>1.3</v>
      </c>
      <c r="N691" s="7"/>
      <c r="O691" s="23"/>
      <c r="P691" s="6"/>
      <c r="Q691" s="6"/>
      <c r="R691" s="31"/>
      <c r="S691" s="6"/>
      <c r="T691" s="31"/>
      <c r="U691" s="6"/>
      <c r="V691" s="23"/>
      <c r="W691" s="6"/>
      <c r="X691" s="6"/>
      <c r="Y691" s="5"/>
      <c r="Z691" s="3"/>
      <c r="AA691" s="6">
        <f>H691*I691/100</f>
      </c>
      <c r="AB691" s="6">
        <f>H691*J691/100</f>
      </c>
      <c r="AC691" s="7">
        <f>H691*K691</f>
      </c>
      <c r="AD691" s="7">
        <f>H691*M691</f>
      </c>
      <c r="AE691" s="6">
        <f>H691*L691/100</f>
      </c>
      <c r="AF691" s="6">
        <f>AA691+AB691+AE691</f>
      </c>
      <c r="AG691" s="6">
        <f>I691+J691+L691</f>
      </c>
      <c r="AH691" s="53">
        <f>$H691*I691</f>
      </c>
      <c r="AI691" s="53">
        <f>$H691*J691</f>
      </c>
      <c r="AJ691" s="53">
        <f>$H691*K691</f>
      </c>
      <c r="AK691" s="53">
        <f>$H691*L691</f>
      </c>
      <c r="AL691" s="53">
        <f>$H691*M691</f>
      </c>
      <c r="AM691" s="3"/>
      <c r="AN691" s="5"/>
      <c r="AO691" s="5"/>
      <c r="AP691" s="5"/>
      <c r="AQ691" s="3"/>
    </row>
    <row x14ac:dyDescent="0.25" r="692" customHeight="1" ht="12.75">
      <c r="A692" s="5" t="s">
        <v>343</v>
      </c>
      <c r="B692" s="3" t="s">
        <v>1134</v>
      </c>
      <c r="C692" s="3" t="s">
        <v>856</v>
      </c>
      <c r="D692" s="3" t="s">
        <v>929</v>
      </c>
      <c r="E692" s="3" t="s">
        <v>855</v>
      </c>
      <c r="F692" s="3" t="s">
        <v>1184</v>
      </c>
      <c r="G692" s="3" t="s">
        <v>1185</v>
      </c>
      <c r="H692" s="6">
        <f>6.9+4.7+1.5+1+8.5</f>
      </c>
      <c r="I692" s="6">
        <f>(1.41*6.9+1.5*4.7+1.85*1.5+1.89*1+1.61*8.5)/$H692</f>
      </c>
      <c r="J692" s="6">
        <f>(2.95*6.9+2.89*4.7+3.06*1.5+3.22*1+2.72*8.5)/$H692</f>
      </c>
      <c r="K692" s="31">
        <f>(169*6.9+163*4.7+162*1.5+166*1+161*8.5)/$H692</f>
      </c>
      <c r="L692" s="6">
        <f>(0.44*6.9+0.42*4.7+0.2*1.5+0.24*1+0.29*8.5)/$H692</f>
      </c>
      <c r="M692" s="6"/>
      <c r="N692" s="7"/>
      <c r="O692" s="23"/>
      <c r="P692" s="6"/>
      <c r="Q692" s="6"/>
      <c r="R692" s="31"/>
      <c r="S692" s="6"/>
      <c r="T692" s="31"/>
      <c r="U692" s="6"/>
      <c r="V692" s="23"/>
      <c r="W692" s="6"/>
      <c r="X692" s="6"/>
      <c r="Y692" s="5"/>
      <c r="Z692" s="3"/>
      <c r="AA692" s="6">
        <f>H692*I692/100</f>
      </c>
      <c r="AB692" s="6">
        <f>H692*J692/100</f>
      </c>
      <c r="AC692" s="7">
        <f>H692*K692</f>
      </c>
      <c r="AD692" s="7">
        <f>H692*M692</f>
      </c>
      <c r="AE692" s="6">
        <f>H692*L692/100</f>
      </c>
      <c r="AF692" s="6">
        <f>AA692+AB692+AE692</f>
      </c>
      <c r="AG692" s="6">
        <f>I692+J692+L692</f>
      </c>
      <c r="AH692" s="53">
        <f>$H692*I692</f>
      </c>
      <c r="AI692" s="53">
        <f>$H692*J692</f>
      </c>
      <c r="AJ692" s="53">
        <f>$H692*K692</f>
      </c>
      <c r="AK692" s="53">
        <f>$H692*L692</f>
      </c>
      <c r="AL692" s="53">
        <f>$H692*M692</f>
      </c>
      <c r="AM692" s="3"/>
      <c r="AN692" s="5"/>
      <c r="AO692" s="5"/>
      <c r="AP692" s="5"/>
      <c r="AQ692" s="3"/>
    </row>
    <row x14ac:dyDescent="0.25" r="693" customHeight="1" ht="12.75">
      <c r="A693" s="5" t="s">
        <v>646</v>
      </c>
      <c r="B693" s="3" t="s">
        <v>1134</v>
      </c>
      <c r="C693" s="3" t="s">
        <v>856</v>
      </c>
      <c r="D693" s="3" t="s">
        <v>927</v>
      </c>
      <c r="E693" s="3" t="s">
        <v>855</v>
      </c>
      <c r="F693" s="3" t="s">
        <v>1692</v>
      </c>
      <c r="G693" s="3" t="s">
        <v>1185</v>
      </c>
      <c r="H693" s="6">
        <f>0.131+8.513+2.534</f>
      </c>
      <c r="I693" s="6">
        <f>(0.39*0.131+0.24*8.513+0.27*2.534)/$H693</f>
      </c>
      <c r="J693" s="6">
        <f>(0.38*0.131+0.28*8.513+0.18*2.534)/$H693</f>
      </c>
      <c r="K693" s="7">
        <f>(31.71*0.131+15.65*8.513+12.02*2.534)/$H693</f>
      </c>
      <c r="L693" s="6">
        <f>(0.73*0.131+0.42*8.513+0.46*2.534)/$H693</f>
      </c>
      <c r="M693" s="6">
        <f>(4.29*0.131+2.09*8.513+1.61*2.534)/$H693</f>
      </c>
      <c r="N693" s="7"/>
      <c r="O693" s="23"/>
      <c r="P693" s="6"/>
      <c r="Q693" s="6"/>
      <c r="R693" s="31"/>
      <c r="S693" s="6"/>
      <c r="T693" s="31"/>
      <c r="U693" s="6"/>
      <c r="V693" s="23"/>
      <c r="W693" s="6"/>
      <c r="X693" s="6"/>
      <c r="Y693" s="5"/>
      <c r="Z693" s="3"/>
      <c r="AA693" s="6">
        <f>H693*I693/100</f>
      </c>
      <c r="AB693" s="6">
        <f>H693*J693/100</f>
      </c>
      <c r="AC693" s="7">
        <f>H693*K693</f>
      </c>
      <c r="AD693" s="7">
        <f>H693*M693</f>
      </c>
      <c r="AE693" s="6">
        <f>H693*L693/100</f>
      </c>
      <c r="AF693" s="6">
        <f>AA693+AB693+AE693</f>
      </c>
      <c r="AG693" s="6">
        <f>I693+J693+L693</f>
      </c>
      <c r="AH693" s="53">
        <f>$H693*I693</f>
      </c>
      <c r="AI693" s="53">
        <f>$H693*J693</f>
      </c>
      <c r="AJ693" s="53">
        <f>$H693*K693</f>
      </c>
      <c r="AK693" s="53">
        <f>$H693*L693</f>
      </c>
      <c r="AL693" s="53">
        <f>$H693*M693</f>
      </c>
      <c r="AM693" s="3"/>
      <c r="AN693" s="5"/>
      <c r="AO693" s="5"/>
      <c r="AP693" s="5"/>
      <c r="AQ693" s="3"/>
    </row>
    <row x14ac:dyDescent="0.25" r="694" customHeight="1" ht="12.75">
      <c r="A694" s="5" t="s">
        <v>433</v>
      </c>
      <c r="B694" s="3" t="s">
        <v>1134</v>
      </c>
      <c r="C694" s="3" t="s">
        <v>869</v>
      </c>
      <c r="D694" s="3"/>
      <c r="E694" s="3" t="s">
        <v>855</v>
      </c>
      <c r="F694" s="3" t="s">
        <v>1180</v>
      </c>
      <c r="G694" s="3" t="s">
        <v>1181</v>
      </c>
      <c r="H694" s="6">
        <f>0.93+3.8+12</f>
      </c>
      <c r="I694" s="6">
        <f>(0.88*0.93+0.7*3.8+0.6*12)/$H694</f>
      </c>
      <c r="J694" s="7">
        <f>(12.5*0.93+6.7*3.8+4*12)/$H694</f>
      </c>
      <c r="K694" s="31">
        <f>(25.1*0.93+34*3.8+20*12)/$H694</f>
      </c>
      <c r="L694" s="7">
        <f>(0.37*0.93+0.3*3.8+0.2*12)/$H694</f>
      </c>
      <c r="M694" s="6"/>
      <c r="N694" s="7"/>
      <c r="O694" s="23"/>
      <c r="P694" s="6"/>
      <c r="Q694" s="6"/>
      <c r="R694" s="31"/>
      <c r="S694" s="6"/>
      <c r="T694" s="31"/>
      <c r="U694" s="6"/>
      <c r="V694" s="23"/>
      <c r="W694" s="6"/>
      <c r="X694" s="6"/>
      <c r="Y694" s="5"/>
      <c r="Z694" s="3"/>
      <c r="AA694" s="6">
        <f>H694*I694/100</f>
      </c>
      <c r="AB694" s="6">
        <f>H694*J694/100</f>
      </c>
      <c r="AC694" s="7">
        <f>H694*K694</f>
      </c>
      <c r="AD694" s="7">
        <f>H694*M694</f>
      </c>
      <c r="AE694" s="6">
        <f>H694*L694/100</f>
      </c>
      <c r="AF694" s="6">
        <f>AA694+AB694+AE694</f>
      </c>
      <c r="AG694" s="6">
        <f>I694+J694+L694</f>
      </c>
      <c r="AH694" s="53">
        <f>$H694*I694</f>
      </c>
      <c r="AI694" s="53">
        <f>$H694*J694</f>
      </c>
      <c r="AJ694" s="53">
        <f>$H694*K694</f>
      </c>
      <c r="AK694" s="53">
        <f>$H694*L694</f>
      </c>
      <c r="AL694" s="53">
        <f>$H694*M694</f>
      </c>
      <c r="AM694" s="3"/>
      <c r="AN694" s="5"/>
      <c r="AO694" s="5"/>
      <c r="AP694" s="5"/>
      <c r="AQ694" s="3"/>
    </row>
    <row x14ac:dyDescent="0.25" r="695" customHeight="1" ht="12.75">
      <c r="A695" s="5" t="s">
        <v>591</v>
      </c>
      <c r="B695" s="3" t="s">
        <v>1134</v>
      </c>
      <c r="C695" s="3" t="s">
        <v>1014</v>
      </c>
      <c r="D695" s="3" t="s">
        <v>929</v>
      </c>
      <c r="E695" s="3" t="s">
        <v>855</v>
      </c>
      <c r="F695" s="3" t="s">
        <v>1673</v>
      </c>
      <c r="G695" s="3" t="s">
        <v>1204</v>
      </c>
      <c r="H695" s="6">
        <v>0.3</v>
      </c>
      <c r="I695" s="6">
        <v>0.54</v>
      </c>
      <c r="J695" s="6">
        <v>1.12</v>
      </c>
      <c r="K695" s="7">
        <f>10.59*31.1</f>
      </c>
      <c r="L695" s="6"/>
      <c r="M695" s="6"/>
      <c r="N695" s="7"/>
      <c r="O695" s="23"/>
      <c r="P695" s="6"/>
      <c r="Q695" s="6"/>
      <c r="R695" s="31"/>
      <c r="S695" s="6"/>
      <c r="T695" s="31"/>
      <c r="U695" s="6"/>
      <c r="V695" s="23"/>
      <c r="W695" s="6"/>
      <c r="X695" s="6"/>
      <c r="Y695" s="5"/>
      <c r="Z695" s="3"/>
      <c r="AA695" s="6">
        <f>H695*I695/100</f>
      </c>
      <c r="AB695" s="6">
        <f>H695*J695/100</f>
      </c>
      <c r="AC695" s="7">
        <f>H695*K695</f>
      </c>
      <c r="AD695" s="7">
        <f>H695*M695</f>
      </c>
      <c r="AE695" s="6">
        <f>H695*L695/100</f>
      </c>
      <c r="AF695" s="6">
        <f>AA695+AB695+AE695</f>
      </c>
      <c r="AG695" s="6">
        <f>I695+J695+L695</f>
      </c>
      <c r="AH695" s="53">
        <f>$H695*I695</f>
      </c>
      <c r="AI695" s="53">
        <f>$H695*J695</f>
      </c>
      <c r="AJ695" s="53">
        <f>$H695*K695</f>
      </c>
      <c r="AK695" s="53">
        <f>$H695*L695</f>
      </c>
      <c r="AL695" s="53">
        <f>$H695*M695</f>
      </c>
      <c r="AM695" s="3"/>
      <c r="AN695" s="5"/>
      <c r="AO695" s="5"/>
      <c r="AP695" s="5"/>
      <c r="AQ695" s="3"/>
    </row>
    <row x14ac:dyDescent="0.25" r="696" customHeight="1" ht="12.75">
      <c r="A696" s="5" t="s">
        <v>160</v>
      </c>
      <c r="B696" s="3" t="s">
        <v>1134</v>
      </c>
      <c r="C696" s="3" t="s">
        <v>856</v>
      </c>
      <c r="D696" s="3" t="s">
        <v>935</v>
      </c>
      <c r="E696" s="3" t="s">
        <v>855</v>
      </c>
      <c r="F696" s="3" t="s">
        <v>1674</v>
      </c>
      <c r="G696" s="3" t="s">
        <v>1204</v>
      </c>
      <c r="H696" s="6">
        <v>0.373</v>
      </c>
      <c r="I696" s="6">
        <v>2.27</v>
      </c>
      <c r="J696" s="6"/>
      <c r="K696" s="7">
        <f>20.249*31.1</f>
      </c>
      <c r="L696" s="6">
        <v>0.44</v>
      </c>
      <c r="M696" s="6">
        <f>0.018*31.1</f>
      </c>
      <c r="N696" s="7"/>
      <c r="O696" s="23"/>
      <c r="P696" s="6"/>
      <c r="Q696" s="6"/>
      <c r="R696" s="31"/>
      <c r="S696" s="6"/>
      <c r="T696" s="31"/>
      <c r="U696" s="6"/>
      <c r="V696" s="23"/>
      <c r="W696" s="6"/>
      <c r="X696" s="6"/>
      <c r="Y696" s="5"/>
      <c r="Z696" s="3"/>
      <c r="AA696" s="6">
        <f>H696*I696/100</f>
      </c>
      <c r="AB696" s="6">
        <f>H696*J696/100</f>
      </c>
      <c r="AC696" s="7">
        <f>H696*K696</f>
      </c>
      <c r="AD696" s="7">
        <f>H696*M696</f>
      </c>
      <c r="AE696" s="6">
        <f>H696*L696/100</f>
      </c>
      <c r="AF696" s="6">
        <f>AA696+AB696+AE696</f>
      </c>
      <c r="AG696" s="6">
        <f>I696+J696+L696</f>
      </c>
      <c r="AH696" s="53">
        <f>$H696*I696</f>
      </c>
      <c r="AI696" s="53">
        <f>$H696*J696</f>
      </c>
      <c r="AJ696" s="53">
        <f>$H696*K696</f>
      </c>
      <c r="AK696" s="53">
        <f>$H696*L696</f>
      </c>
      <c r="AL696" s="53">
        <f>$H696*M696</f>
      </c>
      <c r="AM696" s="3"/>
      <c r="AN696" s="5"/>
      <c r="AO696" s="5"/>
      <c r="AP696" s="5"/>
      <c r="AQ696" s="3"/>
    </row>
    <row x14ac:dyDescent="0.25" r="697" customHeight="1" ht="12.75">
      <c r="A697" s="5" t="s">
        <v>19</v>
      </c>
      <c r="B697" s="3" t="s">
        <v>1134</v>
      </c>
      <c r="C697" s="3" t="s">
        <v>865</v>
      </c>
      <c r="D697" s="3" t="s">
        <v>985</v>
      </c>
      <c r="E697" s="3" t="s">
        <v>855</v>
      </c>
      <c r="F697" s="3" t="s">
        <v>1693</v>
      </c>
      <c r="G697" s="3" t="s">
        <v>1694</v>
      </c>
      <c r="H697" s="5">
        <v>3600</v>
      </c>
      <c r="I697" s="6"/>
      <c r="J697" s="17">
        <v>0.09</v>
      </c>
      <c r="K697" s="5"/>
      <c r="L697" s="6">
        <v>0.51</v>
      </c>
      <c r="M697" s="6"/>
      <c r="N697" s="7"/>
      <c r="O697" s="23"/>
      <c r="P697" s="6"/>
      <c r="Q697" s="6"/>
      <c r="R697" s="31"/>
      <c r="S697" s="6"/>
      <c r="T697" s="31"/>
      <c r="U697" s="6"/>
      <c r="V697" s="23"/>
      <c r="W697" s="6"/>
      <c r="X697" s="6"/>
      <c r="Y697" s="5"/>
      <c r="Z697" s="3"/>
      <c r="AA697" s="6">
        <f>H697*I697/100</f>
      </c>
      <c r="AB697" s="6">
        <f>H697*J697/100</f>
      </c>
      <c r="AC697" s="7">
        <f>H697*K697</f>
      </c>
      <c r="AD697" s="7">
        <f>H697*M697</f>
      </c>
      <c r="AE697" s="6">
        <f>H697*L697/100</f>
      </c>
      <c r="AF697" s="6">
        <f>AA697+AB697+AE697</f>
      </c>
      <c r="AG697" s="6">
        <f>I697+J697+L697</f>
      </c>
      <c r="AH697" s="53">
        <f>$H697*I697</f>
      </c>
      <c r="AI697" s="53">
        <f>$H697*J697</f>
      </c>
      <c r="AJ697" s="53">
        <f>$H697*K697</f>
      </c>
      <c r="AK697" s="53">
        <f>$H697*L697</f>
      </c>
      <c r="AL697" s="53">
        <f>$H697*M697</f>
      </c>
      <c r="AM697" s="3"/>
      <c r="AN697" s="5"/>
      <c r="AO697" s="5"/>
      <c r="AP697" s="5"/>
      <c r="AQ697" s="3"/>
    </row>
    <row x14ac:dyDescent="0.25" r="698" customHeight="1" ht="12.75">
      <c r="A698" s="5" t="s">
        <v>111</v>
      </c>
      <c r="B698" s="3" t="s">
        <v>1134</v>
      </c>
      <c r="C698" s="3" t="s">
        <v>869</v>
      </c>
      <c r="D698" s="3"/>
      <c r="E698" s="3" t="s">
        <v>855</v>
      </c>
      <c r="F698" s="3" t="s">
        <v>1674</v>
      </c>
      <c r="G698" s="3" t="s">
        <v>1204</v>
      </c>
      <c r="H698" s="6">
        <v>0.123</v>
      </c>
      <c r="I698" s="6">
        <v>6.64</v>
      </c>
      <c r="J698" s="6">
        <v>8.47</v>
      </c>
      <c r="K698" s="7">
        <f>12.632*31.1</f>
      </c>
      <c r="L698" s="6"/>
      <c r="M698" s="6"/>
      <c r="N698" s="7"/>
      <c r="O698" s="23"/>
      <c r="P698" s="6"/>
      <c r="Q698" s="6"/>
      <c r="R698" s="31"/>
      <c r="S698" s="6"/>
      <c r="T698" s="31"/>
      <c r="U698" s="6"/>
      <c r="V698" s="23"/>
      <c r="W698" s="6"/>
      <c r="X698" s="6"/>
      <c r="Y698" s="5"/>
      <c r="Z698" s="3"/>
      <c r="AA698" s="6">
        <f>H698*I698/100</f>
      </c>
      <c r="AB698" s="6">
        <f>H698*J698/100</f>
      </c>
      <c r="AC698" s="7">
        <f>H698*K698</f>
      </c>
      <c r="AD698" s="7">
        <f>H698*M698</f>
      </c>
      <c r="AE698" s="6">
        <f>H698*L698/100</f>
      </c>
      <c r="AF698" s="6">
        <f>AA698+AB698+AE698</f>
      </c>
      <c r="AG698" s="6">
        <f>I698+J698+L698</f>
      </c>
      <c r="AH698" s="53">
        <f>$H698*I698</f>
      </c>
      <c r="AI698" s="53">
        <f>$H698*J698</f>
      </c>
      <c r="AJ698" s="53">
        <f>$H698*K698</f>
      </c>
      <c r="AK698" s="53">
        <f>$H698*L698</f>
      </c>
      <c r="AL698" s="53">
        <f>$H698*M698</f>
      </c>
      <c r="AM698" s="3"/>
      <c r="AN698" s="5"/>
      <c r="AO698" s="5"/>
      <c r="AP698" s="5"/>
      <c r="AQ698" s="3"/>
    </row>
    <row x14ac:dyDescent="0.25" r="699" customHeight="1" ht="12.75">
      <c r="A699" s="5" t="s">
        <v>376</v>
      </c>
      <c r="B699" s="3" t="s">
        <v>1134</v>
      </c>
      <c r="C699" s="3" t="s">
        <v>856</v>
      </c>
      <c r="D699" s="3" t="s">
        <v>936</v>
      </c>
      <c r="E699" s="3" t="s">
        <v>855</v>
      </c>
      <c r="F699" s="3" t="s">
        <v>1184</v>
      </c>
      <c r="G699" s="3" t="s">
        <v>1185</v>
      </c>
      <c r="H699" s="6">
        <f>2.7+2.7+0.8+1.1+8</f>
      </c>
      <c r="I699" s="6">
        <f>(1.32*2.7+1.31*2.7+1.31*0.8+1.45*1.1+1.45*8)/$H699</f>
      </c>
      <c r="J699" s="6">
        <f>(4.32*2.7+4.06*2.7+3.57*0.8+3.37*1.1+5.11*8)/$H699</f>
      </c>
      <c r="K699" s="31">
        <f>(188*2.7+206*2.7+150*0.8+202*1.1+209*8)/$H699</f>
      </c>
      <c r="L699" s="6">
        <f>(0.47*2.7+0.69*2.7+0.41*0.8+0.54*1.1+0.43*8)/$H699</f>
      </c>
      <c r="M699" s="6"/>
      <c r="N699" s="7"/>
      <c r="O699" s="23"/>
      <c r="P699" s="6"/>
      <c r="Q699" s="6"/>
      <c r="R699" s="31"/>
      <c r="S699" s="6"/>
      <c r="T699" s="31"/>
      <c r="U699" s="6"/>
      <c r="V699" s="23"/>
      <c r="W699" s="6"/>
      <c r="X699" s="6"/>
      <c r="Y699" s="5"/>
      <c r="Z699" s="3"/>
      <c r="AA699" s="6">
        <f>H699*I699/100</f>
      </c>
      <c r="AB699" s="6">
        <f>H699*J699/100</f>
      </c>
      <c r="AC699" s="7">
        <f>H699*K699</f>
      </c>
      <c r="AD699" s="7">
        <f>H699*M699</f>
      </c>
      <c r="AE699" s="6">
        <f>H699*L699/100</f>
      </c>
      <c r="AF699" s="6">
        <f>AA699+AB699+AE699</f>
      </c>
      <c r="AG699" s="6">
        <f>I699+J699+L699</f>
      </c>
      <c r="AH699" s="53">
        <f>$H699*I699</f>
      </c>
      <c r="AI699" s="53">
        <f>$H699*J699</f>
      </c>
      <c r="AJ699" s="53">
        <f>$H699*K699</f>
      </c>
      <c r="AK699" s="53">
        <f>$H699*L699</f>
      </c>
      <c r="AL699" s="53">
        <f>$H699*M699</f>
      </c>
      <c r="AM699" s="3"/>
      <c r="AN699" s="5"/>
      <c r="AO699" s="5"/>
      <c r="AP699" s="5"/>
      <c r="AQ699" s="3"/>
    </row>
    <row x14ac:dyDescent="0.25" r="700" customHeight="1" ht="12.75">
      <c r="A700" s="5" t="s">
        <v>779</v>
      </c>
      <c r="B700" s="3" t="s">
        <v>1134</v>
      </c>
      <c r="C700" s="3" t="s">
        <v>1014</v>
      </c>
      <c r="D700" s="3" t="s">
        <v>929</v>
      </c>
      <c r="E700" s="3" t="s">
        <v>855</v>
      </c>
      <c r="F700" s="3" t="s">
        <v>1673</v>
      </c>
      <c r="G700" s="3" t="s">
        <v>1204</v>
      </c>
      <c r="H700" s="6">
        <v>6.79</v>
      </c>
      <c r="I700" s="6"/>
      <c r="J700" s="6">
        <v>0.23</v>
      </c>
      <c r="K700" s="7">
        <f>0.88*31.1</f>
      </c>
      <c r="L700" s="6">
        <v>0.75</v>
      </c>
      <c r="M700" s="6"/>
      <c r="N700" s="7"/>
      <c r="O700" s="23"/>
      <c r="P700" s="6"/>
      <c r="Q700" s="6"/>
      <c r="R700" s="31"/>
      <c r="S700" s="6"/>
      <c r="T700" s="31"/>
      <c r="U700" s="6"/>
      <c r="V700" s="23"/>
      <c r="W700" s="6"/>
      <c r="X700" s="6"/>
      <c r="Y700" s="5"/>
      <c r="Z700" s="3"/>
      <c r="AA700" s="6">
        <f>H700*I700/100</f>
      </c>
      <c r="AB700" s="6">
        <f>H700*J700/100</f>
      </c>
      <c r="AC700" s="7">
        <f>H700*K700</f>
      </c>
      <c r="AD700" s="7">
        <f>H700*M700</f>
      </c>
      <c r="AE700" s="6">
        <f>H700*L700/100</f>
      </c>
      <c r="AF700" s="6">
        <f>AA700+AB700+AE700</f>
      </c>
      <c r="AG700" s="6">
        <f>I700+J700+L700</f>
      </c>
      <c r="AH700" s="53">
        <f>$H700*I700</f>
      </c>
      <c r="AI700" s="53">
        <f>$H700*J700</f>
      </c>
      <c r="AJ700" s="53">
        <f>$H700*K700</f>
      </c>
      <c r="AK700" s="53">
        <f>$H700*L700</f>
      </c>
      <c r="AL700" s="53">
        <f>$H700*M700</f>
      </c>
      <c r="AM700" s="3"/>
      <c r="AN700" s="5"/>
      <c r="AO700" s="5"/>
      <c r="AP700" s="5"/>
      <c r="AQ700" s="3"/>
    </row>
    <row x14ac:dyDescent="0.25" r="701" customHeight="1" ht="12.75">
      <c r="A701" s="5" t="s">
        <v>661</v>
      </c>
      <c r="B701" s="3" t="s">
        <v>1134</v>
      </c>
      <c r="C701" s="3" t="s">
        <v>866</v>
      </c>
      <c r="D701" s="3" t="s">
        <v>993</v>
      </c>
      <c r="E701" s="3" t="s">
        <v>855</v>
      </c>
      <c r="F701" s="3" t="s">
        <v>1673</v>
      </c>
      <c r="G701" s="3" t="s">
        <v>1204</v>
      </c>
      <c r="H701" s="5">
        <v>8</v>
      </c>
      <c r="I701" s="6"/>
      <c r="J701" s="6">
        <v>4.42</v>
      </c>
      <c r="K701" s="7">
        <f>0.63*31.1</f>
      </c>
      <c r="L701" s="6"/>
      <c r="M701" s="6"/>
      <c r="N701" s="7"/>
      <c r="O701" s="23"/>
      <c r="P701" s="6"/>
      <c r="Q701" s="6"/>
      <c r="R701" s="31"/>
      <c r="S701" s="6"/>
      <c r="T701" s="31"/>
      <c r="U701" s="6"/>
      <c r="V701" s="23"/>
      <c r="W701" s="6"/>
      <c r="X701" s="6"/>
      <c r="Y701" s="5"/>
      <c r="Z701" s="3"/>
      <c r="AA701" s="6">
        <f>H701*I701/100</f>
      </c>
      <c r="AB701" s="6">
        <f>H701*J701/100</f>
      </c>
      <c r="AC701" s="7">
        <f>H701*K701</f>
      </c>
      <c r="AD701" s="7">
        <f>H701*M701</f>
      </c>
      <c r="AE701" s="6">
        <f>H701*L701/100</f>
      </c>
      <c r="AF701" s="6">
        <f>AA701+AB701+AE701</f>
      </c>
      <c r="AG701" s="6">
        <f>I701+J701+L701</f>
      </c>
      <c r="AH701" s="53">
        <f>$H701*I701</f>
      </c>
      <c r="AI701" s="53">
        <f>$H701*J701</f>
      </c>
      <c r="AJ701" s="53">
        <f>$H701*K701</f>
      </c>
      <c r="AK701" s="53">
        <f>$H701*L701</f>
      </c>
      <c r="AL701" s="53">
        <f>$H701*M701</f>
      </c>
      <c r="AM701" s="3"/>
      <c r="AN701" s="5"/>
      <c r="AO701" s="5"/>
      <c r="AP701" s="5"/>
      <c r="AQ701" s="3"/>
    </row>
    <row x14ac:dyDescent="0.25" r="702" customHeight="1" ht="12.75">
      <c r="A702" s="5" t="s">
        <v>712</v>
      </c>
      <c r="B702" s="3" t="s">
        <v>1134</v>
      </c>
      <c r="C702" s="3" t="s">
        <v>856</v>
      </c>
      <c r="D702" s="3" t="s">
        <v>928</v>
      </c>
      <c r="E702" s="3" t="s">
        <v>855</v>
      </c>
      <c r="F702" s="3" t="s">
        <v>1628</v>
      </c>
      <c r="G702" s="3" t="s">
        <v>1204</v>
      </c>
      <c r="H702" s="6">
        <v>10.828</v>
      </c>
      <c r="I702" s="6">
        <v>0.31</v>
      </c>
      <c r="J702" s="6">
        <v>0.5</v>
      </c>
      <c r="K702" s="5">
        <v>111</v>
      </c>
      <c r="L702" s="6"/>
      <c r="M702" s="6"/>
      <c r="N702" s="7"/>
      <c r="O702" s="23"/>
      <c r="P702" s="6"/>
      <c r="Q702" s="6"/>
      <c r="R702" s="31"/>
      <c r="S702" s="6"/>
      <c r="T702" s="31"/>
      <c r="U702" s="6"/>
      <c r="V702" s="23"/>
      <c r="W702" s="6"/>
      <c r="X702" s="6"/>
      <c r="Y702" s="5"/>
      <c r="Z702" s="3"/>
      <c r="AA702" s="6">
        <f>H702*I702/100</f>
      </c>
      <c r="AB702" s="6">
        <f>H702*J702/100</f>
      </c>
      <c r="AC702" s="7">
        <f>H702*K702</f>
      </c>
      <c r="AD702" s="7">
        <f>H702*M702</f>
      </c>
      <c r="AE702" s="6">
        <f>H702*L702/100</f>
      </c>
      <c r="AF702" s="6">
        <f>AA702+AB702+AE702</f>
      </c>
      <c r="AG702" s="6">
        <f>I702+J702+L702</f>
      </c>
      <c r="AH702" s="53">
        <f>$H702*I702</f>
      </c>
      <c r="AI702" s="53">
        <f>$H702*J702</f>
      </c>
      <c r="AJ702" s="53">
        <f>$H702*K702</f>
      </c>
      <c r="AK702" s="53">
        <f>$H702*L702</f>
      </c>
      <c r="AL702" s="53">
        <f>$H702*M702</f>
      </c>
      <c r="AM702" s="3"/>
      <c r="AN702" s="5"/>
      <c r="AO702" s="5"/>
      <c r="AP702" s="5"/>
      <c r="AQ702" s="3"/>
    </row>
    <row x14ac:dyDescent="0.25" r="703" customHeight="1" ht="12.75">
      <c r="A703" s="5" t="s">
        <v>420</v>
      </c>
      <c r="B703" s="3" t="s">
        <v>1134</v>
      </c>
      <c r="C703" s="3" t="s">
        <v>866</v>
      </c>
      <c r="D703" s="3" t="s">
        <v>993</v>
      </c>
      <c r="E703" s="3" t="s">
        <v>855</v>
      </c>
      <c r="F703" s="3" t="s">
        <v>1432</v>
      </c>
      <c r="G703" s="3" t="s">
        <v>1695</v>
      </c>
      <c r="H703" s="6">
        <v>0.79</v>
      </c>
      <c r="I703" s="6">
        <v>0.7</v>
      </c>
      <c r="J703" s="6">
        <v>8.01</v>
      </c>
      <c r="K703" s="6">
        <v>58.8</v>
      </c>
      <c r="L703" s="6"/>
      <c r="M703" s="6"/>
      <c r="N703" s="7"/>
      <c r="O703" s="23"/>
      <c r="P703" s="6"/>
      <c r="Q703" s="6"/>
      <c r="R703" s="31"/>
      <c r="S703" s="6"/>
      <c r="T703" s="31"/>
      <c r="U703" s="6"/>
      <c r="V703" s="23"/>
      <c r="W703" s="6"/>
      <c r="X703" s="6"/>
      <c r="Y703" s="5"/>
      <c r="Z703" s="3"/>
      <c r="AA703" s="6">
        <f>H703*I703/100</f>
      </c>
      <c r="AB703" s="6">
        <f>H703*J703/100</f>
      </c>
      <c r="AC703" s="7">
        <f>H703*K703</f>
      </c>
      <c r="AD703" s="7">
        <f>H703*M703</f>
      </c>
      <c r="AE703" s="6">
        <f>H703*L703/100</f>
      </c>
      <c r="AF703" s="6">
        <f>AA703+AB703+AE703</f>
      </c>
      <c r="AG703" s="6">
        <f>I703+J703+L703</f>
      </c>
      <c r="AH703" s="53">
        <f>$H703*I703</f>
      </c>
      <c r="AI703" s="53">
        <f>$H703*J703</f>
      </c>
      <c r="AJ703" s="53">
        <f>$H703*K703</f>
      </c>
      <c r="AK703" s="53">
        <f>$H703*L703</f>
      </c>
      <c r="AL703" s="53">
        <f>$H703*M703</f>
      </c>
      <c r="AM703" s="3"/>
      <c r="AN703" s="5"/>
      <c r="AO703" s="5"/>
      <c r="AP703" s="5"/>
      <c r="AQ703" s="3"/>
    </row>
    <row x14ac:dyDescent="0.25" r="704" customHeight="1" ht="12.75">
      <c r="A704" s="5" t="s">
        <v>571</v>
      </c>
      <c r="B704" s="3" t="s">
        <v>1134</v>
      </c>
      <c r="C704" s="3" t="s">
        <v>856</v>
      </c>
      <c r="D704" s="3" t="s">
        <v>928</v>
      </c>
      <c r="E704" s="3" t="s">
        <v>855</v>
      </c>
      <c r="F704" s="3" t="s">
        <v>1678</v>
      </c>
      <c r="G704" s="3" t="s">
        <v>1679</v>
      </c>
      <c r="H704" s="23">
        <f>1.405+3.4352+4.3236</f>
      </c>
      <c r="I704" s="6">
        <f>(1.09*1.405+0.72*3.4352+0.76*4.3236)/$H704</f>
      </c>
      <c r="J704" s="6">
        <f>(3.47*1.405+1.98*3.4352+2.36*4.3236)/$H704</f>
      </c>
      <c r="K704" s="31">
        <f>(148*1.405+113*3.4352+107*4.3236)/$H704</f>
      </c>
      <c r="L704" s="6">
        <f>(1.07*1.405+1.51*3.4352+0.76*4.3236)/$H704</f>
      </c>
      <c r="M704" s="6">
        <f>(0.69*1.405+0.66*3.4352+0.35*4.3236)/$H704</f>
      </c>
      <c r="N704" s="7"/>
      <c r="O704" s="23"/>
      <c r="P704" s="6"/>
      <c r="Q704" s="6"/>
      <c r="R704" s="31"/>
      <c r="S704" s="6"/>
      <c r="T704" s="31"/>
      <c r="U704" s="6"/>
      <c r="V704" s="23"/>
      <c r="W704" s="6"/>
      <c r="X704" s="6"/>
      <c r="Y704" s="5"/>
      <c r="Z704" s="3"/>
      <c r="AA704" s="6">
        <f>H704*I704/100</f>
      </c>
      <c r="AB704" s="6">
        <f>H704*J704/100</f>
      </c>
      <c r="AC704" s="7">
        <f>H704*K704</f>
      </c>
      <c r="AD704" s="7">
        <f>H704*M704</f>
      </c>
      <c r="AE704" s="6">
        <f>H704*L704/100</f>
      </c>
      <c r="AF704" s="6">
        <f>AA704+AB704+AE704</f>
      </c>
      <c r="AG704" s="6">
        <f>I704+J704+L704</f>
      </c>
      <c r="AH704" s="53">
        <f>$H704*I704</f>
      </c>
      <c r="AI704" s="53">
        <f>$H704*J704</f>
      </c>
      <c r="AJ704" s="53">
        <f>$H704*K704</f>
      </c>
      <c r="AK704" s="53">
        <f>$H704*L704</f>
      </c>
      <c r="AL704" s="53">
        <f>$H704*M704</f>
      </c>
      <c r="AM704" s="3"/>
      <c r="AN704" s="5"/>
      <c r="AO704" s="5"/>
      <c r="AP704" s="5"/>
      <c r="AQ704" s="3"/>
    </row>
    <row x14ac:dyDescent="0.25" r="705" customHeight="1" ht="12.75">
      <c r="A705" s="5" t="s">
        <v>256</v>
      </c>
      <c r="B705" s="3" t="s">
        <v>1134</v>
      </c>
      <c r="C705" s="3" t="s">
        <v>856</v>
      </c>
      <c r="D705" s="3"/>
      <c r="E705" s="3" t="s">
        <v>855</v>
      </c>
      <c r="F705" s="3" t="s">
        <v>1674</v>
      </c>
      <c r="G705" s="3" t="s">
        <v>1204</v>
      </c>
      <c r="H705" s="6">
        <v>0.064</v>
      </c>
      <c r="I705" s="6">
        <v>3.55</v>
      </c>
      <c r="J705" s="6">
        <v>6.49</v>
      </c>
      <c r="K705" s="7">
        <f>9.899*31.1</f>
      </c>
      <c r="L705" s="6"/>
      <c r="M705" s="6"/>
      <c r="N705" s="7"/>
      <c r="O705" s="23"/>
      <c r="P705" s="6"/>
      <c r="Q705" s="6"/>
      <c r="R705" s="31"/>
      <c r="S705" s="6"/>
      <c r="T705" s="31"/>
      <c r="U705" s="6"/>
      <c r="V705" s="23"/>
      <c r="W705" s="6"/>
      <c r="X705" s="6"/>
      <c r="Y705" s="5"/>
      <c r="Z705" s="3"/>
      <c r="AA705" s="6">
        <f>H705*I705/100</f>
      </c>
      <c r="AB705" s="6">
        <f>H705*J705/100</f>
      </c>
      <c r="AC705" s="7">
        <f>H705*K705</f>
      </c>
      <c r="AD705" s="7">
        <f>H705*M705</f>
      </c>
      <c r="AE705" s="6">
        <f>H705*L705/100</f>
      </c>
      <c r="AF705" s="6">
        <f>AA705+AB705+AE705</f>
      </c>
      <c r="AG705" s="6">
        <f>I705+J705+L705</f>
      </c>
      <c r="AH705" s="53">
        <f>$H705*I705</f>
      </c>
      <c r="AI705" s="53">
        <f>$H705*J705</f>
      </c>
      <c r="AJ705" s="53">
        <f>$H705*K705</f>
      </c>
      <c r="AK705" s="53">
        <f>$H705*L705</f>
      </c>
      <c r="AL705" s="53">
        <f>$H705*M705</f>
      </c>
      <c r="AM705" s="3"/>
      <c r="AN705" s="5"/>
      <c r="AO705" s="5"/>
      <c r="AP705" s="5"/>
      <c r="AQ705" s="3"/>
    </row>
    <row x14ac:dyDescent="0.25" r="706" customHeight="1" ht="12.75">
      <c r="A706" s="5" t="s">
        <v>576</v>
      </c>
      <c r="B706" s="3" t="s">
        <v>1134</v>
      </c>
      <c r="C706" s="3" t="s">
        <v>856</v>
      </c>
      <c r="D706" s="3" t="s">
        <v>928</v>
      </c>
      <c r="E706" s="3" t="s">
        <v>855</v>
      </c>
      <c r="F706" s="3" t="s">
        <v>1673</v>
      </c>
      <c r="G706" s="3" t="s">
        <v>1204</v>
      </c>
      <c r="H706" s="6">
        <v>1.49</v>
      </c>
      <c r="I706" s="6">
        <v>0.69</v>
      </c>
      <c r="J706" s="6">
        <v>1.16</v>
      </c>
      <c r="K706" s="31">
        <f>9.08*31.1</f>
      </c>
      <c r="L706" s="6">
        <v>0.26</v>
      </c>
      <c r="M706" s="6">
        <v>0.28</v>
      </c>
      <c r="N706" s="7"/>
      <c r="O706" s="23"/>
      <c r="P706" s="6"/>
      <c r="Q706" s="6"/>
      <c r="R706" s="31"/>
      <c r="S706" s="6"/>
      <c r="T706" s="31"/>
      <c r="U706" s="6"/>
      <c r="V706" s="23"/>
      <c r="W706" s="6"/>
      <c r="X706" s="6"/>
      <c r="Y706" s="5"/>
      <c r="Z706" s="3"/>
      <c r="AA706" s="6">
        <f>H706*I706/100</f>
      </c>
      <c r="AB706" s="6">
        <f>H706*J706/100</f>
      </c>
      <c r="AC706" s="7">
        <f>H706*K706</f>
      </c>
      <c r="AD706" s="7">
        <f>H706*M706</f>
      </c>
      <c r="AE706" s="6">
        <f>H706*L706/100</f>
      </c>
      <c r="AF706" s="6">
        <f>AA706+AB706+AE706</f>
      </c>
      <c r="AG706" s="6">
        <f>I706+J706+L706</f>
      </c>
      <c r="AH706" s="53">
        <f>$H706*I706</f>
      </c>
      <c r="AI706" s="53">
        <f>$H706*J706</f>
      </c>
      <c r="AJ706" s="53">
        <f>$H706*K706</f>
      </c>
      <c r="AK706" s="53">
        <f>$H706*L706</f>
      </c>
      <c r="AL706" s="53">
        <f>$H706*M706</f>
      </c>
      <c r="AM706" s="3"/>
      <c r="AN706" s="5"/>
      <c r="AO706" s="5"/>
      <c r="AP706" s="5"/>
      <c r="AQ706" s="3"/>
    </row>
    <row x14ac:dyDescent="0.25" r="707" customHeight="1" ht="12.75">
      <c r="A707" s="5" t="s">
        <v>120</v>
      </c>
      <c r="B707" s="3" t="s">
        <v>1134</v>
      </c>
      <c r="C707" s="3" t="s">
        <v>856</v>
      </c>
      <c r="D707" s="3" t="s">
        <v>925</v>
      </c>
      <c r="E707" s="3" t="s">
        <v>855</v>
      </c>
      <c r="F707" s="3" t="s">
        <v>1689</v>
      </c>
      <c r="G707" s="3" t="s">
        <v>1696</v>
      </c>
      <c r="H707" s="23">
        <v>79.933811</v>
      </c>
      <c r="I707" s="6">
        <v>1.528</v>
      </c>
      <c r="J707" s="6">
        <v>5.223</v>
      </c>
      <c r="K707" s="7">
        <f>0.308*31.1</f>
      </c>
      <c r="L707" s="6"/>
      <c r="M707" s="6"/>
      <c r="N707" s="7"/>
      <c r="O707" s="23"/>
      <c r="P707" s="6"/>
      <c r="Q707" s="6"/>
      <c r="R707" s="31"/>
      <c r="S707" s="6"/>
      <c r="T707" s="31"/>
      <c r="U707" s="6"/>
      <c r="V707" s="23"/>
      <c r="W707" s="6"/>
      <c r="X707" s="6"/>
      <c r="Y707" s="5"/>
      <c r="Z707" s="3"/>
      <c r="AA707" s="6">
        <f>H707*I707/100</f>
      </c>
      <c r="AB707" s="6">
        <f>H707*J707/100</f>
      </c>
      <c r="AC707" s="7">
        <f>H707*K707</f>
      </c>
      <c r="AD707" s="7">
        <f>H707*M707</f>
      </c>
      <c r="AE707" s="6">
        <f>H707*L707/100</f>
      </c>
      <c r="AF707" s="6">
        <f>AA707+AB707+AE707</f>
      </c>
      <c r="AG707" s="6">
        <f>I707+J707+L707</f>
      </c>
      <c r="AH707" s="53">
        <f>$H707*I707</f>
      </c>
      <c r="AI707" s="53">
        <f>$H707*J707</f>
      </c>
      <c r="AJ707" s="53">
        <f>$H707*K707</f>
      </c>
      <c r="AK707" s="53">
        <f>$H707*L707</f>
      </c>
      <c r="AL707" s="53">
        <f>$H707*M707</f>
      </c>
      <c r="AM707" s="3"/>
      <c r="AN707" s="5"/>
      <c r="AO707" s="5"/>
      <c r="AP707" s="5"/>
      <c r="AQ707" s="3"/>
    </row>
    <row x14ac:dyDescent="0.25" r="708" customHeight="1" ht="12.75">
      <c r="A708" s="5" t="s">
        <v>286</v>
      </c>
      <c r="B708" s="3" t="s">
        <v>1134</v>
      </c>
      <c r="C708" s="3" t="s">
        <v>856</v>
      </c>
      <c r="D708" s="3" t="s">
        <v>928</v>
      </c>
      <c r="E708" s="3" t="s">
        <v>855</v>
      </c>
      <c r="F708" s="3" t="s">
        <v>1673</v>
      </c>
      <c r="G708" s="3" t="s">
        <v>1204</v>
      </c>
      <c r="H708" s="6">
        <v>0.91</v>
      </c>
      <c r="I708" s="6">
        <v>3.85</v>
      </c>
      <c r="J708" s="6">
        <v>6.06</v>
      </c>
      <c r="K708" s="7">
        <f>8.69*31.1</f>
      </c>
      <c r="L708" s="6"/>
      <c r="M708" s="6"/>
      <c r="N708" s="7"/>
      <c r="O708" s="23"/>
      <c r="P708" s="6"/>
      <c r="Q708" s="6"/>
      <c r="R708" s="31"/>
      <c r="S708" s="6"/>
      <c r="T708" s="31"/>
      <c r="U708" s="6"/>
      <c r="V708" s="23"/>
      <c r="W708" s="6"/>
      <c r="X708" s="6"/>
      <c r="Y708" s="5"/>
      <c r="Z708" s="3"/>
      <c r="AA708" s="6">
        <f>H708*I708/100</f>
      </c>
      <c r="AB708" s="6">
        <f>H708*J708/100</f>
      </c>
      <c r="AC708" s="7">
        <f>H708*K708</f>
      </c>
      <c r="AD708" s="7">
        <f>H708*M708</f>
      </c>
      <c r="AE708" s="6">
        <f>H708*L708/100</f>
      </c>
      <c r="AF708" s="6">
        <f>AA708+AB708+AE708</f>
      </c>
      <c r="AG708" s="6">
        <f>I708+J708+L708</f>
      </c>
      <c r="AH708" s="53">
        <f>$H708*I708</f>
      </c>
      <c r="AI708" s="53">
        <f>$H708*J708</f>
      </c>
      <c r="AJ708" s="53">
        <f>$H708*K708</f>
      </c>
      <c r="AK708" s="53">
        <f>$H708*L708</f>
      </c>
      <c r="AL708" s="53">
        <f>$H708*M708</f>
      </c>
      <c r="AM708" s="3"/>
      <c r="AN708" s="5"/>
      <c r="AO708" s="5"/>
      <c r="AP708" s="5"/>
      <c r="AQ708" s="3"/>
    </row>
    <row x14ac:dyDescent="0.25" r="709" customHeight="1" ht="12.75">
      <c r="A709" s="5" t="s">
        <v>366</v>
      </c>
      <c r="B709" s="3" t="s">
        <v>1134</v>
      </c>
      <c r="C709" s="3" t="s">
        <v>869</v>
      </c>
      <c r="D709" s="3"/>
      <c r="E709" s="3" t="s">
        <v>855</v>
      </c>
      <c r="F709" s="3" t="s">
        <v>1362</v>
      </c>
      <c r="G709" s="3" t="s">
        <v>1288</v>
      </c>
      <c r="H709" s="6">
        <f>8.544+22.511</f>
      </c>
      <c r="I709" s="6">
        <f>(1.06*8.544+0.32*22.511)/$H709</f>
      </c>
      <c r="J709" s="6">
        <f>(3.05*8.544+3.42*22.511)/$H709</f>
      </c>
      <c r="K709" s="31">
        <f>(35*8.544+18*22.511)/$H709</f>
      </c>
      <c r="L709" s="6">
        <f>(0.06*8.544+0.09*22.511)/$H709</f>
      </c>
      <c r="M709" s="6"/>
      <c r="N709" s="7"/>
      <c r="O709" s="23"/>
      <c r="P709" s="6"/>
      <c r="Q709" s="6"/>
      <c r="R709" s="31"/>
      <c r="S709" s="6"/>
      <c r="T709" s="31"/>
      <c r="U709" s="6"/>
      <c r="V709" s="23"/>
      <c r="W709" s="6"/>
      <c r="X709" s="6"/>
      <c r="Y709" s="5"/>
      <c r="Z709" s="3"/>
      <c r="AA709" s="6">
        <f>H709*I709/100</f>
      </c>
      <c r="AB709" s="6">
        <f>H709*J709/100</f>
      </c>
      <c r="AC709" s="7">
        <f>H709*K709</f>
      </c>
      <c r="AD709" s="7">
        <f>H709*M709</f>
      </c>
      <c r="AE709" s="6">
        <f>H709*L709/100</f>
      </c>
      <c r="AF709" s="6">
        <f>AA709+AB709+AE709</f>
      </c>
      <c r="AG709" s="6">
        <f>I709+J709+L709</f>
      </c>
      <c r="AH709" s="53">
        <f>$H709*I709</f>
      </c>
      <c r="AI709" s="53">
        <f>$H709*J709</f>
      </c>
      <c r="AJ709" s="53">
        <f>$H709*K709</f>
      </c>
      <c r="AK709" s="53">
        <f>$H709*L709</f>
      </c>
      <c r="AL709" s="53">
        <f>$H709*M709</f>
      </c>
      <c r="AM709" s="3"/>
      <c r="AN709" s="5"/>
      <c r="AO709" s="5"/>
      <c r="AP709" s="5"/>
      <c r="AQ709" s="3"/>
    </row>
    <row x14ac:dyDescent="0.25" r="710" customHeight="1" ht="12.75">
      <c r="A710" s="5" t="s">
        <v>1042</v>
      </c>
      <c r="B710" s="3" t="s">
        <v>1134</v>
      </c>
      <c r="C710" s="3" t="s">
        <v>1043</v>
      </c>
      <c r="D710" s="3"/>
      <c r="E710" s="16" t="s">
        <v>1247</v>
      </c>
      <c r="F710" s="3" t="s">
        <v>1362</v>
      </c>
      <c r="G710" s="3" t="s">
        <v>1288</v>
      </c>
      <c r="H710" s="6">
        <v>4.192</v>
      </c>
      <c r="I710" s="6"/>
      <c r="J710" s="6">
        <v>1.93</v>
      </c>
      <c r="K710" s="5"/>
      <c r="L710" s="6"/>
      <c r="M710" s="6"/>
      <c r="N710" s="7"/>
      <c r="O710" s="23"/>
      <c r="P710" s="6"/>
      <c r="Q710" s="6"/>
      <c r="R710" s="31"/>
      <c r="S710" s="6"/>
      <c r="T710" s="31"/>
      <c r="U710" s="6"/>
      <c r="V710" s="23"/>
      <c r="W710" s="6"/>
      <c r="X710" s="6"/>
      <c r="Y710" s="5"/>
      <c r="Z710" s="3"/>
      <c r="AA710" s="6">
        <f>H710*I710/100</f>
      </c>
      <c r="AB710" s="6">
        <f>H710*J710/100</f>
      </c>
      <c r="AC710" s="7">
        <f>H710*K710</f>
      </c>
      <c r="AD710" s="7">
        <f>H710*M710</f>
      </c>
      <c r="AE710" s="6">
        <f>H710*L710/100</f>
      </c>
      <c r="AF710" s="6">
        <f>AA710+AB710+AE710</f>
      </c>
      <c r="AG710" s="6">
        <f>I710+J710+L710</f>
      </c>
      <c r="AH710" s="53">
        <f>$H710*I710</f>
      </c>
      <c r="AI710" s="53">
        <f>$H710*J710</f>
      </c>
      <c r="AJ710" s="53">
        <f>$H710*K710</f>
      </c>
      <c r="AK710" s="53">
        <f>$H710*L710</f>
      </c>
      <c r="AL710" s="53">
        <f>$H710*M710</f>
      </c>
      <c r="AM710" s="3"/>
      <c r="AN710" s="5"/>
      <c r="AO710" s="5"/>
      <c r="AP710" s="5"/>
      <c r="AQ710" s="3"/>
    </row>
    <row x14ac:dyDescent="0.25" r="711" customHeight="1" ht="12.75">
      <c r="A711" s="5" t="s">
        <v>314</v>
      </c>
      <c r="B711" s="3" t="s">
        <v>1134</v>
      </c>
      <c r="C711" s="3" t="s">
        <v>856</v>
      </c>
      <c r="D711" s="3" t="s">
        <v>928</v>
      </c>
      <c r="E711" s="3" t="s">
        <v>855</v>
      </c>
      <c r="F711" s="3" t="s">
        <v>1689</v>
      </c>
      <c r="G711" s="3" t="s">
        <v>1696</v>
      </c>
      <c r="H711" s="6">
        <v>45.926</v>
      </c>
      <c r="I711" s="6">
        <v>0.86</v>
      </c>
      <c r="J711" s="6">
        <v>2.53</v>
      </c>
      <c r="K711" s="7">
        <f>0.92*31.1</f>
      </c>
      <c r="L711" s="6"/>
      <c r="M711" s="6"/>
      <c r="N711" s="7"/>
      <c r="O711" s="23"/>
      <c r="P711" s="6"/>
      <c r="Q711" s="6"/>
      <c r="R711" s="31"/>
      <c r="S711" s="6"/>
      <c r="T711" s="31"/>
      <c r="U711" s="6"/>
      <c r="V711" s="23"/>
      <c r="W711" s="6"/>
      <c r="X711" s="6"/>
      <c r="Y711" s="5"/>
      <c r="Z711" s="3"/>
      <c r="AA711" s="6">
        <f>H711*I711/100</f>
      </c>
      <c r="AB711" s="6">
        <f>H711*J711/100</f>
      </c>
      <c r="AC711" s="7">
        <f>H711*K711</f>
      </c>
      <c r="AD711" s="7">
        <f>H711*M711</f>
      </c>
      <c r="AE711" s="6">
        <f>H711*L711/100</f>
      </c>
      <c r="AF711" s="6">
        <f>AA711+AB711+AE711</f>
      </c>
      <c r="AG711" s="6">
        <f>I711+J711+L711</f>
      </c>
      <c r="AH711" s="53">
        <f>$H711*I711</f>
      </c>
      <c r="AI711" s="53">
        <f>$H711*J711</f>
      </c>
      <c r="AJ711" s="53">
        <f>$H711*K711</f>
      </c>
      <c r="AK711" s="53">
        <f>$H711*L711</f>
      </c>
      <c r="AL711" s="53">
        <f>$H711*M711</f>
      </c>
      <c r="AM711" s="3"/>
      <c r="AN711" s="5"/>
      <c r="AO711" s="5"/>
      <c r="AP711" s="5"/>
      <c r="AQ711" s="3"/>
    </row>
    <row x14ac:dyDescent="0.25" r="712" customHeight="1" ht="12.75">
      <c r="A712" s="5" t="s">
        <v>35</v>
      </c>
      <c r="B712" s="3" t="s">
        <v>1134</v>
      </c>
      <c r="C712" s="3" t="s">
        <v>856</v>
      </c>
      <c r="D712" s="3" t="s">
        <v>928</v>
      </c>
      <c r="E712" s="3" t="s">
        <v>855</v>
      </c>
      <c r="F712" s="3" t="s">
        <v>1674</v>
      </c>
      <c r="G712" s="3" t="s">
        <v>1204</v>
      </c>
      <c r="H712" s="6">
        <v>1.6</v>
      </c>
      <c r="I712" s="6">
        <v>2.1</v>
      </c>
      <c r="J712" s="7">
        <v>3</v>
      </c>
      <c r="K712" s="31">
        <f>9.2*31.1</f>
      </c>
      <c r="L712" s="6"/>
      <c r="M712" s="6">
        <v>13.6</v>
      </c>
      <c r="N712" s="7"/>
      <c r="O712" s="23"/>
      <c r="P712" s="6"/>
      <c r="Q712" s="6"/>
      <c r="R712" s="31"/>
      <c r="S712" s="6"/>
      <c r="T712" s="31"/>
      <c r="U712" s="6"/>
      <c r="V712" s="23"/>
      <c r="W712" s="6"/>
      <c r="X712" s="6"/>
      <c r="Y712" s="5"/>
      <c r="Z712" s="3"/>
      <c r="AA712" s="6">
        <f>H712*I712/100</f>
      </c>
      <c r="AB712" s="6">
        <f>H712*J712/100</f>
      </c>
      <c r="AC712" s="7">
        <f>H712*K712</f>
      </c>
      <c r="AD712" s="7">
        <f>H712*M712</f>
      </c>
      <c r="AE712" s="6">
        <f>H712*L712/100</f>
      </c>
      <c r="AF712" s="6">
        <f>AA712+AB712+AE712</f>
      </c>
      <c r="AG712" s="6">
        <f>I712+J712+L712</f>
      </c>
      <c r="AH712" s="53">
        <f>$H712*I712</f>
      </c>
      <c r="AI712" s="53">
        <f>$H712*J712</f>
      </c>
      <c r="AJ712" s="53">
        <f>$H712*K712</f>
      </c>
      <c r="AK712" s="53">
        <f>$H712*L712</f>
      </c>
      <c r="AL712" s="53">
        <f>$H712*M712</f>
      </c>
      <c r="AM712" s="3"/>
      <c r="AN712" s="5"/>
      <c r="AO712" s="5"/>
      <c r="AP712" s="5"/>
      <c r="AQ712" s="3"/>
    </row>
    <row x14ac:dyDescent="0.25" r="713" customHeight="1" ht="12.75">
      <c r="A713" s="5" t="s">
        <v>282</v>
      </c>
      <c r="B713" s="3" t="s">
        <v>1134</v>
      </c>
      <c r="C713" s="3" t="s">
        <v>869</v>
      </c>
      <c r="D713" s="3"/>
      <c r="E713" s="3" t="s">
        <v>855</v>
      </c>
      <c r="F713" s="3" t="s">
        <v>1674</v>
      </c>
      <c r="G713" s="3" t="s">
        <v>1204</v>
      </c>
      <c r="H713" s="6">
        <f>3.485+0.064+0.287</f>
      </c>
      <c r="I713" s="6">
        <f>(1.05*3.485+5.1*0.064+0*0.287)/$H713</f>
      </c>
      <c r="J713" s="6">
        <f>(1.42*3.485+6.6*0.064+0*0.287)/$H713</f>
      </c>
      <c r="K713" s="7">
        <f>31.1*(16.854*3.485+7.496*0.064+19.742*0.287)/$H713</f>
      </c>
      <c r="L713" s="6"/>
      <c r="M713" s="6"/>
      <c r="N713" s="7"/>
      <c r="O713" s="23"/>
      <c r="P713" s="6"/>
      <c r="Q713" s="6"/>
      <c r="R713" s="31"/>
      <c r="S713" s="6"/>
      <c r="T713" s="31"/>
      <c r="U713" s="6"/>
      <c r="V713" s="23"/>
      <c r="W713" s="6"/>
      <c r="X713" s="6"/>
      <c r="Y713" s="5"/>
      <c r="Z713" s="3"/>
      <c r="AA713" s="6">
        <f>H713*I713/100</f>
      </c>
      <c r="AB713" s="6">
        <f>H713*J713/100</f>
      </c>
      <c r="AC713" s="7">
        <f>H713*K713</f>
      </c>
      <c r="AD713" s="7">
        <f>H713*M713</f>
      </c>
      <c r="AE713" s="6">
        <f>H713*L713/100</f>
      </c>
      <c r="AF713" s="6">
        <f>AA713+AB713+AE713</f>
      </c>
      <c r="AG713" s="6">
        <f>I713+J713+L713</f>
      </c>
      <c r="AH713" s="53">
        <f>$H713*I713</f>
      </c>
      <c r="AI713" s="53">
        <f>$H713*J713</f>
      </c>
      <c r="AJ713" s="53">
        <f>$H713*K713</f>
      </c>
      <c r="AK713" s="53">
        <f>$H713*L713</f>
      </c>
      <c r="AL713" s="53">
        <f>$H713*M713</f>
      </c>
      <c r="AM713" s="3"/>
      <c r="AN713" s="5"/>
      <c r="AO713" s="5"/>
      <c r="AP713" s="5"/>
      <c r="AQ713" s="3"/>
    </row>
    <row x14ac:dyDescent="0.25" r="714" customHeight="1" ht="12.75">
      <c r="A714" s="5" t="s">
        <v>683</v>
      </c>
      <c r="B714" s="3" t="s">
        <v>1134</v>
      </c>
      <c r="C714" s="3" t="s">
        <v>856</v>
      </c>
      <c r="D714" s="3" t="s">
        <v>931</v>
      </c>
      <c r="E714" s="3" t="s">
        <v>855</v>
      </c>
      <c r="F714" s="3" t="s">
        <v>1673</v>
      </c>
      <c r="G714" s="3" t="s">
        <v>1204</v>
      </c>
      <c r="H714" s="6">
        <f>0.187+0.821+0.341</f>
      </c>
      <c r="I714" s="6">
        <f>(1.94*0.187+1.3*0.821+2.12*0.341)/$H714</f>
      </c>
      <c r="J714" s="6">
        <f>(2.02*0.187+3*0.821+4.16*0.341)/$H714</f>
      </c>
      <c r="K714" s="7">
        <f>31.1*(6.06*0.187+4.4*0.821+4.63*0.341)/$H714</f>
      </c>
      <c r="L714" s="6">
        <f>(0.01*0.187+0.15*0.821+0.09*0.341)/$H714</f>
      </c>
      <c r="M714" s="6"/>
      <c r="N714" s="7"/>
      <c r="O714" s="23"/>
      <c r="P714" s="6"/>
      <c r="Q714" s="6"/>
      <c r="R714" s="31"/>
      <c r="S714" s="6"/>
      <c r="T714" s="31"/>
      <c r="U714" s="6"/>
      <c r="V714" s="23"/>
      <c r="W714" s="6"/>
      <c r="X714" s="6"/>
      <c r="Y714" s="5"/>
      <c r="Z714" s="3"/>
      <c r="AA714" s="6">
        <f>H714*I714/100</f>
      </c>
      <c r="AB714" s="6">
        <f>H714*J714/100</f>
      </c>
      <c r="AC714" s="7">
        <f>H714*K714</f>
      </c>
      <c r="AD714" s="7">
        <f>H714*M714</f>
      </c>
      <c r="AE714" s="6">
        <f>H714*L714/100</f>
      </c>
      <c r="AF714" s="6">
        <f>AA714+AB714+AE714</f>
      </c>
      <c r="AG714" s="6">
        <f>I714+J714+L714</f>
      </c>
      <c r="AH714" s="53">
        <f>$H714*I714</f>
      </c>
      <c r="AI714" s="53">
        <f>$H714*J714</f>
      </c>
      <c r="AJ714" s="53">
        <f>$H714*K714</f>
      </c>
      <c r="AK714" s="53">
        <f>$H714*L714</f>
      </c>
      <c r="AL714" s="53">
        <f>$H714*M714</f>
      </c>
      <c r="AM714" s="3"/>
      <c r="AN714" s="5"/>
      <c r="AO714" s="5"/>
      <c r="AP714" s="5"/>
      <c r="AQ714" s="3"/>
    </row>
    <row x14ac:dyDescent="0.25" r="715" customHeight="1" ht="12.75">
      <c r="A715" s="5" t="s">
        <v>361</v>
      </c>
      <c r="B715" s="3" t="s">
        <v>1134</v>
      </c>
      <c r="C715" s="3" t="s">
        <v>869</v>
      </c>
      <c r="D715" s="3" t="s">
        <v>1013</v>
      </c>
      <c r="E715" s="3" t="s">
        <v>855</v>
      </c>
      <c r="F715" s="3" t="s">
        <v>1672</v>
      </c>
      <c r="G715" s="3" t="s">
        <v>1480</v>
      </c>
      <c r="H715" s="6">
        <f>26.491+1.169</f>
      </c>
      <c r="I715" s="6">
        <f>(2.18*26.491+1.09*1.169)/$H715</f>
      </c>
      <c r="J715" s="6">
        <f>(2.37*26.491+2.17*1.169)/$H715</f>
      </c>
      <c r="K715" s="5"/>
      <c r="L715" s="6"/>
      <c r="M715" s="6"/>
      <c r="N715" s="7"/>
      <c r="O715" s="23"/>
      <c r="P715" s="6"/>
      <c r="Q715" s="6"/>
      <c r="R715" s="31"/>
      <c r="S715" s="6"/>
      <c r="T715" s="31"/>
      <c r="U715" s="6"/>
      <c r="V715" s="23"/>
      <c r="W715" s="6"/>
      <c r="X715" s="6"/>
      <c r="Y715" s="5"/>
      <c r="Z715" s="3"/>
      <c r="AA715" s="6">
        <f>H715*I715/100</f>
      </c>
      <c r="AB715" s="6">
        <f>H715*J715/100</f>
      </c>
      <c r="AC715" s="7">
        <f>H715*K715</f>
      </c>
      <c r="AD715" s="7">
        <f>H715*M715</f>
      </c>
      <c r="AE715" s="6">
        <f>H715*L715/100</f>
      </c>
      <c r="AF715" s="6">
        <f>AA715+AB715+AE715</f>
      </c>
      <c r="AG715" s="6">
        <f>I715+J715+L715</f>
      </c>
      <c r="AH715" s="53">
        <f>$H715*I715</f>
      </c>
      <c r="AI715" s="53">
        <f>$H715*J715</f>
      </c>
      <c r="AJ715" s="53">
        <f>$H715*K715</f>
      </c>
      <c r="AK715" s="53">
        <f>$H715*L715</f>
      </c>
      <c r="AL715" s="53">
        <f>$H715*M715</f>
      </c>
      <c r="AM715" s="3"/>
      <c r="AN715" s="5"/>
      <c r="AO715" s="5"/>
      <c r="AP715" s="5"/>
      <c r="AQ715" s="3"/>
    </row>
    <row x14ac:dyDescent="0.25" r="716" customHeight="1" ht="12.75">
      <c r="A716" s="5" t="s">
        <v>146</v>
      </c>
      <c r="B716" s="3" t="s">
        <v>1134</v>
      </c>
      <c r="C716" s="3" t="s">
        <v>869</v>
      </c>
      <c r="D716" s="3"/>
      <c r="E716" s="3" t="s">
        <v>855</v>
      </c>
      <c r="F716" s="3" t="s">
        <v>1673</v>
      </c>
      <c r="G716" s="3" t="s">
        <v>1204</v>
      </c>
      <c r="H716" s="6">
        <f>25.363+16.306+30.076</f>
      </c>
      <c r="I716" s="6">
        <f>(0.92*25.363+0.52*16.306+0.78*30.076)/$H716</f>
      </c>
      <c r="J716" s="6">
        <f>(5.82*25.363+1.72*16.306+4.86*30.076)/$H716</f>
      </c>
      <c r="K716" s="7">
        <f>31.1*(3.9*25.363+1.67*16.306+4.23*30.076)/$H716</f>
      </c>
      <c r="L716" s="6">
        <f>(0.16*25.363+0.26*16.306+0.24*30.076)/$H716</f>
      </c>
      <c r="M716" s="6"/>
      <c r="N716" s="7"/>
      <c r="O716" s="23"/>
      <c r="P716" s="6"/>
      <c r="Q716" s="6"/>
      <c r="R716" s="31"/>
      <c r="S716" s="6"/>
      <c r="T716" s="31"/>
      <c r="U716" s="6"/>
      <c r="V716" s="23"/>
      <c r="W716" s="6"/>
      <c r="X716" s="6"/>
      <c r="Y716" s="5"/>
      <c r="Z716" s="3"/>
      <c r="AA716" s="6">
        <f>H716*I716/100</f>
      </c>
      <c r="AB716" s="6">
        <f>H716*J716/100</f>
      </c>
      <c r="AC716" s="7">
        <f>H716*K716</f>
      </c>
      <c r="AD716" s="7">
        <f>H716*M716</f>
      </c>
      <c r="AE716" s="6">
        <f>H716*L716/100</f>
      </c>
      <c r="AF716" s="6">
        <f>AA716+AB716+AE716</f>
      </c>
      <c r="AG716" s="6">
        <f>I716+J716+L716</f>
      </c>
      <c r="AH716" s="53">
        <f>$H716*I716</f>
      </c>
      <c r="AI716" s="53">
        <f>$H716*J716</f>
      </c>
      <c r="AJ716" s="53">
        <f>$H716*K716</f>
      </c>
      <c r="AK716" s="53">
        <f>$H716*L716</f>
      </c>
      <c r="AL716" s="53">
        <f>$H716*M716</f>
      </c>
      <c r="AM716" s="3"/>
      <c r="AN716" s="5"/>
      <c r="AO716" s="5"/>
      <c r="AP716" s="5"/>
      <c r="AQ716" s="3"/>
    </row>
    <row x14ac:dyDescent="0.25" r="717" customHeight="1" ht="12.75">
      <c r="A717" s="5" t="s">
        <v>295</v>
      </c>
      <c r="B717" s="3" t="s">
        <v>1134</v>
      </c>
      <c r="C717" s="3" t="s">
        <v>1014</v>
      </c>
      <c r="D717" s="3"/>
      <c r="E717" s="3" t="s">
        <v>855</v>
      </c>
      <c r="F717" s="3" t="s">
        <v>1180</v>
      </c>
      <c r="G717" s="3" t="s">
        <v>1181</v>
      </c>
      <c r="H717" s="6">
        <f>1.74+8.8+13</f>
      </c>
      <c r="I717" s="6">
        <f>(1.28*1.74+1.5*8.8+1*13)/$H717</f>
      </c>
      <c r="J717" s="7">
        <f>(3.58*1.74+3.5*8.8+4*13)/$H717</f>
      </c>
      <c r="K717" s="31">
        <f>(156*1.74+210*8.8+200*13)/$H717</f>
      </c>
      <c r="L717" s="7">
        <f>(0.36*1.74+0.4*8.8+0.4*13)/$H717</f>
      </c>
      <c r="M717" s="6"/>
      <c r="N717" s="7"/>
      <c r="O717" s="23"/>
      <c r="P717" s="6"/>
      <c r="Q717" s="6"/>
      <c r="R717" s="31"/>
      <c r="S717" s="6"/>
      <c r="T717" s="31"/>
      <c r="U717" s="6"/>
      <c r="V717" s="23"/>
      <c r="W717" s="6"/>
      <c r="X717" s="6"/>
      <c r="Y717" s="5"/>
      <c r="Z717" s="3"/>
      <c r="AA717" s="6">
        <f>H717*I717/100</f>
      </c>
      <c r="AB717" s="6">
        <f>H717*J717/100</f>
      </c>
      <c r="AC717" s="7">
        <f>H717*K717</f>
      </c>
      <c r="AD717" s="7">
        <f>H717*M717</f>
      </c>
      <c r="AE717" s="6">
        <f>H717*L717/100</f>
      </c>
      <c r="AF717" s="6">
        <f>AA717+AB717+AE717</f>
      </c>
      <c r="AG717" s="6">
        <f>I717+J717+L717</f>
      </c>
      <c r="AH717" s="53">
        <f>$H717*I717</f>
      </c>
      <c r="AI717" s="53">
        <f>$H717*J717</f>
      </c>
      <c r="AJ717" s="53">
        <f>$H717*K717</f>
      </c>
      <c r="AK717" s="53">
        <f>$H717*L717</f>
      </c>
      <c r="AL717" s="53">
        <f>$H717*M717</f>
      </c>
      <c r="AM717" s="3"/>
      <c r="AN717" s="5"/>
      <c r="AO717" s="5"/>
      <c r="AP717" s="5"/>
      <c r="AQ717" s="3"/>
    </row>
    <row x14ac:dyDescent="0.25" r="718" customHeight="1" ht="12.75">
      <c r="A718" s="5" t="s">
        <v>394</v>
      </c>
      <c r="B718" s="3" t="s">
        <v>1134</v>
      </c>
      <c r="C718" s="3" t="s">
        <v>869</v>
      </c>
      <c r="D718" s="3"/>
      <c r="E718" s="3" t="s">
        <v>855</v>
      </c>
      <c r="F718" s="3" t="s">
        <v>1612</v>
      </c>
      <c r="G718" s="3" t="s">
        <v>1288</v>
      </c>
      <c r="H718" s="23">
        <f>1.229+4.91+0.37</f>
      </c>
      <c r="I718" s="6">
        <f>(3.44*1.229+2.1*4.91+5.15*0.37)/$H718</f>
      </c>
      <c r="J718" s="6">
        <f>(4.42*1.229+3.13*4.91+2.43*0.37)/$H718</f>
      </c>
      <c r="K718" s="7">
        <f>(159.4*1.229+102.6*4.91+239.9*0.37)/$H718</f>
      </c>
      <c r="L718" s="6">
        <f>(0.8*1.229+1.08*4.91+0.42*0.37)/$H718</f>
      </c>
      <c r="M718" s="6">
        <f>(1.09*1.229+0.91*4.91+1.45*0.37)/$H718</f>
      </c>
      <c r="N718" s="7"/>
      <c r="O718" s="23"/>
      <c r="P718" s="6"/>
      <c r="Q718" s="6"/>
      <c r="R718" s="31"/>
      <c r="S718" s="6"/>
      <c r="T718" s="31"/>
      <c r="U718" s="6"/>
      <c r="V718" s="23"/>
      <c r="W718" s="6"/>
      <c r="X718" s="6"/>
      <c r="Y718" s="5"/>
      <c r="Z718" s="3"/>
      <c r="AA718" s="6">
        <f>H718*I718/100</f>
      </c>
      <c r="AB718" s="6">
        <f>H718*J718/100</f>
      </c>
      <c r="AC718" s="7">
        <f>H718*K718</f>
      </c>
      <c r="AD718" s="7">
        <f>H718*M718</f>
      </c>
      <c r="AE718" s="6">
        <f>H718*L718/100</f>
      </c>
      <c r="AF718" s="6">
        <f>AA718+AB718+AE718</f>
      </c>
      <c r="AG718" s="6">
        <f>I718+J718+L718</f>
      </c>
      <c r="AH718" s="53">
        <f>$H718*I718</f>
      </c>
      <c r="AI718" s="53">
        <f>$H718*J718</f>
      </c>
      <c r="AJ718" s="53">
        <f>$H718*K718</f>
      </c>
      <c r="AK718" s="53">
        <f>$H718*L718</f>
      </c>
      <c r="AL718" s="53">
        <f>$H718*M718</f>
      </c>
      <c r="AM718" s="3"/>
      <c r="AN718" s="5"/>
      <c r="AO718" s="5"/>
      <c r="AP718" s="5"/>
      <c r="AQ718" s="3"/>
    </row>
    <row x14ac:dyDescent="0.25" r="719" customHeight="1" ht="12.75">
      <c r="A719" s="5" t="s">
        <v>782</v>
      </c>
      <c r="B719" s="3" t="s">
        <v>1134</v>
      </c>
      <c r="C719" s="3" t="s">
        <v>1014</v>
      </c>
      <c r="D719" s="3" t="s">
        <v>929</v>
      </c>
      <c r="E719" s="3" t="s">
        <v>855</v>
      </c>
      <c r="F719" s="3" t="s">
        <v>1673</v>
      </c>
      <c r="G719" s="3" t="s">
        <v>1204</v>
      </c>
      <c r="H719" s="6">
        <f>2.74+2.9</f>
      </c>
      <c r="I719" s="6">
        <f>(1.26*2.74+1.34*2.9)/$H719</f>
      </c>
      <c r="J719" s="6">
        <f>(0.91*2.74+1.04*2.9)/$H719</f>
      </c>
      <c r="K719" s="7">
        <f>31.1*(1.71*2.74+1.72*2.9)/$H719</f>
      </c>
      <c r="L719" s="6"/>
      <c r="M719" s="6"/>
      <c r="N719" s="7"/>
      <c r="O719" s="23"/>
      <c r="P719" s="6"/>
      <c r="Q719" s="6"/>
      <c r="R719" s="31"/>
      <c r="S719" s="6"/>
      <c r="T719" s="31"/>
      <c r="U719" s="6"/>
      <c r="V719" s="23"/>
      <c r="W719" s="6"/>
      <c r="X719" s="6"/>
      <c r="Y719" s="5"/>
      <c r="Z719" s="3"/>
      <c r="AA719" s="6">
        <f>H719*I719/100</f>
      </c>
      <c r="AB719" s="6">
        <f>H719*J719/100</f>
      </c>
      <c r="AC719" s="7">
        <f>H719*K719</f>
      </c>
      <c r="AD719" s="7">
        <f>H719*M719</f>
      </c>
      <c r="AE719" s="6">
        <f>H719*L719/100</f>
      </c>
      <c r="AF719" s="6">
        <f>AA719+AB719+AE719</f>
      </c>
      <c r="AG719" s="6">
        <f>I719+J719+L719</f>
      </c>
      <c r="AH719" s="53">
        <f>$H719*I719</f>
      </c>
      <c r="AI719" s="53">
        <f>$H719*J719</f>
      </c>
      <c r="AJ719" s="53">
        <f>$H719*K719</f>
      </c>
      <c r="AK719" s="53">
        <f>$H719*L719</f>
      </c>
      <c r="AL719" s="53">
        <f>$H719*M719</f>
      </c>
      <c r="AM719" s="3"/>
      <c r="AN719" s="5"/>
      <c r="AO719" s="5"/>
      <c r="AP719" s="5"/>
      <c r="AQ719" s="3"/>
    </row>
    <row x14ac:dyDescent="0.25" r="720" customHeight="1" ht="12.75">
      <c r="A720" s="5" t="s">
        <v>839</v>
      </c>
      <c r="B720" s="3" t="s">
        <v>1135</v>
      </c>
      <c r="C720" s="3" t="s">
        <v>870</v>
      </c>
      <c r="D720" s="3"/>
      <c r="E720" s="3" t="s">
        <v>855</v>
      </c>
      <c r="F720" s="3" t="s">
        <v>1697</v>
      </c>
      <c r="G720" s="3" t="s">
        <v>1698</v>
      </c>
      <c r="H720" s="23">
        <v>0.994563</v>
      </c>
      <c r="I720" s="6"/>
      <c r="J720" s="6">
        <v>0.73</v>
      </c>
      <c r="K720" s="6">
        <v>13.48</v>
      </c>
      <c r="L720" s="6">
        <v>0.75</v>
      </c>
      <c r="M720" s="6">
        <v>0.54</v>
      </c>
      <c r="N720" s="7"/>
      <c r="O720" s="23"/>
      <c r="P720" s="6"/>
      <c r="Q720" s="6"/>
      <c r="R720" s="31"/>
      <c r="S720" s="6"/>
      <c r="T720" s="31"/>
      <c r="U720" s="6"/>
      <c r="V720" s="23"/>
      <c r="W720" s="6"/>
      <c r="X720" s="6"/>
      <c r="Y720" s="5"/>
      <c r="Z720" s="3"/>
      <c r="AA720" s="6">
        <f>H720*I720/100</f>
      </c>
      <c r="AB720" s="6">
        <f>H720*J720/100</f>
      </c>
      <c r="AC720" s="7">
        <f>H720*K720</f>
      </c>
      <c r="AD720" s="7">
        <f>H720*M720</f>
      </c>
      <c r="AE720" s="6">
        <f>H720*L720/100</f>
      </c>
      <c r="AF720" s="6">
        <f>AA720+AB720+AE720</f>
      </c>
      <c r="AG720" s="6">
        <f>I720+J720+L720</f>
      </c>
      <c r="AH720" s="53">
        <f>$H720*I720</f>
      </c>
      <c r="AI720" s="53">
        <f>$H720*J720</f>
      </c>
      <c r="AJ720" s="53">
        <f>$H720*K720</f>
      </c>
      <c r="AK720" s="53">
        <f>$H720*L720</f>
      </c>
      <c r="AL720" s="53">
        <f>$H720*M720</f>
      </c>
      <c r="AM720" s="3"/>
      <c r="AN720" s="5"/>
      <c r="AO720" s="5"/>
      <c r="AP720" s="5"/>
      <c r="AQ720" s="3"/>
    </row>
    <row x14ac:dyDescent="0.25" r="721" customHeight="1" ht="12.75">
      <c r="A721" s="5" t="s">
        <v>826</v>
      </c>
      <c r="B721" s="3" t="s">
        <v>1135</v>
      </c>
      <c r="C721" s="3" t="s">
        <v>856</v>
      </c>
      <c r="D721" s="3"/>
      <c r="E721" s="3" t="s">
        <v>855</v>
      </c>
      <c r="F721" s="3" t="s">
        <v>1699</v>
      </c>
      <c r="G721" s="3" t="s">
        <v>1700</v>
      </c>
      <c r="H721" s="6">
        <v>2.7</v>
      </c>
      <c r="I721" s="6">
        <v>0.85</v>
      </c>
      <c r="J721" s="6">
        <v>1.58</v>
      </c>
      <c r="K721" s="5">
        <v>26</v>
      </c>
      <c r="L721" s="6"/>
      <c r="M721" s="6"/>
      <c r="N721" s="7"/>
      <c r="O721" s="23"/>
      <c r="P721" s="6"/>
      <c r="Q721" s="6"/>
      <c r="R721" s="31"/>
      <c r="S721" s="6"/>
      <c r="T721" s="31"/>
      <c r="U721" s="6"/>
      <c r="V721" s="23"/>
      <c r="W721" s="6"/>
      <c r="X721" s="6"/>
      <c r="Y721" s="5"/>
      <c r="Z721" s="3"/>
      <c r="AA721" s="6">
        <f>H721*I721/100</f>
      </c>
      <c r="AB721" s="6">
        <f>H721*J721/100</f>
      </c>
      <c r="AC721" s="7">
        <f>H721*K721</f>
      </c>
      <c r="AD721" s="7">
        <f>H721*M721</f>
      </c>
      <c r="AE721" s="6">
        <f>H721*L721/100</f>
      </c>
      <c r="AF721" s="6">
        <f>AA721+AB721+AE721</f>
      </c>
      <c r="AG721" s="6">
        <f>I721+J721+L721</f>
      </c>
      <c r="AH721" s="53">
        <f>$H721*I721</f>
      </c>
      <c r="AI721" s="53">
        <f>$H721*J721</f>
      </c>
      <c r="AJ721" s="53">
        <f>$H721*K721</f>
      </c>
      <c r="AK721" s="53">
        <f>$H721*L721</f>
      </c>
      <c r="AL721" s="53">
        <f>$H721*M721</f>
      </c>
      <c r="AM721" s="3"/>
      <c r="AN721" s="5"/>
      <c r="AO721" s="5"/>
      <c r="AP721" s="5"/>
      <c r="AQ721" s="3"/>
    </row>
    <row x14ac:dyDescent="0.25" r="722" customHeight="1" ht="12.75">
      <c r="A722" s="5" t="s">
        <v>504</v>
      </c>
      <c r="B722" s="3" t="s">
        <v>1135</v>
      </c>
      <c r="C722" s="3" t="s">
        <v>870</v>
      </c>
      <c r="D722" s="3"/>
      <c r="E722" s="3" t="s">
        <v>855</v>
      </c>
      <c r="F722" s="3" t="s">
        <v>1701</v>
      </c>
      <c r="G722" s="3" t="s">
        <v>1702</v>
      </c>
      <c r="H722" s="6">
        <f>4.428+0.009+0.699</f>
      </c>
      <c r="I722" s="6">
        <f>(0.11*4.428+0.05*0.009+0.02*0.699)/$H722</f>
      </c>
      <c r="J722" s="6">
        <f>(2.74*4.428+0.02*0.009+0.11*0.699)/$H722</f>
      </c>
      <c r="K722" s="7">
        <f>(31.21*4.428+10.37*0.009+6.42*0.699)/$H722</f>
      </c>
      <c r="L722" s="6">
        <f>(1.54*4.428+0.24*0.009+0.16*0.699)/$H722</f>
      </c>
      <c r="M722" s="6">
        <f>(2.78*4.428+1.78*0.009+0.98*0.699)/$H722</f>
      </c>
      <c r="N722" s="7"/>
      <c r="O722" s="23"/>
      <c r="P722" s="6"/>
      <c r="Q722" s="6"/>
      <c r="R722" s="31"/>
      <c r="S722" s="6"/>
      <c r="T722" s="31"/>
      <c r="U722" s="6"/>
      <c r="V722" s="23"/>
      <c r="W722" s="6"/>
      <c r="X722" s="6"/>
      <c r="Y722" s="5"/>
      <c r="Z722" s="3"/>
      <c r="AA722" s="6">
        <f>H722*I722/100</f>
      </c>
      <c r="AB722" s="6">
        <f>H722*J722/100</f>
      </c>
      <c r="AC722" s="7">
        <f>H722*K722</f>
      </c>
      <c r="AD722" s="7">
        <f>H722*M722</f>
      </c>
      <c r="AE722" s="6">
        <f>H722*L722/100</f>
      </c>
      <c r="AF722" s="6">
        <f>AA722+AB722+AE722</f>
      </c>
      <c r="AG722" s="6">
        <f>I722+J722+L722</f>
      </c>
      <c r="AH722" s="53">
        <f>$H722*I722</f>
      </c>
      <c r="AI722" s="53">
        <f>$H722*J722</f>
      </c>
      <c r="AJ722" s="53">
        <f>$H722*K722</f>
      </c>
      <c r="AK722" s="53">
        <f>$H722*L722</f>
      </c>
      <c r="AL722" s="53">
        <f>$H722*M722</f>
      </c>
      <c r="AM722" s="3"/>
      <c r="AN722" s="5"/>
      <c r="AO722" s="5"/>
      <c r="AP722" s="5"/>
      <c r="AQ722" s="3"/>
    </row>
    <row x14ac:dyDescent="0.25" r="723" customHeight="1" ht="12.75">
      <c r="A723" s="5" t="s">
        <v>567</v>
      </c>
      <c r="B723" s="3" t="s">
        <v>1136</v>
      </c>
      <c r="C723" s="3" t="s">
        <v>870</v>
      </c>
      <c r="D723" s="3"/>
      <c r="E723" s="3" t="s">
        <v>855</v>
      </c>
      <c r="F723" s="3" t="s">
        <v>1703</v>
      </c>
      <c r="G723" s="3" t="s">
        <v>1704</v>
      </c>
      <c r="H723" s="6">
        <v>38.4</v>
      </c>
      <c r="I723" s="23">
        <f>19.29/10000</f>
      </c>
      <c r="J723" s="23">
        <f>659/10000</f>
      </c>
      <c r="K723" s="6">
        <v>1.802</v>
      </c>
      <c r="L723" s="6">
        <v>0.6077</v>
      </c>
      <c r="M723" s="6">
        <v>0.28</v>
      </c>
      <c r="N723" s="7"/>
      <c r="O723" s="23"/>
      <c r="P723" s="6"/>
      <c r="Q723" s="6"/>
      <c r="R723" s="31"/>
      <c r="S723" s="6">
        <f>13/10000</f>
      </c>
      <c r="T723" s="31"/>
      <c r="U723" s="6"/>
      <c r="V723" s="23"/>
      <c r="W723" s="6"/>
      <c r="X723" s="6"/>
      <c r="Y723" s="5"/>
      <c r="Z723" s="3"/>
      <c r="AA723" s="6">
        <f>H723*I723/100</f>
      </c>
      <c r="AB723" s="6">
        <f>H723*J723/100</f>
      </c>
      <c r="AC723" s="7">
        <f>H723*K723</f>
      </c>
      <c r="AD723" s="7">
        <f>H723*M723</f>
      </c>
      <c r="AE723" s="6">
        <f>H723*L723/100</f>
      </c>
      <c r="AF723" s="6">
        <f>AA723+AB723+AE723</f>
      </c>
      <c r="AG723" s="6">
        <f>I723+J723+L723</f>
      </c>
      <c r="AH723" s="53">
        <f>$H723*I723</f>
      </c>
      <c r="AI723" s="53">
        <f>$H723*J723</f>
      </c>
      <c r="AJ723" s="53">
        <f>$H723*K723</f>
      </c>
      <c r="AK723" s="53">
        <f>$H723*L723</f>
      </c>
      <c r="AL723" s="53">
        <f>$H723*M723</f>
      </c>
      <c r="AM723" s="3"/>
      <c r="AN723" s="5"/>
      <c r="AO723" s="5"/>
      <c r="AP723" s="5"/>
      <c r="AQ723" s="3"/>
    </row>
    <row x14ac:dyDescent="0.25" r="724" customHeight="1" ht="12.75">
      <c r="A724" s="5" t="s">
        <v>38</v>
      </c>
      <c r="B724" s="3" t="s">
        <v>1136</v>
      </c>
      <c r="C724" s="3" t="s">
        <v>870</v>
      </c>
      <c r="D724" s="3" t="s">
        <v>1031</v>
      </c>
      <c r="E724" s="3" t="s">
        <v>855</v>
      </c>
      <c r="F724" s="3" t="s">
        <v>1705</v>
      </c>
      <c r="G724" s="3" t="s">
        <v>1204</v>
      </c>
      <c r="H724" s="6">
        <f>1.03+1.54</f>
      </c>
      <c r="I724" s="6"/>
      <c r="J724" s="7">
        <f>(0.4*1.03+0.9*1.54)/$H724</f>
      </c>
      <c r="K724" s="7">
        <f>(23*1.03+34*1.54)/$H724</f>
      </c>
      <c r="L724" s="7">
        <f>(7.2*1.03+8.1*1.54)/$H724</f>
      </c>
      <c r="M724" s="7">
        <f>(5*1.03+6.4*1.54)/$H724</f>
      </c>
      <c r="N724" s="7"/>
      <c r="O724" s="23"/>
      <c r="P724" s="6"/>
      <c r="Q724" s="6"/>
      <c r="R724" s="31"/>
      <c r="S724" s="6"/>
      <c r="T724" s="31"/>
      <c r="U724" s="6"/>
      <c r="V724" s="23"/>
      <c r="W724" s="6"/>
      <c r="X724" s="6"/>
      <c r="Y724" s="5"/>
      <c r="Z724" s="3"/>
      <c r="AA724" s="6">
        <f>H724*I724/100</f>
      </c>
      <c r="AB724" s="6">
        <f>H724*J724/100</f>
      </c>
      <c r="AC724" s="7">
        <f>H724*K724</f>
      </c>
      <c r="AD724" s="7">
        <f>H724*M724</f>
      </c>
      <c r="AE724" s="6">
        <f>H724*L724/100</f>
      </c>
      <c r="AF724" s="6">
        <f>AA724+AB724+AE724</f>
      </c>
      <c r="AG724" s="6">
        <f>I724+J724+L724</f>
      </c>
      <c r="AH724" s="53">
        <f>$H724*I724</f>
      </c>
      <c r="AI724" s="53">
        <f>$H724*J724</f>
      </c>
      <c r="AJ724" s="53">
        <f>$H724*K724</f>
      </c>
      <c r="AK724" s="53">
        <f>$H724*L724</f>
      </c>
      <c r="AL724" s="53">
        <f>$H724*M724</f>
      </c>
      <c r="AM724" s="3"/>
      <c r="AN724" s="5"/>
      <c r="AO724" s="5"/>
      <c r="AP724" s="5"/>
      <c r="AQ724" s="3"/>
    </row>
    <row x14ac:dyDescent="0.25" r="725" customHeight="1" ht="12.75">
      <c r="A725" s="5" t="s">
        <v>44</v>
      </c>
      <c r="B725" s="3" t="s">
        <v>1136</v>
      </c>
      <c r="C725" s="3" t="s">
        <v>870</v>
      </c>
      <c r="D725" s="3" t="s">
        <v>1031</v>
      </c>
      <c r="E725" s="3" t="s">
        <v>855</v>
      </c>
      <c r="F725" s="3" t="s">
        <v>1705</v>
      </c>
      <c r="G725" s="3" t="s">
        <v>1204</v>
      </c>
      <c r="H725" s="6">
        <v>0.23</v>
      </c>
      <c r="I725" s="6"/>
      <c r="J725" s="6">
        <v>3.6</v>
      </c>
      <c r="K725" s="5">
        <v>56</v>
      </c>
      <c r="L725" s="6">
        <v>7.3</v>
      </c>
      <c r="M725" s="6">
        <v>3.6</v>
      </c>
      <c r="N725" s="7"/>
      <c r="O725" s="23"/>
      <c r="P725" s="6"/>
      <c r="Q725" s="6"/>
      <c r="R725" s="31"/>
      <c r="S725" s="6"/>
      <c r="T725" s="31"/>
      <c r="U725" s="6"/>
      <c r="V725" s="23"/>
      <c r="W725" s="6"/>
      <c r="X725" s="6"/>
      <c r="Y725" s="5"/>
      <c r="Z725" s="3"/>
      <c r="AA725" s="6">
        <f>H725*I725/100</f>
      </c>
      <c r="AB725" s="6">
        <f>H725*J725/100</f>
      </c>
      <c r="AC725" s="7">
        <f>H725*K725</f>
      </c>
      <c r="AD725" s="7">
        <f>H725*M725</f>
      </c>
      <c r="AE725" s="6">
        <f>H725*L725/100</f>
      </c>
      <c r="AF725" s="6">
        <f>AA725+AB725+AE725</f>
      </c>
      <c r="AG725" s="6">
        <f>I725+J725+L725</f>
      </c>
      <c r="AH725" s="53">
        <f>$H725*I725</f>
      </c>
      <c r="AI725" s="53">
        <f>$H725*J725</f>
      </c>
      <c r="AJ725" s="53">
        <f>$H725*K725</f>
      </c>
      <c r="AK725" s="53">
        <f>$H725*L725</f>
      </c>
      <c r="AL725" s="53">
        <f>$H725*M725</f>
      </c>
      <c r="AM725" s="3"/>
      <c r="AN725" s="5"/>
      <c r="AO725" s="5"/>
      <c r="AP725" s="5"/>
      <c r="AQ725" s="3"/>
    </row>
    <row x14ac:dyDescent="0.25" r="726" customHeight="1" ht="12.75">
      <c r="A726" s="5" t="s">
        <v>312</v>
      </c>
      <c r="B726" s="3" t="s">
        <v>1137</v>
      </c>
      <c r="C726" s="3" t="s">
        <v>866</v>
      </c>
      <c r="D726" s="3" t="s">
        <v>989</v>
      </c>
      <c r="E726" s="3" t="s">
        <v>855</v>
      </c>
      <c r="F726" s="3" t="s">
        <v>1706</v>
      </c>
      <c r="G726" s="3" t="s">
        <v>1633</v>
      </c>
      <c r="H726" s="6">
        <v>21.2</v>
      </c>
      <c r="I726" s="6">
        <v>1.54</v>
      </c>
      <c r="J726" s="6">
        <v>5.88</v>
      </c>
      <c r="K726" s="5"/>
      <c r="L726" s="6"/>
      <c r="M726" s="6"/>
      <c r="N726" s="7"/>
      <c r="O726" s="23"/>
      <c r="P726" s="6"/>
      <c r="Q726" s="6"/>
      <c r="R726" s="31"/>
      <c r="S726" s="6"/>
      <c r="T726" s="31"/>
      <c r="U726" s="6"/>
      <c r="V726" s="23"/>
      <c r="W726" s="6"/>
      <c r="X726" s="6"/>
      <c r="Y726" s="5"/>
      <c r="Z726" s="3"/>
      <c r="AA726" s="6">
        <f>H726*I726/100</f>
      </c>
      <c r="AB726" s="6">
        <f>H726*J726/100</f>
      </c>
      <c r="AC726" s="7">
        <f>H726*K726</f>
      </c>
      <c r="AD726" s="7">
        <f>H726*M726</f>
      </c>
      <c r="AE726" s="6">
        <f>H726*L726/100</f>
      </c>
      <c r="AF726" s="6">
        <f>AA726+AB726+AE726</f>
      </c>
      <c r="AG726" s="6">
        <f>I726+J726+L726</f>
      </c>
      <c r="AH726" s="53">
        <f>$H726*I726</f>
      </c>
      <c r="AI726" s="53">
        <f>$H726*J726</f>
      </c>
      <c r="AJ726" s="53">
        <f>$H726*K726</f>
      </c>
      <c r="AK726" s="53">
        <f>$H726*L726</f>
      </c>
      <c r="AL726" s="53">
        <f>$H726*M726</f>
      </c>
      <c r="AM726" s="3"/>
      <c r="AN726" s="5"/>
      <c r="AO726" s="5"/>
      <c r="AP726" s="5"/>
      <c r="AQ726" s="3"/>
    </row>
    <row x14ac:dyDescent="0.25" r="727" customHeight="1" ht="12.75">
      <c r="A727" s="5" t="s">
        <v>439</v>
      </c>
      <c r="B727" s="3" t="s">
        <v>1138</v>
      </c>
      <c r="C727" s="3" t="s">
        <v>870</v>
      </c>
      <c r="D727" s="3"/>
      <c r="E727" s="38" t="s">
        <v>859</v>
      </c>
      <c r="F727" s="3" t="s">
        <v>1707</v>
      </c>
      <c r="G727" s="3" t="s">
        <v>1519</v>
      </c>
      <c r="H727" s="5">
        <v>13</v>
      </c>
      <c r="I727" s="6">
        <v>1.8</v>
      </c>
      <c r="J727" s="6">
        <v>5.6</v>
      </c>
      <c r="K727" s="5">
        <v>65</v>
      </c>
      <c r="L727" s="6">
        <v>0.2</v>
      </c>
      <c r="M727" s="6"/>
      <c r="N727" s="7"/>
      <c r="O727" s="23"/>
      <c r="P727" s="6"/>
      <c r="Q727" s="6"/>
      <c r="R727" s="31"/>
      <c r="S727" s="6"/>
      <c r="T727" s="31"/>
      <c r="U727" s="6"/>
      <c r="V727" s="23"/>
      <c r="W727" s="6"/>
      <c r="X727" s="6"/>
      <c r="Y727" s="5"/>
      <c r="Z727" s="3"/>
      <c r="AA727" s="6">
        <f>H727*I727/100</f>
      </c>
      <c r="AB727" s="6">
        <f>H727*J727/100</f>
      </c>
      <c r="AC727" s="7">
        <f>H727*K727</f>
      </c>
      <c r="AD727" s="7">
        <f>H727*M727</f>
      </c>
      <c r="AE727" s="6">
        <f>H727*L727/100</f>
      </c>
      <c r="AF727" s="15">
        <f>AA727+AB727+AE727</f>
      </c>
      <c r="AG727" s="6">
        <f>I727+J727+L727</f>
      </c>
      <c r="AH727" s="53">
        <f>$H727*I727</f>
      </c>
      <c r="AI727" s="53">
        <f>$H727*J727</f>
      </c>
      <c r="AJ727" s="53">
        <f>$H727*K727</f>
      </c>
      <c r="AK727" s="53">
        <f>$H727*L727</f>
      </c>
      <c r="AL727" s="53">
        <f>$H727*M727</f>
      </c>
      <c r="AM727" s="3"/>
      <c r="AN727" s="5"/>
      <c r="AO727" s="5"/>
      <c r="AP727" s="5"/>
      <c r="AQ727" s="3"/>
    </row>
    <row x14ac:dyDescent="0.25" r="728" customHeight="1" ht="12.75">
      <c r="A728" s="5" t="s">
        <v>604</v>
      </c>
      <c r="B728" s="3" t="s">
        <v>1138</v>
      </c>
      <c r="C728" s="3" t="s">
        <v>870</v>
      </c>
      <c r="D728" s="3"/>
      <c r="E728" s="3" t="s">
        <v>855</v>
      </c>
      <c r="F728" s="3" t="s">
        <v>1708</v>
      </c>
      <c r="G728" s="3" t="s">
        <v>1709</v>
      </c>
      <c r="H728" s="6">
        <f>4.37+4.04</f>
      </c>
      <c r="I728" s="6">
        <f>(2.94*4.37+2.5*4.04)/$H728</f>
      </c>
      <c r="J728" s="6">
        <f>(3.4*4.37+1.8*4.04)/$H728</f>
      </c>
      <c r="K728" s="7">
        <f>(54.72*4.37+51*4.04)/$H728</f>
      </c>
      <c r="L728" s="6">
        <f>(0.34*4.37+0.35*4.04)/$H728</f>
      </c>
      <c r="M728" s="6">
        <f>(0.82*4.37+0.78*4.04)/$H728</f>
      </c>
      <c r="N728" s="7"/>
      <c r="O728" s="23"/>
      <c r="P728" s="6"/>
      <c r="Q728" s="6"/>
      <c r="R728" s="31"/>
      <c r="S728" s="6"/>
      <c r="T728" s="31"/>
      <c r="U728" s="6"/>
      <c r="V728" s="23"/>
      <c r="W728" s="6"/>
      <c r="X728" s="6"/>
      <c r="Y728" s="5"/>
      <c r="Z728" s="3"/>
      <c r="AA728" s="6">
        <f>H728*I728/100</f>
      </c>
      <c r="AB728" s="6">
        <f>H728*J728/100</f>
      </c>
      <c r="AC728" s="7">
        <f>H728*K728</f>
      </c>
      <c r="AD728" s="7">
        <f>H728*M728</f>
      </c>
      <c r="AE728" s="6">
        <f>H728*L728/100</f>
      </c>
      <c r="AF728" s="6">
        <f>AA728+AB728+AE728</f>
      </c>
      <c r="AG728" s="6">
        <f>I728+J728+L728</f>
      </c>
      <c r="AH728" s="53">
        <f>$H728*I728</f>
      </c>
      <c r="AI728" s="53">
        <f>$H728*J728</f>
      </c>
      <c r="AJ728" s="53">
        <f>$H728*K728</f>
      </c>
      <c r="AK728" s="53">
        <f>$H728*L728</f>
      </c>
      <c r="AL728" s="53">
        <f>$H728*M728</f>
      </c>
      <c r="AM728" s="3"/>
      <c r="AN728" s="5"/>
      <c r="AO728" s="5"/>
      <c r="AP728" s="5"/>
      <c r="AQ728" s="3"/>
    </row>
    <row x14ac:dyDescent="0.25" r="729" customHeight="1" ht="12.75">
      <c r="A729" s="5" t="s">
        <v>51</v>
      </c>
      <c r="B729" s="3" t="s">
        <v>1138</v>
      </c>
      <c r="C729" s="3" t="s">
        <v>870</v>
      </c>
      <c r="D729" s="3"/>
      <c r="E729" s="3" t="s">
        <v>855</v>
      </c>
      <c r="F729" s="3" t="s">
        <v>1710</v>
      </c>
      <c r="G729" s="3" t="s">
        <v>1181</v>
      </c>
      <c r="H729" s="6">
        <f>10.401+44.867+24.701+23.545+67.313+22.496</f>
      </c>
      <c r="I729" s="7">
        <f>(0.3*10.401+0.3*44.867+0.4*24.701+1.9*23.545+1.3*67.313+0.9*22.496)/$H729</f>
      </c>
      <c r="J729" s="7">
        <f>(1*10.401+1*44.867+1.1*24.701+7.5*23.545+5.5*67.313+4.5*22.496)/$H729</f>
      </c>
      <c r="K729" s="31">
        <f>(46*10.401+46*44.867+45*24.701+68*23.545+58*67.313+51*22.496)/$H729</f>
      </c>
      <c r="L729" s="7">
        <f>(4.8*10.401+2.5*44.867+1.8*24.701+0.3*23.545+0.3*67.313+0.3*22.496)/$H729</f>
      </c>
      <c r="M729" s="6"/>
      <c r="N729" s="7"/>
      <c r="O729" s="23"/>
      <c r="P729" s="6"/>
      <c r="Q729" s="6"/>
      <c r="R729" s="31"/>
      <c r="S729" s="6"/>
      <c r="T729" s="31"/>
      <c r="U729" s="6"/>
      <c r="V729" s="23"/>
      <c r="W729" s="6"/>
      <c r="X729" s="6"/>
      <c r="Y729" s="5"/>
      <c r="Z729" s="3"/>
      <c r="AA729" s="6">
        <f>H729*I729/100</f>
      </c>
      <c r="AB729" s="6">
        <f>H729*J729/100</f>
      </c>
      <c r="AC729" s="7">
        <f>H729*K729</f>
      </c>
      <c r="AD729" s="7">
        <f>H729*M729</f>
      </c>
      <c r="AE729" s="6">
        <f>H729*L729/100</f>
      </c>
      <c r="AF729" s="6">
        <f>AA729+AB729+AE729</f>
      </c>
      <c r="AG729" s="6">
        <f>I729+J729+L729</f>
      </c>
      <c r="AH729" s="53">
        <f>$H729*I729</f>
      </c>
      <c r="AI729" s="53">
        <f>$H729*J729</f>
      </c>
      <c r="AJ729" s="53">
        <f>$H729*K729</f>
      </c>
      <c r="AK729" s="53">
        <f>$H729*L729</f>
      </c>
      <c r="AL729" s="53">
        <f>$H729*M729</f>
      </c>
      <c r="AM729" s="3"/>
      <c r="AN729" s="5"/>
      <c r="AO729" s="5"/>
      <c r="AP729" s="5"/>
      <c r="AQ729" s="3"/>
    </row>
    <row x14ac:dyDescent="0.25" r="730" customHeight="1" ht="12.75">
      <c r="A730" s="5" t="s">
        <v>403</v>
      </c>
      <c r="B730" s="3" t="s">
        <v>1139</v>
      </c>
      <c r="C730" s="3" t="s">
        <v>856</v>
      </c>
      <c r="D730" s="3" t="s">
        <v>928</v>
      </c>
      <c r="E730" s="38" t="s">
        <v>859</v>
      </c>
      <c r="F730" s="3" t="s">
        <v>1171</v>
      </c>
      <c r="G730" s="3" t="s">
        <v>1711</v>
      </c>
      <c r="H730" s="5">
        <v>20</v>
      </c>
      <c r="I730" s="6">
        <v>1.5</v>
      </c>
      <c r="J730" s="5">
        <v>2</v>
      </c>
      <c r="K730" s="5">
        <v>30</v>
      </c>
      <c r="L730" s="5">
        <v>1</v>
      </c>
      <c r="M730" s="5">
        <v>1</v>
      </c>
      <c r="N730" s="7"/>
      <c r="O730" s="23"/>
      <c r="P730" s="6"/>
      <c r="Q730" s="6"/>
      <c r="R730" s="31"/>
      <c r="S730" s="6"/>
      <c r="T730" s="31"/>
      <c r="U730" s="6"/>
      <c r="V730" s="23"/>
      <c r="W730" s="6"/>
      <c r="X730" s="6"/>
      <c r="Y730" s="5"/>
      <c r="Z730" s="3"/>
      <c r="AA730" s="6">
        <f>H730*I730/100</f>
      </c>
      <c r="AB730" s="6">
        <f>H730*J730/100</f>
      </c>
      <c r="AC730" s="7">
        <f>H730*K730</f>
      </c>
      <c r="AD730" s="7">
        <f>H730*M730</f>
      </c>
      <c r="AE730" s="6">
        <f>H730*L730/100</f>
      </c>
      <c r="AF730" s="6">
        <f>AA730+AB730+AE730</f>
      </c>
      <c r="AG730" s="6">
        <f>I730+J730+L730</f>
      </c>
      <c r="AH730" s="53">
        <f>$H730*I730</f>
      </c>
      <c r="AI730" s="53">
        <f>$H730*J730</f>
      </c>
      <c r="AJ730" s="53">
        <f>$H730*K730</f>
      </c>
      <c r="AK730" s="53">
        <f>$H730*L730</f>
      </c>
      <c r="AL730" s="53">
        <f>$H730*M730</f>
      </c>
      <c r="AM730" s="3"/>
      <c r="AN730" s="5"/>
      <c r="AO730" s="5"/>
      <c r="AP730" s="5"/>
      <c r="AQ730" s="3"/>
    </row>
    <row x14ac:dyDescent="0.25" r="731" customHeight="1" ht="12.75">
      <c r="A731" s="5" t="s">
        <v>583</v>
      </c>
      <c r="B731" s="3" t="s">
        <v>1139</v>
      </c>
      <c r="C731" s="3" t="s">
        <v>856</v>
      </c>
      <c r="D731" s="3" t="s">
        <v>928</v>
      </c>
      <c r="E731" s="38" t="s">
        <v>859</v>
      </c>
      <c r="F731" s="3" t="s">
        <v>1171</v>
      </c>
      <c r="G731" s="3" t="s">
        <v>1712</v>
      </c>
      <c r="H731" s="6">
        <v>9.3</v>
      </c>
      <c r="I731" s="6">
        <v>1.4</v>
      </c>
      <c r="J731" s="6">
        <v>2.3</v>
      </c>
      <c r="K731" s="5">
        <v>36</v>
      </c>
      <c r="L731" s="6"/>
      <c r="M731" s="5">
        <v>3</v>
      </c>
      <c r="N731" s="7"/>
      <c r="O731" s="23"/>
      <c r="P731" s="6"/>
      <c r="Q731" s="6"/>
      <c r="R731" s="31"/>
      <c r="S731" s="6"/>
      <c r="T731" s="31"/>
      <c r="U731" s="6"/>
      <c r="V731" s="23"/>
      <c r="W731" s="6"/>
      <c r="X731" s="6"/>
      <c r="Y731" s="5"/>
      <c r="Z731" s="3"/>
      <c r="AA731" s="6">
        <f>H731*I731/100</f>
      </c>
      <c r="AB731" s="6">
        <f>H731*J731/100</f>
      </c>
      <c r="AC731" s="7">
        <f>H731*K731</f>
      </c>
      <c r="AD731" s="7">
        <f>H731*M731</f>
      </c>
      <c r="AE731" s="6">
        <f>H731*L731/100</f>
      </c>
      <c r="AF731" s="6">
        <f>AA731+AB731+AE731</f>
      </c>
      <c r="AG731" s="6">
        <f>I731+J731+L731</f>
      </c>
      <c r="AH731" s="53">
        <f>$H731*I731</f>
      </c>
      <c r="AI731" s="53">
        <f>$H731*J731</f>
      </c>
      <c r="AJ731" s="53">
        <f>$H731*K731</f>
      </c>
      <c r="AK731" s="53">
        <f>$H731*L731</f>
      </c>
      <c r="AL731" s="53">
        <f>$H731*M731</f>
      </c>
      <c r="AM731" s="3"/>
      <c r="AN731" s="5"/>
      <c r="AO731" s="5"/>
      <c r="AP731" s="5"/>
      <c r="AQ731" s="3"/>
    </row>
    <row x14ac:dyDescent="0.25" r="732" customHeight="1" ht="12.75">
      <c r="A732" s="5" t="s">
        <v>287</v>
      </c>
      <c r="B732" s="3" t="s">
        <v>1140</v>
      </c>
      <c r="C732" s="3" t="s">
        <v>870</v>
      </c>
      <c r="D732" s="3"/>
      <c r="E732" s="38" t="s">
        <v>859</v>
      </c>
      <c r="F732" s="3" t="s">
        <v>1171</v>
      </c>
      <c r="G732" s="3" t="s">
        <v>1713</v>
      </c>
      <c r="H732" s="5">
        <v>46</v>
      </c>
      <c r="I732" s="6"/>
      <c r="J732" s="6">
        <v>0.47</v>
      </c>
      <c r="K732" s="5"/>
      <c r="L732" s="6">
        <v>1.82</v>
      </c>
      <c r="M732" s="6"/>
      <c r="N732" s="7"/>
      <c r="O732" s="23"/>
      <c r="P732" s="6"/>
      <c r="Q732" s="6"/>
      <c r="R732" s="31"/>
      <c r="S732" s="6"/>
      <c r="T732" s="31"/>
      <c r="U732" s="6"/>
      <c r="V732" s="23"/>
      <c r="W732" s="6"/>
      <c r="X732" s="6"/>
      <c r="Y732" s="5"/>
      <c r="Z732" s="3"/>
      <c r="AA732" s="6">
        <f>H732*I732/100</f>
      </c>
      <c r="AB732" s="6">
        <f>H732*J732/100</f>
      </c>
      <c r="AC732" s="7">
        <f>H732*K732</f>
      </c>
      <c r="AD732" s="7">
        <f>H732*M732</f>
      </c>
      <c r="AE732" s="6">
        <f>H732*L732/100</f>
      </c>
      <c r="AF732" s="6">
        <f>AA732+AB732+AE732</f>
      </c>
      <c r="AG732" s="6">
        <f>I732+J732+L732</f>
      </c>
      <c r="AH732" s="53">
        <f>$H732*I732</f>
      </c>
      <c r="AI732" s="53">
        <f>$H732*J732</f>
      </c>
      <c r="AJ732" s="53">
        <f>$H732*K732</f>
      </c>
      <c r="AK732" s="53">
        <f>$H732*L732</f>
      </c>
      <c r="AL732" s="53">
        <f>$H732*M732</f>
      </c>
      <c r="AM732" s="3"/>
      <c r="AN732" s="5"/>
      <c r="AO732" s="5"/>
      <c r="AP732" s="5"/>
      <c r="AQ732" s="3"/>
    </row>
    <row x14ac:dyDescent="0.25" r="733" customHeight="1" ht="12.75">
      <c r="A733" s="5" t="s">
        <v>131</v>
      </c>
      <c r="B733" s="3" t="s">
        <v>1140</v>
      </c>
      <c r="C733" s="3" t="s">
        <v>870</v>
      </c>
      <c r="D733" s="3"/>
      <c r="E733" s="38" t="s">
        <v>859</v>
      </c>
      <c r="F733" s="3" t="s">
        <v>1171</v>
      </c>
      <c r="G733" s="3" t="s">
        <v>1713</v>
      </c>
      <c r="H733" s="5">
        <v>10</v>
      </c>
      <c r="I733" s="6"/>
      <c r="J733" s="6">
        <v>5.5</v>
      </c>
      <c r="K733" s="5"/>
      <c r="L733" s="6">
        <v>4.4</v>
      </c>
      <c r="M733" s="6">
        <v>2.2</v>
      </c>
      <c r="N733" s="7"/>
      <c r="O733" s="23"/>
      <c r="P733" s="6"/>
      <c r="Q733" s="6"/>
      <c r="R733" s="31"/>
      <c r="S733" s="6"/>
      <c r="T733" s="31"/>
      <c r="U733" s="6"/>
      <c r="V733" s="23"/>
      <c r="W733" s="6"/>
      <c r="X733" s="6"/>
      <c r="Y733" s="5"/>
      <c r="Z733" s="3"/>
      <c r="AA733" s="6">
        <f>H733*I733/100</f>
      </c>
      <c r="AB733" s="6">
        <f>H733*J733/100</f>
      </c>
      <c r="AC733" s="7">
        <f>H733*K733</f>
      </c>
      <c r="AD733" s="7">
        <f>H733*M733</f>
      </c>
      <c r="AE733" s="6">
        <f>H733*L733/100</f>
      </c>
      <c r="AF733" s="6">
        <f>AA733+AB733+AE733</f>
      </c>
      <c r="AG733" s="6">
        <f>I733+J733+L733</f>
      </c>
      <c r="AH733" s="53">
        <f>$H733*I733</f>
      </c>
      <c r="AI733" s="53">
        <f>$H733*J733</f>
      </c>
      <c r="AJ733" s="53">
        <f>$H733*K733</f>
      </c>
      <c r="AK733" s="53">
        <f>$H733*L733</f>
      </c>
      <c r="AL733" s="53">
        <f>$H733*M733</f>
      </c>
      <c r="AM733" s="3"/>
      <c r="AN733" s="5"/>
      <c r="AO733" s="5"/>
      <c r="AP733" s="5"/>
      <c r="AQ733" s="3"/>
    </row>
    <row x14ac:dyDescent="0.25" r="734" customHeight="1" ht="12.75">
      <c r="A734" s="5" t="s">
        <v>304</v>
      </c>
      <c r="B734" s="3" t="s">
        <v>1140</v>
      </c>
      <c r="C734" s="3" t="s">
        <v>870</v>
      </c>
      <c r="D734" s="3"/>
      <c r="E734" s="38" t="s">
        <v>859</v>
      </c>
      <c r="F734" s="3" t="s">
        <v>1171</v>
      </c>
      <c r="G734" s="3" t="s">
        <v>1713</v>
      </c>
      <c r="H734" s="6">
        <v>1.3</v>
      </c>
      <c r="I734" s="6">
        <v>0.67</v>
      </c>
      <c r="J734" s="6">
        <v>4.66</v>
      </c>
      <c r="K734" s="5"/>
      <c r="L734" s="6">
        <v>2.63</v>
      </c>
      <c r="M734" s="6">
        <v>1.5</v>
      </c>
      <c r="N734" s="7"/>
      <c r="O734" s="23"/>
      <c r="P734" s="6"/>
      <c r="Q734" s="6"/>
      <c r="R734" s="31"/>
      <c r="S734" s="6"/>
      <c r="T734" s="31"/>
      <c r="U734" s="6"/>
      <c r="V734" s="23"/>
      <c r="W734" s="6"/>
      <c r="X734" s="6"/>
      <c r="Y734" s="5"/>
      <c r="Z734" s="3"/>
      <c r="AA734" s="6">
        <f>H734*I734/100</f>
      </c>
      <c r="AB734" s="6">
        <f>H734*J734/100</f>
      </c>
      <c r="AC734" s="7">
        <f>H734*K734</f>
      </c>
      <c r="AD734" s="7">
        <f>H734*M734</f>
      </c>
      <c r="AE734" s="6">
        <f>H734*L734/100</f>
      </c>
      <c r="AF734" s="6">
        <f>AA734+AB734+AE734</f>
      </c>
      <c r="AG734" s="6">
        <f>I734+J734+L734</f>
      </c>
      <c r="AH734" s="53">
        <f>$H734*I734</f>
      </c>
      <c r="AI734" s="53">
        <f>$H734*J734</f>
      </c>
      <c r="AJ734" s="53">
        <f>$H734*K734</f>
      </c>
      <c r="AK734" s="53">
        <f>$H734*L734</f>
      </c>
      <c r="AL734" s="53">
        <f>$H734*M734</f>
      </c>
      <c r="AM734" s="3"/>
      <c r="AN734" s="5"/>
      <c r="AO734" s="5"/>
      <c r="AP734" s="5"/>
      <c r="AQ734" s="3"/>
    </row>
    <row x14ac:dyDescent="0.25" r="735" customHeight="1" ht="12.75">
      <c r="A735" s="5" t="s">
        <v>147</v>
      </c>
      <c r="B735" s="3" t="s">
        <v>1140</v>
      </c>
      <c r="C735" s="3" t="s">
        <v>870</v>
      </c>
      <c r="D735" s="3"/>
      <c r="E735" s="38" t="s">
        <v>859</v>
      </c>
      <c r="F735" s="3" t="s">
        <v>1171</v>
      </c>
      <c r="G735" s="3" t="s">
        <v>1713</v>
      </c>
      <c r="H735" s="6">
        <v>3.5</v>
      </c>
      <c r="I735" s="6"/>
      <c r="J735" s="6">
        <v>5.1</v>
      </c>
      <c r="K735" s="5"/>
      <c r="L735" s="5">
        <v>3</v>
      </c>
      <c r="M735" s="6">
        <v>4.5</v>
      </c>
      <c r="N735" s="7"/>
      <c r="O735" s="23"/>
      <c r="P735" s="6"/>
      <c r="Q735" s="6"/>
      <c r="R735" s="31"/>
      <c r="S735" s="6"/>
      <c r="T735" s="31"/>
      <c r="U735" s="6"/>
      <c r="V735" s="23"/>
      <c r="W735" s="6"/>
      <c r="X735" s="6"/>
      <c r="Y735" s="5"/>
      <c r="Z735" s="3"/>
      <c r="AA735" s="6">
        <f>H735*I735/100</f>
      </c>
      <c r="AB735" s="6">
        <f>H735*J735/100</f>
      </c>
      <c r="AC735" s="7">
        <f>H735*K735</f>
      </c>
      <c r="AD735" s="7">
        <f>H735*M735</f>
      </c>
      <c r="AE735" s="6">
        <f>H735*L735/100</f>
      </c>
      <c r="AF735" s="6">
        <f>AA735+AB735+AE735</f>
      </c>
      <c r="AG735" s="6">
        <f>I735+J735+L735</f>
      </c>
      <c r="AH735" s="53">
        <f>$H735*I735</f>
      </c>
      <c r="AI735" s="53">
        <f>$H735*J735</f>
      </c>
      <c r="AJ735" s="53">
        <f>$H735*K735</f>
      </c>
      <c r="AK735" s="53">
        <f>$H735*L735</f>
      </c>
      <c r="AL735" s="53">
        <f>$H735*M735</f>
      </c>
      <c r="AM735" s="3"/>
      <c r="AN735" s="5"/>
      <c r="AO735" s="5"/>
      <c r="AP735" s="5"/>
      <c r="AQ735" s="3"/>
    </row>
    <row x14ac:dyDescent="0.25" r="736" customHeight="1" ht="12.75">
      <c r="A736" s="5" t="s">
        <v>515</v>
      </c>
      <c r="B736" s="3" t="s">
        <v>1140</v>
      </c>
      <c r="C736" s="3" t="s">
        <v>1076</v>
      </c>
      <c r="D736" s="3"/>
      <c r="E736" s="3" t="s">
        <v>855</v>
      </c>
      <c r="F736" s="3" t="s">
        <v>1714</v>
      </c>
      <c r="G736" s="3" t="s">
        <v>1715</v>
      </c>
      <c r="H736" s="6">
        <f>21.931+5.102</f>
      </c>
      <c r="I736" s="6">
        <f>(((1.5*21.931+1.06*5.102)/(21.931+5.102))/1.87)*0.6</f>
      </c>
      <c r="J736" s="6">
        <f>(((1.5*21.931+1.06*5.102)/(21.931+5.102))/1.87)*0.9</f>
      </c>
      <c r="K736" s="7">
        <f>(((1.5*21.931+1.06*5.102)/(21.931+5.102))/1.87)*11.7</f>
      </c>
      <c r="L736" s="6"/>
      <c r="M736" s="6">
        <f>(((1.5*21.931+1.06*5.102)/(21.931+5.102))/1.87)*2.3</f>
      </c>
      <c r="N736" s="7"/>
      <c r="O736" s="23"/>
      <c r="P736" s="6"/>
      <c r="Q736" s="6"/>
      <c r="R736" s="31"/>
      <c r="S736" s="6"/>
      <c r="T736" s="31"/>
      <c r="U736" s="6"/>
      <c r="V736" s="23"/>
      <c r="W736" s="6"/>
      <c r="X736" s="6"/>
      <c r="Y736" s="5"/>
      <c r="Z736" s="3"/>
      <c r="AA736" s="6">
        <f>H736*I736/100</f>
      </c>
      <c r="AB736" s="6">
        <f>H736*J736/100</f>
      </c>
      <c r="AC736" s="7">
        <f>H736*K736</f>
      </c>
      <c r="AD736" s="7">
        <f>H736*M736</f>
      </c>
      <c r="AE736" s="6">
        <f>H736*L736/100</f>
      </c>
      <c r="AF736" s="6">
        <f>AA736+AB736+AE736</f>
      </c>
      <c r="AG736" s="6">
        <f>I736+J736+L736</f>
      </c>
      <c r="AH736" s="53">
        <f>$H736*I736</f>
      </c>
      <c r="AI736" s="53">
        <f>$H736*J736</f>
      </c>
      <c r="AJ736" s="53">
        <f>$H736*K736</f>
      </c>
      <c r="AK736" s="53">
        <f>$H736*L736</f>
      </c>
      <c r="AL736" s="53">
        <f>$H736*M736</f>
      </c>
      <c r="AM736" s="3"/>
      <c r="AN736" s="5"/>
      <c r="AO736" s="5"/>
      <c r="AP736" s="5"/>
      <c r="AQ736" s="3"/>
    </row>
    <row x14ac:dyDescent="0.25" r="737" customHeight="1" ht="12.75">
      <c r="A737" s="5" t="s">
        <v>365</v>
      </c>
      <c r="B737" s="3" t="s">
        <v>1140</v>
      </c>
      <c r="C737" s="3" t="s">
        <v>870</v>
      </c>
      <c r="D737" s="3"/>
      <c r="E737" s="38" t="s">
        <v>859</v>
      </c>
      <c r="F737" s="3" t="s">
        <v>1171</v>
      </c>
      <c r="G737" s="3" t="s">
        <v>1713</v>
      </c>
      <c r="H737" s="5">
        <v>10</v>
      </c>
      <c r="I737" s="6"/>
      <c r="J737" s="5">
        <v>5</v>
      </c>
      <c r="K737" s="5"/>
      <c r="L737" s="5">
        <v>3</v>
      </c>
      <c r="M737" s="6"/>
      <c r="N737" s="7"/>
      <c r="O737" s="23"/>
      <c r="P737" s="6"/>
      <c r="Q737" s="6"/>
      <c r="R737" s="31"/>
      <c r="S737" s="6"/>
      <c r="T737" s="31"/>
      <c r="U737" s="6"/>
      <c r="V737" s="23"/>
      <c r="W737" s="6"/>
      <c r="X737" s="6"/>
      <c r="Y737" s="5"/>
      <c r="Z737" s="3"/>
      <c r="AA737" s="6">
        <f>H737*I737/100</f>
      </c>
      <c r="AB737" s="6">
        <f>H737*J737/100</f>
      </c>
      <c r="AC737" s="7">
        <f>H737*K737</f>
      </c>
      <c r="AD737" s="7">
        <f>H737*M737</f>
      </c>
      <c r="AE737" s="6">
        <f>H737*L737/100</f>
      </c>
      <c r="AF737" s="6">
        <f>AA737+AB737+AE737</f>
      </c>
      <c r="AG737" s="6">
        <f>I737+J737+L737</f>
      </c>
      <c r="AH737" s="53">
        <f>$H737*I737</f>
      </c>
      <c r="AI737" s="53">
        <f>$H737*J737</f>
      </c>
      <c r="AJ737" s="53">
        <f>$H737*K737</f>
      </c>
      <c r="AK737" s="53">
        <f>$H737*L737</f>
      </c>
      <c r="AL737" s="53">
        <f>$H737*M737</f>
      </c>
      <c r="AM737" s="3"/>
      <c r="AN737" s="5"/>
      <c r="AO737" s="5"/>
      <c r="AP737" s="5"/>
      <c r="AQ737" s="3"/>
    </row>
    <row x14ac:dyDescent="0.25" r="738" customHeight="1" ht="12.75">
      <c r="A738" s="5" t="s">
        <v>349</v>
      </c>
      <c r="B738" s="3" t="s">
        <v>1140</v>
      </c>
      <c r="C738" s="3" t="s">
        <v>870</v>
      </c>
      <c r="D738" s="3"/>
      <c r="E738" s="38" t="s">
        <v>859</v>
      </c>
      <c r="F738" s="3" t="s">
        <v>1171</v>
      </c>
      <c r="G738" s="3" t="s">
        <v>1713</v>
      </c>
      <c r="H738" s="5">
        <v>30</v>
      </c>
      <c r="I738" s="6">
        <v>0.1</v>
      </c>
      <c r="J738" s="6">
        <v>1.2</v>
      </c>
      <c r="K738" s="5"/>
      <c r="L738" s="6">
        <v>1.9</v>
      </c>
      <c r="M738" s="6"/>
      <c r="N738" s="7"/>
      <c r="O738" s="23"/>
      <c r="P738" s="6"/>
      <c r="Q738" s="6"/>
      <c r="R738" s="31"/>
      <c r="S738" s="6"/>
      <c r="T738" s="31"/>
      <c r="U738" s="6"/>
      <c r="V738" s="23"/>
      <c r="W738" s="6"/>
      <c r="X738" s="6"/>
      <c r="Y738" s="5"/>
      <c r="Z738" s="3"/>
      <c r="AA738" s="6">
        <f>H738*I738/100</f>
      </c>
      <c r="AB738" s="6">
        <f>H738*J738/100</f>
      </c>
      <c r="AC738" s="7">
        <f>H738*K738</f>
      </c>
      <c r="AD738" s="7">
        <f>H738*M738</f>
      </c>
      <c r="AE738" s="6">
        <f>H738*L738/100</f>
      </c>
      <c r="AF738" s="6">
        <f>AA738+AB738+AE738</f>
      </c>
      <c r="AG738" s="6">
        <f>I738+J738+L738</f>
      </c>
      <c r="AH738" s="53">
        <f>$H738*I738</f>
      </c>
      <c r="AI738" s="53">
        <f>$H738*J738</f>
      </c>
      <c r="AJ738" s="53">
        <f>$H738*K738</f>
      </c>
      <c r="AK738" s="53">
        <f>$H738*L738</f>
      </c>
      <c r="AL738" s="53">
        <f>$H738*M738</f>
      </c>
      <c r="AM738" s="3"/>
      <c r="AN738" s="5"/>
      <c r="AO738" s="5"/>
      <c r="AP738" s="5"/>
      <c r="AQ738" s="3"/>
    </row>
    <row x14ac:dyDescent="0.25" r="739" customHeight="1" ht="12.75">
      <c r="A739" s="5" t="s">
        <v>161</v>
      </c>
      <c r="B739" s="3" t="s">
        <v>1140</v>
      </c>
      <c r="C739" s="3" t="s">
        <v>870</v>
      </c>
      <c r="D739" s="3"/>
      <c r="E739" s="38" t="s">
        <v>859</v>
      </c>
      <c r="F739" s="3" t="s">
        <v>1171</v>
      </c>
      <c r="G739" s="3" t="s">
        <v>1713</v>
      </c>
      <c r="H739" s="5">
        <v>130</v>
      </c>
      <c r="I739" s="6">
        <v>0.1</v>
      </c>
      <c r="J739" s="6">
        <v>1.5</v>
      </c>
      <c r="K739" s="5"/>
      <c r="L739" s="5">
        <v>1</v>
      </c>
      <c r="M739" s="6"/>
      <c r="N739" s="7"/>
      <c r="O739" s="23"/>
      <c r="P739" s="6"/>
      <c r="Q739" s="6"/>
      <c r="R739" s="31"/>
      <c r="S739" s="6"/>
      <c r="T739" s="31"/>
      <c r="U739" s="6"/>
      <c r="V739" s="23"/>
      <c r="W739" s="6">
        <v>0.07</v>
      </c>
      <c r="X739" s="6"/>
      <c r="Y739" s="5"/>
      <c r="Z739" s="3"/>
      <c r="AA739" s="6">
        <f>H739*I739/100</f>
      </c>
      <c r="AB739" s="6">
        <f>H739*J739/100</f>
      </c>
      <c r="AC739" s="7">
        <f>H739*K739</f>
      </c>
      <c r="AD739" s="7">
        <f>H739*M739</f>
      </c>
      <c r="AE739" s="6">
        <f>H739*L739/100</f>
      </c>
      <c r="AF739" s="6">
        <f>AA739+AB739+AE739</f>
      </c>
      <c r="AG739" s="6">
        <f>I739+J739+L739</f>
      </c>
      <c r="AH739" s="53">
        <f>$H739*I739</f>
      </c>
      <c r="AI739" s="53">
        <f>$H739*J739</f>
      </c>
      <c r="AJ739" s="53">
        <f>$H739*K739</f>
      </c>
      <c r="AK739" s="53">
        <f>$H739*L739</f>
      </c>
      <c r="AL739" s="53">
        <f>$H739*M739</f>
      </c>
      <c r="AM739" s="3"/>
      <c r="AN739" s="5"/>
      <c r="AO739" s="5"/>
      <c r="AP739" s="5"/>
      <c r="AQ739" s="3"/>
    </row>
    <row x14ac:dyDescent="0.25" r="740" customHeight="1" ht="12.75">
      <c r="A740" s="5" t="s">
        <v>39</v>
      </c>
      <c r="B740" s="3" t="s">
        <v>1140</v>
      </c>
      <c r="C740" s="3" t="s">
        <v>870</v>
      </c>
      <c r="D740" s="3"/>
      <c r="E740" s="38" t="s">
        <v>859</v>
      </c>
      <c r="F740" s="3" t="s">
        <v>1171</v>
      </c>
      <c r="G740" s="3" t="s">
        <v>1713</v>
      </c>
      <c r="H740" s="5">
        <v>380</v>
      </c>
      <c r="I740" s="6">
        <v>0.06</v>
      </c>
      <c r="J740" s="6">
        <v>0.74</v>
      </c>
      <c r="K740" s="6">
        <v>6.3</v>
      </c>
      <c r="L740" s="6">
        <v>1.57</v>
      </c>
      <c r="M740" s="6">
        <v>0.9</v>
      </c>
      <c r="N740" s="7"/>
      <c r="O740" s="23"/>
      <c r="P740" s="6"/>
      <c r="Q740" s="6"/>
      <c r="R740" s="31"/>
      <c r="S740" s="6"/>
      <c r="T740" s="31"/>
      <c r="U740" s="6"/>
      <c r="V740" s="23"/>
      <c r="W740" s="6"/>
      <c r="X740" s="6"/>
      <c r="Y740" s="5"/>
      <c r="Z740" s="3"/>
      <c r="AA740" s="6">
        <f>H740*I740/100</f>
      </c>
      <c r="AB740" s="6">
        <f>H740*J740/100</f>
      </c>
      <c r="AC740" s="7">
        <f>H740*K740</f>
      </c>
      <c r="AD740" s="7">
        <f>H740*M740</f>
      </c>
      <c r="AE740" s="6">
        <f>H740*L740/100</f>
      </c>
      <c r="AF740" s="6">
        <f>AA740+AB740+AE740</f>
      </c>
      <c r="AG740" s="6">
        <f>I740+J740+L740</f>
      </c>
      <c r="AH740" s="53">
        <f>$H740*I740</f>
      </c>
      <c r="AI740" s="53">
        <f>$H740*J740</f>
      </c>
      <c r="AJ740" s="53">
        <f>$H740*K740</f>
      </c>
      <c r="AK740" s="53">
        <f>$H740*L740</f>
      </c>
      <c r="AL740" s="53">
        <f>$H740*M740</f>
      </c>
      <c r="AM740" s="3"/>
      <c r="AN740" s="5"/>
      <c r="AO740" s="5"/>
      <c r="AP740" s="5"/>
      <c r="AQ740" s="3"/>
    </row>
    <row x14ac:dyDescent="0.25" r="741" customHeight="1" ht="12.75">
      <c r="A741" s="5" t="s">
        <v>207</v>
      </c>
      <c r="B741" s="3" t="s">
        <v>1140</v>
      </c>
      <c r="C741" s="3" t="s">
        <v>856</v>
      </c>
      <c r="D741" s="3"/>
      <c r="E741" s="3" t="s">
        <v>855</v>
      </c>
      <c r="F741" s="3" t="s">
        <v>1716</v>
      </c>
      <c r="G741" s="3" t="s">
        <v>1201</v>
      </c>
      <c r="H741" s="6">
        <f>0.16+0.12+0.47</f>
      </c>
      <c r="I741" s="7">
        <f>(3.9*0.263+2.8*0.408+2.3*1.614)/(0.263+0.408+1.614)</f>
      </c>
      <c r="J741" s="6"/>
      <c r="K741" s="31">
        <f>(773*0.263+617*0.408+622*1.614)/(0.263+0.408+1.614)</f>
      </c>
      <c r="L741" s="6"/>
      <c r="M741" s="6"/>
      <c r="N741" s="7"/>
      <c r="O741" s="23"/>
      <c r="P741" s="6"/>
      <c r="Q741" s="6"/>
      <c r="R741" s="31"/>
      <c r="S741" s="6"/>
      <c r="T741" s="31"/>
      <c r="U741" s="6"/>
      <c r="V741" s="23"/>
      <c r="W741" s="6"/>
      <c r="X741" s="6"/>
      <c r="Y741" s="5"/>
      <c r="Z741" s="3"/>
      <c r="AA741" s="6">
        <f>H741*I741/100</f>
      </c>
      <c r="AB741" s="6">
        <f>H741*J741/100</f>
      </c>
      <c r="AC741" s="7">
        <f>H741*K741</f>
      </c>
      <c r="AD741" s="7">
        <f>H741*M741</f>
      </c>
      <c r="AE741" s="6">
        <f>H741*L741/100</f>
      </c>
      <c r="AF741" s="6">
        <f>AA741+AB741+AE741</f>
      </c>
      <c r="AG741" s="6">
        <f>I741+J741+L741</f>
      </c>
      <c r="AH741" s="53">
        <f>$H741*I741</f>
      </c>
      <c r="AI741" s="53">
        <f>$H741*J741</f>
      </c>
      <c r="AJ741" s="53">
        <f>$H741*K741</f>
      </c>
      <c r="AK741" s="53">
        <f>$H741*L741</f>
      </c>
      <c r="AL741" s="53">
        <f>$H741*M741</f>
      </c>
      <c r="AM741" s="3"/>
      <c r="AN741" s="5"/>
      <c r="AO741" s="5"/>
      <c r="AP741" s="5"/>
      <c r="AQ741" s="3"/>
    </row>
    <row x14ac:dyDescent="0.25" r="742" customHeight="1" ht="12.75">
      <c r="A742" s="5" t="s">
        <v>17</v>
      </c>
      <c r="B742" s="3" t="s">
        <v>1140</v>
      </c>
      <c r="C742" s="3" t="s">
        <v>866</v>
      </c>
      <c r="D742" s="3" t="s">
        <v>988</v>
      </c>
      <c r="E742" s="38" t="s">
        <v>859</v>
      </c>
      <c r="F742" s="3" t="s">
        <v>1171</v>
      </c>
      <c r="G742" s="3" t="s">
        <v>1717</v>
      </c>
      <c r="H742" s="5">
        <v>300</v>
      </c>
      <c r="I742" s="7">
        <v>6.5</v>
      </c>
      <c r="J742" s="6">
        <v>1.4</v>
      </c>
      <c r="K742" s="31"/>
      <c r="L742" s="6"/>
      <c r="M742" s="6"/>
      <c r="N742" s="7"/>
      <c r="O742" s="23"/>
      <c r="P742" s="6"/>
      <c r="Q742" s="6"/>
      <c r="R742" s="31"/>
      <c r="S742" s="6"/>
      <c r="T742" s="31"/>
      <c r="U742" s="6"/>
      <c r="V742" s="23"/>
      <c r="W742" s="6"/>
      <c r="X742" s="6"/>
      <c r="Y742" s="5"/>
      <c r="Z742" s="3"/>
      <c r="AA742" s="6">
        <f>H742*I742/100</f>
      </c>
      <c r="AB742" s="6">
        <f>H742*J742/100</f>
      </c>
      <c r="AC742" s="7">
        <f>H742*K742</f>
      </c>
      <c r="AD742" s="7">
        <f>H742*M742</f>
      </c>
      <c r="AE742" s="6">
        <f>H742*L742/100</f>
      </c>
      <c r="AF742" s="6">
        <f>AA742+AB742+AE742</f>
      </c>
      <c r="AG742" s="6">
        <f>I742+J742+L742</f>
      </c>
      <c r="AH742" s="53">
        <f>$H742*I742</f>
      </c>
      <c r="AI742" s="53">
        <f>$H742*J742</f>
      </c>
      <c r="AJ742" s="53">
        <f>$H742*K742</f>
      </c>
      <c r="AK742" s="53">
        <f>$H742*L742</f>
      </c>
      <c r="AL742" s="53">
        <f>$H742*M742</f>
      </c>
      <c r="AM742" s="3"/>
      <c r="AN742" s="5"/>
      <c r="AO742" s="5"/>
      <c r="AP742" s="5"/>
      <c r="AQ742" s="3"/>
    </row>
    <row x14ac:dyDescent="0.25" r="743" customHeight="1" ht="12.75">
      <c r="A743" s="5" t="s">
        <v>79</v>
      </c>
      <c r="B743" s="3" t="s">
        <v>1140</v>
      </c>
      <c r="C743" s="3" t="s">
        <v>869</v>
      </c>
      <c r="D743" s="3"/>
      <c r="E743" s="38" t="s">
        <v>859</v>
      </c>
      <c r="F743" s="3" t="s">
        <v>1171</v>
      </c>
      <c r="G743" s="3" t="s">
        <v>1713</v>
      </c>
      <c r="H743" s="5">
        <v>160</v>
      </c>
      <c r="I743" s="6"/>
      <c r="J743" s="6">
        <v>0.08</v>
      </c>
      <c r="K743" s="5"/>
      <c r="L743" s="6">
        <v>0.13</v>
      </c>
      <c r="M743" s="6"/>
      <c r="N743" s="7"/>
      <c r="O743" s="23"/>
      <c r="P743" s="6">
        <v>0.022</v>
      </c>
      <c r="Q743" s="6"/>
      <c r="R743" s="31"/>
      <c r="S743" s="6"/>
      <c r="T743" s="6">
        <v>35.5</v>
      </c>
      <c r="U743" s="6"/>
      <c r="V743" s="23"/>
      <c r="W743" s="6"/>
      <c r="X743" s="6">
        <f>0.68*(2*50.9415/(2*50.9415+5*16))</f>
      </c>
      <c r="Y743" s="6">
        <v>0.6</v>
      </c>
      <c r="Z743" s="3" t="s">
        <v>1024</v>
      </c>
      <c r="AA743" s="6">
        <f>H743*I743/100</f>
      </c>
      <c r="AB743" s="6">
        <f>H743*J743/100</f>
      </c>
      <c r="AC743" s="7">
        <f>H743*K743</f>
      </c>
      <c r="AD743" s="7">
        <f>H743*M743</f>
      </c>
      <c r="AE743" s="6">
        <f>H743*L743/100</f>
      </c>
      <c r="AF743" s="6">
        <f>AA743+AB743+AE743</f>
      </c>
      <c r="AG743" s="6">
        <f>I743+J743+L743</f>
      </c>
      <c r="AH743" s="53">
        <f>$H743*I743</f>
      </c>
      <c r="AI743" s="53">
        <f>$H743*J743</f>
      </c>
      <c r="AJ743" s="53">
        <f>$H743*K743</f>
      </c>
      <c r="AK743" s="53">
        <f>$H743*L743</f>
      </c>
      <c r="AL743" s="53">
        <f>$H743*M743</f>
      </c>
      <c r="AM743" s="3"/>
      <c r="AN743" s="5"/>
      <c r="AO743" s="5"/>
      <c r="AP743" s="5"/>
      <c r="AQ743" s="3"/>
    </row>
    <row x14ac:dyDescent="0.25" r="744" customHeight="1" ht="12.75">
      <c r="A744" s="5" t="s">
        <v>57</v>
      </c>
      <c r="B744" s="3" t="s">
        <v>1140</v>
      </c>
      <c r="C744" s="3" t="s">
        <v>870</v>
      </c>
      <c r="D744" s="3"/>
      <c r="E744" s="38" t="s">
        <v>859</v>
      </c>
      <c r="F744" s="3" t="s">
        <v>1171</v>
      </c>
      <c r="G744" s="3" t="s">
        <v>1713</v>
      </c>
      <c r="H744" s="5">
        <v>1</v>
      </c>
      <c r="I744" s="6"/>
      <c r="J744" s="6">
        <v>0.2</v>
      </c>
      <c r="K744" s="6">
        <v>5.1</v>
      </c>
      <c r="L744" s="6">
        <v>6.4</v>
      </c>
      <c r="M744" s="6">
        <v>1.4</v>
      </c>
      <c r="N744" s="7"/>
      <c r="O744" s="6">
        <v>0.3</v>
      </c>
      <c r="P744" s="6">
        <v>0.2</v>
      </c>
      <c r="Q744" s="6"/>
      <c r="R744" s="31"/>
      <c r="S744" s="6"/>
      <c r="T744" s="31"/>
      <c r="U744" s="6"/>
      <c r="V744" s="23"/>
      <c r="W744" s="6">
        <v>0.2</v>
      </c>
      <c r="X744" s="6"/>
      <c r="Y744" s="5">
        <v>1</v>
      </c>
      <c r="Z744" s="3" t="s">
        <v>1032</v>
      </c>
      <c r="AA744" s="6">
        <f>H744*I744/100</f>
      </c>
      <c r="AB744" s="6">
        <f>H744*J744/100</f>
      </c>
      <c r="AC744" s="7">
        <f>H744*K744</f>
      </c>
      <c r="AD744" s="7">
        <f>H744*M744</f>
      </c>
      <c r="AE744" s="6">
        <f>H744*L744/100</f>
      </c>
      <c r="AF744" s="6">
        <f>AA744+AB744+AE744</f>
      </c>
      <c r="AG744" s="6">
        <f>I744+J744+L744</f>
      </c>
      <c r="AH744" s="53">
        <f>$H744*I744</f>
      </c>
      <c r="AI744" s="53">
        <f>$H744*J744</f>
      </c>
      <c r="AJ744" s="53">
        <f>$H744*K744</f>
      </c>
      <c r="AK744" s="53">
        <f>$H744*L744</f>
      </c>
      <c r="AL744" s="53">
        <f>$H744*M744</f>
      </c>
      <c r="AM744" s="3"/>
      <c r="AN744" s="5"/>
      <c r="AO744" s="5"/>
      <c r="AP744" s="5"/>
      <c r="AQ744" s="3"/>
    </row>
    <row x14ac:dyDescent="0.25" r="745" customHeight="1" ht="12.75">
      <c r="A745" s="5" t="s">
        <v>14</v>
      </c>
      <c r="B745" s="3" t="s">
        <v>1140</v>
      </c>
      <c r="C745" s="3" t="s">
        <v>866</v>
      </c>
      <c r="D745" s="3" t="s">
        <v>988</v>
      </c>
      <c r="E745" s="38" t="s">
        <v>859</v>
      </c>
      <c r="F745" s="3" t="s">
        <v>1718</v>
      </c>
      <c r="G745" s="3" t="s">
        <v>1719</v>
      </c>
      <c r="H745" s="31">
        <f>334+185</f>
      </c>
      <c r="I745" s="6">
        <f>100*(2.01+1.35)/$H745</f>
      </c>
      <c r="J745" s="6">
        <f>100*(13.34+7.86)/$H745</f>
      </c>
      <c r="K745" s="5">
        <v>28</v>
      </c>
      <c r="L745" s="6"/>
      <c r="M745" s="6"/>
      <c r="N745" s="7"/>
      <c r="O745" s="23"/>
      <c r="P745" s="6"/>
      <c r="Q745" s="6"/>
      <c r="R745" s="31"/>
      <c r="S745" s="6"/>
      <c r="T745" s="31"/>
      <c r="U745" s="6"/>
      <c r="V745" s="23"/>
      <c r="W745" s="6"/>
      <c r="X745" s="6"/>
      <c r="Y745" s="5"/>
      <c r="Z745" s="3" t="s">
        <v>1000</v>
      </c>
      <c r="AA745" s="6">
        <f>H745*I745/100</f>
      </c>
      <c r="AB745" s="6">
        <f>H745*J745/100</f>
      </c>
      <c r="AC745" s="7">
        <f>H745*K745</f>
      </c>
      <c r="AD745" s="7">
        <f>H745*M745</f>
      </c>
      <c r="AE745" s="6">
        <f>H745*L745/100</f>
      </c>
      <c r="AF745" s="6">
        <f>AA745+AB745+AE745</f>
      </c>
      <c r="AG745" s="6">
        <f>I745+J745+L745</f>
      </c>
      <c r="AH745" s="53">
        <f>$H745*I745</f>
      </c>
      <c r="AI745" s="53">
        <f>$H745*J745</f>
      </c>
      <c r="AJ745" s="53">
        <f>$H745*K745</f>
      </c>
      <c r="AK745" s="53">
        <f>$H745*L745</f>
      </c>
      <c r="AL745" s="53">
        <f>$H745*M745</f>
      </c>
      <c r="AM745" s="3"/>
      <c r="AN745" s="5"/>
      <c r="AO745" s="5"/>
      <c r="AP745" s="5"/>
      <c r="AQ745" s="3"/>
    </row>
    <row x14ac:dyDescent="0.25" r="746" customHeight="1" ht="12.75">
      <c r="A746" s="5" t="s">
        <v>326</v>
      </c>
      <c r="B746" s="3" t="s">
        <v>1140</v>
      </c>
      <c r="C746" s="3" t="s">
        <v>1076</v>
      </c>
      <c r="D746" s="3"/>
      <c r="E746" s="38" t="s">
        <v>859</v>
      </c>
      <c r="F746" s="3" t="s">
        <v>1720</v>
      </c>
      <c r="G746" s="3" t="s">
        <v>1511</v>
      </c>
      <c r="H746" s="7">
        <v>31</v>
      </c>
      <c r="I746" s="6"/>
      <c r="J746" s="6">
        <v>0.9</v>
      </c>
      <c r="K746" s="5">
        <v>11</v>
      </c>
      <c r="L746" s="6">
        <v>1.6</v>
      </c>
      <c r="M746" s="6">
        <v>0.8</v>
      </c>
      <c r="N746" s="7"/>
      <c r="O746" s="23"/>
      <c r="P746" s="6"/>
      <c r="Q746" s="6"/>
      <c r="R746" s="31"/>
      <c r="S746" s="6"/>
      <c r="T746" s="31"/>
      <c r="U746" s="6"/>
      <c r="V746" s="23"/>
      <c r="W746" s="6"/>
      <c r="X746" s="6"/>
      <c r="Y746" s="23"/>
      <c r="Z746" s="3"/>
      <c r="AA746" s="6">
        <f>H746*I746/100</f>
      </c>
      <c r="AB746" s="6">
        <f>H746*J746/100</f>
      </c>
      <c r="AC746" s="7">
        <f>H746*K746</f>
      </c>
      <c r="AD746" s="7">
        <f>H746*M746</f>
      </c>
      <c r="AE746" s="6">
        <f>H746*L746/100</f>
      </c>
      <c r="AF746" s="6">
        <f>AA746+AB746+AE746</f>
      </c>
      <c r="AG746" s="6">
        <f>I746+J746+L746</f>
      </c>
      <c r="AH746" s="53">
        <f>$H746*I746</f>
      </c>
      <c r="AI746" s="53">
        <f>$H746*J746</f>
      </c>
      <c r="AJ746" s="53">
        <f>$H746*K746</f>
      </c>
      <c r="AK746" s="53">
        <f>$H746*L746</f>
      </c>
      <c r="AL746" s="53">
        <f>$H746*M746</f>
      </c>
      <c r="AM746" s="3"/>
      <c r="AN746" s="5"/>
      <c r="AO746" s="5"/>
      <c r="AP746" s="5"/>
      <c r="AQ746" s="3"/>
    </row>
    <row x14ac:dyDescent="0.25" r="747" customHeight="1" ht="12.75">
      <c r="A747" s="5" t="s">
        <v>579</v>
      </c>
      <c r="B747" s="3" t="s">
        <v>1140</v>
      </c>
      <c r="C747" s="3" t="s">
        <v>870</v>
      </c>
      <c r="D747" s="3"/>
      <c r="E747" s="38" t="s">
        <v>859</v>
      </c>
      <c r="F747" s="3" t="s">
        <v>1171</v>
      </c>
      <c r="G747" s="3" t="s">
        <v>1713</v>
      </c>
      <c r="H747" s="6">
        <v>0.5</v>
      </c>
      <c r="I747" s="6"/>
      <c r="J747" s="6">
        <v>0.85</v>
      </c>
      <c r="K747" s="6">
        <v>14.8</v>
      </c>
      <c r="L747" s="6">
        <v>2.1</v>
      </c>
      <c r="M747" s="6">
        <v>1.6</v>
      </c>
      <c r="N747" s="7"/>
      <c r="O747" s="23"/>
      <c r="P747" s="6"/>
      <c r="Q747" s="6"/>
      <c r="R747" s="31"/>
      <c r="S747" s="6"/>
      <c r="T747" s="31"/>
      <c r="U747" s="6"/>
      <c r="V747" s="23"/>
      <c r="W747" s="6"/>
      <c r="X747" s="6"/>
      <c r="Y747" s="5"/>
      <c r="Z747" s="3"/>
      <c r="AA747" s="6">
        <f>H747*I747/100</f>
      </c>
      <c r="AB747" s="6">
        <f>H747*J747/100</f>
      </c>
      <c r="AC747" s="7">
        <f>H747*K747</f>
      </c>
      <c r="AD747" s="7">
        <f>H747*M747</f>
      </c>
      <c r="AE747" s="6">
        <f>H747*L747/100</f>
      </c>
      <c r="AF747" s="6">
        <f>AA747+AB747+AE747</f>
      </c>
      <c r="AG747" s="6">
        <f>I747+J747+L747</f>
      </c>
      <c r="AH747" s="53">
        <f>$H747*I747</f>
      </c>
      <c r="AI747" s="53">
        <f>$H747*J747</f>
      </c>
      <c r="AJ747" s="53">
        <f>$H747*K747</f>
      </c>
      <c r="AK747" s="53">
        <f>$H747*L747</f>
      </c>
      <c r="AL747" s="53">
        <f>$H747*M747</f>
      </c>
      <c r="AM747" s="3"/>
      <c r="AN747" s="5"/>
      <c r="AO747" s="5"/>
      <c r="AP747" s="5"/>
      <c r="AQ747" s="3"/>
    </row>
    <row x14ac:dyDescent="0.25" r="748" customHeight="1" ht="12.75">
      <c r="A748" s="5" t="s">
        <v>178</v>
      </c>
      <c r="B748" s="3" t="s">
        <v>1140</v>
      </c>
      <c r="C748" s="3" t="s">
        <v>870</v>
      </c>
      <c r="D748" s="3"/>
      <c r="E748" s="38" t="s">
        <v>859</v>
      </c>
      <c r="F748" s="3" t="s">
        <v>1171</v>
      </c>
      <c r="G748" s="3" t="s">
        <v>1721</v>
      </c>
      <c r="H748" s="6">
        <v>24.5</v>
      </c>
      <c r="I748" s="6">
        <v>2.01</v>
      </c>
      <c r="J748" s="6">
        <v>9.8</v>
      </c>
      <c r="K748" s="7">
        <f>43.5*31.1/H748</f>
      </c>
      <c r="L748" s="6"/>
      <c r="M748" s="6"/>
      <c r="N748" s="7"/>
      <c r="O748" s="23"/>
      <c r="P748" s="6"/>
      <c r="Q748" s="6"/>
      <c r="R748" s="31"/>
      <c r="S748" s="6"/>
      <c r="T748" s="31"/>
      <c r="U748" s="6"/>
      <c r="V748" s="23"/>
      <c r="W748" s="6"/>
      <c r="X748" s="6"/>
      <c r="Y748" s="5"/>
      <c r="Z748" s="3"/>
      <c r="AA748" s="6">
        <f>H748*I748/100</f>
      </c>
      <c r="AB748" s="6">
        <f>H748*J748/100</f>
      </c>
      <c r="AC748" s="7">
        <f>H748*K748</f>
      </c>
      <c r="AD748" s="7">
        <f>H748*M748</f>
      </c>
      <c r="AE748" s="6">
        <f>H748*L748/100</f>
      </c>
      <c r="AF748" s="6">
        <f>AA748+AB748+AE748</f>
      </c>
      <c r="AG748" s="6">
        <f>I748+J748+L748</f>
      </c>
      <c r="AH748" s="53">
        <f>$H748*I748</f>
      </c>
      <c r="AI748" s="53">
        <f>$H748*J748</f>
      </c>
      <c r="AJ748" s="53">
        <f>$H748*K748</f>
      </c>
      <c r="AK748" s="53">
        <f>$H748*L748</f>
      </c>
      <c r="AL748" s="53">
        <f>$H748*M748</f>
      </c>
      <c r="AM748" s="3"/>
      <c r="AN748" s="5"/>
      <c r="AO748" s="5"/>
      <c r="AP748" s="5"/>
      <c r="AQ748" s="3"/>
    </row>
    <row x14ac:dyDescent="0.25" r="749" customHeight="1" ht="12.75">
      <c r="A749" s="5" t="s">
        <v>546</v>
      </c>
      <c r="B749" s="3" t="s">
        <v>1140</v>
      </c>
      <c r="C749" s="3" t="s">
        <v>870</v>
      </c>
      <c r="D749" s="3"/>
      <c r="E749" s="38" t="s">
        <v>859</v>
      </c>
      <c r="F749" s="3" t="s">
        <v>1171</v>
      </c>
      <c r="G749" s="3" t="s">
        <v>1713</v>
      </c>
      <c r="H749" s="6">
        <v>14.1</v>
      </c>
      <c r="I749" s="6"/>
      <c r="J749" s="6">
        <v>0.73</v>
      </c>
      <c r="K749" s="5"/>
      <c r="L749" s="6">
        <v>2.16</v>
      </c>
      <c r="M749" s="6"/>
      <c r="N749" s="7"/>
      <c r="O749" s="23"/>
      <c r="P749" s="6"/>
      <c r="Q749" s="6"/>
      <c r="R749" s="31"/>
      <c r="S749" s="6"/>
      <c r="T749" s="31"/>
      <c r="U749" s="6"/>
      <c r="V749" s="23"/>
      <c r="W749" s="6"/>
      <c r="X749" s="6"/>
      <c r="Y749" s="5"/>
      <c r="Z749" s="3"/>
      <c r="AA749" s="6">
        <f>H749*I749/100</f>
      </c>
      <c r="AB749" s="6">
        <f>H749*J749/100</f>
      </c>
      <c r="AC749" s="7">
        <f>H749*K749</f>
      </c>
      <c r="AD749" s="7">
        <f>H749*M749</f>
      </c>
      <c r="AE749" s="6">
        <f>H749*L749/100</f>
      </c>
      <c r="AF749" s="6">
        <f>AA749+AB749+AE749</f>
      </c>
      <c r="AG749" s="6">
        <f>I749+J749+L749</f>
      </c>
      <c r="AH749" s="53">
        <f>$H749*I749</f>
      </c>
      <c r="AI749" s="53">
        <f>$H749*J749</f>
      </c>
      <c r="AJ749" s="53">
        <f>$H749*K749</f>
      </c>
      <c r="AK749" s="53">
        <f>$H749*L749</f>
      </c>
      <c r="AL749" s="53">
        <f>$H749*M749</f>
      </c>
      <c r="AM749" s="3"/>
      <c r="AN749" s="5"/>
      <c r="AO749" s="5"/>
      <c r="AP749" s="5"/>
      <c r="AQ749" s="3"/>
    </row>
    <row x14ac:dyDescent="0.25" r="750" customHeight="1" ht="12.75">
      <c r="A750" s="5" t="s">
        <v>424</v>
      </c>
      <c r="B750" s="3" t="s">
        <v>1140</v>
      </c>
      <c r="C750" s="3" t="s">
        <v>870</v>
      </c>
      <c r="D750" s="3"/>
      <c r="E750" s="38" t="s">
        <v>859</v>
      </c>
      <c r="F750" s="3" t="s">
        <v>1171</v>
      </c>
      <c r="G750" s="3" t="s">
        <v>1713</v>
      </c>
      <c r="H750" s="5">
        <v>6</v>
      </c>
      <c r="I750" s="6">
        <v>0.6</v>
      </c>
      <c r="J750" s="6">
        <v>1.2</v>
      </c>
      <c r="K750" s="6">
        <v>13.7</v>
      </c>
      <c r="L750" s="6">
        <v>2.8</v>
      </c>
      <c r="M750" s="6"/>
      <c r="N750" s="7"/>
      <c r="O750" s="23"/>
      <c r="P750" s="6">
        <v>0.17</v>
      </c>
      <c r="Q750" s="6"/>
      <c r="R750" s="31"/>
      <c r="S750" s="6"/>
      <c r="T750" s="31"/>
      <c r="U750" s="6"/>
      <c r="V750" s="23"/>
      <c r="W750" s="6"/>
      <c r="X750" s="6"/>
      <c r="Y750" s="5"/>
      <c r="Z750" s="3"/>
      <c r="AA750" s="6">
        <f>H750*I750/100</f>
      </c>
      <c r="AB750" s="6">
        <f>H750*J750/100</f>
      </c>
      <c r="AC750" s="7">
        <f>H750*K750</f>
      </c>
      <c r="AD750" s="7">
        <f>H750*M750</f>
      </c>
      <c r="AE750" s="6">
        <f>H750*L750/100</f>
      </c>
      <c r="AF750" s="6">
        <f>AA750+AB750+AE750</f>
      </c>
      <c r="AG750" s="6">
        <f>I750+J750+L750</f>
      </c>
      <c r="AH750" s="53">
        <f>$H750*I750</f>
      </c>
      <c r="AI750" s="53">
        <f>$H750*J750</f>
      </c>
      <c r="AJ750" s="53">
        <f>$H750*K750</f>
      </c>
      <c r="AK750" s="53">
        <f>$H750*L750</f>
      </c>
      <c r="AL750" s="53">
        <f>$H750*M750</f>
      </c>
      <c r="AM750" s="3"/>
      <c r="AN750" s="5"/>
      <c r="AO750" s="5"/>
      <c r="AP750" s="5"/>
      <c r="AQ750" s="3"/>
    </row>
    <row x14ac:dyDescent="0.25" r="751" customHeight="1" ht="12.75">
      <c r="A751" s="5" t="s">
        <v>258</v>
      </c>
      <c r="B751" s="3" t="s">
        <v>1140</v>
      </c>
      <c r="C751" s="3" t="s">
        <v>866</v>
      </c>
      <c r="D751" s="3"/>
      <c r="E751" s="38" t="s">
        <v>859</v>
      </c>
      <c r="F751" s="3" t="s">
        <v>1171</v>
      </c>
      <c r="G751" s="3" t="s">
        <v>1350</v>
      </c>
      <c r="H751" s="5">
        <v>80</v>
      </c>
      <c r="I751" s="6"/>
      <c r="J751" s="6">
        <v>1.9</v>
      </c>
      <c r="K751" s="5"/>
      <c r="L751" s="6">
        <v>0.7</v>
      </c>
      <c r="M751" s="6"/>
      <c r="N751" s="7"/>
      <c r="O751" s="23"/>
      <c r="P751" s="6"/>
      <c r="Q751" s="6"/>
      <c r="R751" s="31"/>
      <c r="S751" s="6"/>
      <c r="T751" s="31"/>
      <c r="U751" s="6"/>
      <c r="V751" s="23"/>
      <c r="W751" s="6"/>
      <c r="X751" s="6"/>
      <c r="Y751" s="5"/>
      <c r="Z751" s="3"/>
      <c r="AA751" s="6">
        <f>H751*I751/100</f>
      </c>
      <c r="AB751" s="6">
        <f>H751*J751/100</f>
      </c>
      <c r="AC751" s="7">
        <f>H751*K751</f>
      </c>
      <c r="AD751" s="7">
        <f>H751*M751</f>
      </c>
      <c r="AE751" s="6">
        <f>H751*L751/100</f>
      </c>
      <c r="AF751" s="6">
        <f>AA751+AB751+AE751</f>
      </c>
      <c r="AG751" s="6">
        <f>I751+J751+L751</f>
      </c>
      <c r="AH751" s="53">
        <f>$H751*I751</f>
      </c>
      <c r="AI751" s="53">
        <f>$H751*J751</f>
      </c>
      <c r="AJ751" s="53">
        <f>$H751*K751</f>
      </c>
      <c r="AK751" s="53">
        <f>$H751*L751</f>
      </c>
      <c r="AL751" s="53">
        <f>$H751*M751</f>
      </c>
      <c r="AM751" s="3"/>
      <c r="AN751" s="5"/>
      <c r="AO751" s="5"/>
      <c r="AP751" s="5"/>
      <c r="AQ751" s="3"/>
    </row>
    <row x14ac:dyDescent="0.25" r="752" customHeight="1" ht="12.75">
      <c r="A752" s="5" t="s">
        <v>792</v>
      </c>
      <c r="B752" s="3" t="s">
        <v>1140</v>
      </c>
      <c r="C752" s="3" t="s">
        <v>870</v>
      </c>
      <c r="D752" s="3"/>
      <c r="E752" s="38" t="s">
        <v>859</v>
      </c>
      <c r="F752" s="3" t="s">
        <v>1171</v>
      </c>
      <c r="G752" s="3" t="s">
        <v>1713</v>
      </c>
      <c r="H752" s="5">
        <v>3</v>
      </c>
      <c r="I752" s="6"/>
      <c r="J752" s="6">
        <v>1.7</v>
      </c>
      <c r="K752" s="5"/>
      <c r="L752" s="6">
        <v>1.55</v>
      </c>
      <c r="M752" s="6"/>
      <c r="N752" s="7"/>
      <c r="O752" s="23"/>
      <c r="P752" s="6"/>
      <c r="Q752" s="6"/>
      <c r="R752" s="31"/>
      <c r="S752" s="6"/>
      <c r="T752" s="31"/>
      <c r="U752" s="6"/>
      <c r="V752" s="23"/>
      <c r="W752" s="6"/>
      <c r="X752" s="6"/>
      <c r="Y752" s="5"/>
      <c r="Z752" s="3"/>
      <c r="AA752" s="6">
        <f>H752*I752/100</f>
      </c>
      <c r="AB752" s="6">
        <f>H752*J752/100</f>
      </c>
      <c r="AC752" s="7">
        <f>H752*K752</f>
      </c>
      <c r="AD752" s="7">
        <f>H752*M752</f>
      </c>
      <c r="AE752" s="6">
        <f>H752*L752/100</f>
      </c>
      <c r="AF752" s="6">
        <f>AA752+AB752+AE752</f>
      </c>
      <c r="AG752" s="6">
        <f>I752+J752+L752</f>
      </c>
      <c r="AH752" s="53">
        <f>$H752*I752</f>
      </c>
      <c r="AI752" s="53">
        <f>$H752*J752</f>
      </c>
      <c r="AJ752" s="53">
        <f>$H752*K752</f>
      </c>
      <c r="AK752" s="53">
        <f>$H752*L752</f>
      </c>
      <c r="AL752" s="53">
        <f>$H752*M752</f>
      </c>
      <c r="AM752" s="3"/>
      <c r="AN752" s="5"/>
      <c r="AO752" s="5"/>
      <c r="AP752" s="5"/>
      <c r="AQ752" s="3"/>
    </row>
    <row x14ac:dyDescent="0.25" r="753" customHeight="1" ht="12.75">
      <c r="A753" s="5" t="s">
        <v>436</v>
      </c>
      <c r="B753" s="3" t="s">
        <v>1140</v>
      </c>
      <c r="C753" s="3" t="s">
        <v>869</v>
      </c>
      <c r="D753" s="3"/>
      <c r="E753" s="3" t="s">
        <v>855</v>
      </c>
      <c r="F753" s="3" t="s">
        <v>1718</v>
      </c>
      <c r="G753" s="3" t="s">
        <v>1719</v>
      </c>
      <c r="H753" s="6">
        <f>(0.1659+0.214)/(J753/100)</f>
      </c>
      <c r="I753" s="6"/>
      <c r="J753" s="6">
        <f>(7*0.1659+7.86*0.214)/(0.1659+0.214)</f>
      </c>
      <c r="K753" s="7">
        <f>(0*0.1659+266.3*0.214)/(0.1659+0.214)</f>
      </c>
      <c r="L753" s="6"/>
      <c r="M753" s="7">
        <f>(0*0.1659+1.4*0.214)/(0.1659+0.214)</f>
      </c>
      <c r="N753" s="7"/>
      <c r="O753" s="23"/>
      <c r="P753" s="6"/>
      <c r="Q753" s="6"/>
      <c r="R753" s="31"/>
      <c r="S753" s="6"/>
      <c r="T753" s="31"/>
      <c r="U753" s="6"/>
      <c r="V753" s="23"/>
      <c r="W753" s="6"/>
      <c r="X753" s="6"/>
      <c r="Y753" s="5"/>
      <c r="Z753" s="3"/>
      <c r="AA753" s="6">
        <f>H753*I753/100</f>
      </c>
      <c r="AB753" s="6">
        <f>H753*J753/100</f>
      </c>
      <c r="AC753" s="7">
        <f>H753*K753</f>
      </c>
      <c r="AD753" s="7">
        <f>H753*M753</f>
      </c>
      <c r="AE753" s="6">
        <f>H753*L753/100</f>
      </c>
      <c r="AF753" s="6">
        <f>AA753+AB753+AE753</f>
      </c>
      <c r="AG753" s="6">
        <f>I753+J753+L753</f>
      </c>
      <c r="AH753" s="53">
        <f>$H753*I753</f>
      </c>
      <c r="AI753" s="53">
        <f>$H753*J753</f>
      </c>
      <c r="AJ753" s="53">
        <f>$H753*K753</f>
      </c>
      <c r="AK753" s="53">
        <f>$H753*L753</f>
      </c>
      <c r="AL753" s="53">
        <f>$H753*M753</f>
      </c>
      <c r="AM753" s="3"/>
      <c r="AN753" s="5"/>
      <c r="AO753" s="5"/>
      <c r="AP753" s="5"/>
      <c r="AQ753" s="3"/>
    </row>
    <row x14ac:dyDescent="0.25" r="754" customHeight="1" ht="12.75">
      <c r="A754" s="5" t="s">
        <v>390</v>
      </c>
      <c r="B754" s="3" t="s">
        <v>1140</v>
      </c>
      <c r="C754" s="3" t="s">
        <v>1080</v>
      </c>
      <c r="D754" s="3"/>
      <c r="E754" s="3" t="s">
        <v>855</v>
      </c>
      <c r="F754" s="3" t="s">
        <v>1722</v>
      </c>
      <c r="G754" s="3" t="s">
        <v>1204</v>
      </c>
      <c r="H754" s="23">
        <v>7.390939</v>
      </c>
      <c r="I754" s="6">
        <v>2.2</v>
      </c>
      <c r="J754" s="6">
        <v>1.1</v>
      </c>
      <c r="K754" s="6">
        <v>66.5</v>
      </c>
      <c r="L754" s="6"/>
      <c r="M754" s="7">
        <f>7.6-(2.2*0.510496+1.1*0.430005+66.5*0.01723)</f>
      </c>
      <c r="N754" s="7"/>
      <c r="O754" s="23"/>
      <c r="P754" s="6"/>
      <c r="Q754" s="6"/>
      <c r="R754" s="31"/>
      <c r="S754" s="6"/>
      <c r="T754" s="31"/>
      <c r="U754" s="6"/>
      <c r="V754" s="23"/>
      <c r="W754" s="6"/>
      <c r="X754" s="6"/>
      <c r="Y754" s="5"/>
      <c r="Z754" s="3"/>
      <c r="AA754" s="6">
        <f>H754*I754/100</f>
      </c>
      <c r="AB754" s="6">
        <f>H754*J754/100</f>
      </c>
      <c r="AC754" s="7">
        <f>H754*K754</f>
      </c>
      <c r="AD754" s="7">
        <f>H754*M754</f>
      </c>
      <c r="AE754" s="6">
        <f>H754*L754/100</f>
      </c>
      <c r="AF754" s="6">
        <f>AA754+AB754+AE754</f>
      </c>
      <c r="AG754" s="6">
        <f>I754+J754+L754</f>
      </c>
      <c r="AH754" s="53">
        <f>$H754*I754</f>
      </c>
      <c r="AI754" s="53">
        <f>$H754*J754</f>
      </c>
      <c r="AJ754" s="53">
        <f>$H754*K754</f>
      </c>
      <c r="AK754" s="53">
        <f>$H754*L754</f>
      </c>
      <c r="AL754" s="53">
        <f>$H754*M754</f>
      </c>
      <c r="AM754" s="3"/>
      <c r="AN754" s="5"/>
      <c r="AO754" s="5"/>
      <c r="AP754" s="5"/>
      <c r="AQ754" s="3"/>
    </row>
    <row x14ac:dyDescent="0.25" r="755" customHeight="1" ht="12.75">
      <c r="A755" s="5" t="s">
        <v>612</v>
      </c>
      <c r="B755" s="3" t="s">
        <v>1140</v>
      </c>
      <c r="C755" s="3" t="s">
        <v>869</v>
      </c>
      <c r="D755" s="3"/>
      <c r="E755" s="38" t="s">
        <v>859</v>
      </c>
      <c r="F755" s="3" t="s">
        <v>1723</v>
      </c>
      <c r="G755" s="3" t="s">
        <v>1721</v>
      </c>
      <c r="H755" s="5">
        <v>14</v>
      </c>
      <c r="I755" s="6">
        <v>1.79</v>
      </c>
      <c r="J755" s="6">
        <v>1.55</v>
      </c>
      <c r="K755" s="7">
        <f>30.4*31.1/H755</f>
      </c>
      <c r="L755" s="6"/>
      <c r="M755" s="6"/>
      <c r="N755" s="7"/>
      <c r="O755" s="23"/>
      <c r="P755" s="6"/>
      <c r="Q755" s="6"/>
      <c r="R755" s="31"/>
      <c r="S755" s="6"/>
      <c r="T755" s="31"/>
      <c r="U755" s="6"/>
      <c r="V755" s="23"/>
      <c r="W755" s="6"/>
      <c r="X755" s="6"/>
      <c r="Y755" s="5"/>
      <c r="Z755" s="3"/>
      <c r="AA755" s="6">
        <f>H755*I755/100</f>
      </c>
      <c r="AB755" s="6">
        <f>H755*J755/100</f>
      </c>
      <c r="AC755" s="7">
        <f>H755*K755</f>
      </c>
      <c r="AD755" s="7">
        <f>H755*M755</f>
      </c>
      <c r="AE755" s="6">
        <f>H755*L755/100</f>
      </c>
      <c r="AF755" s="15">
        <f>AA755+AB755+AE755</f>
      </c>
      <c r="AG755" s="6">
        <f>I755+J755+L755</f>
      </c>
      <c r="AH755" s="53">
        <f>$H755*I755</f>
      </c>
      <c r="AI755" s="53">
        <f>$H755*J755</f>
      </c>
      <c r="AJ755" s="53">
        <f>$H755*K755</f>
      </c>
      <c r="AK755" s="53">
        <f>$H755*L755</f>
      </c>
      <c r="AL755" s="53">
        <f>$H755*M755</f>
      </c>
      <c r="AM755" s="3"/>
      <c r="AN755" s="5"/>
      <c r="AO755" s="5"/>
      <c r="AP755" s="5"/>
      <c r="AQ755" s="3"/>
    </row>
    <row x14ac:dyDescent="0.25" r="756" customHeight="1" ht="12.75">
      <c r="A756" s="5" t="s">
        <v>55</v>
      </c>
      <c r="B756" s="3" t="s">
        <v>1140</v>
      </c>
      <c r="C756" s="3" t="s">
        <v>866</v>
      </c>
      <c r="D756" s="3" t="s">
        <v>988</v>
      </c>
      <c r="E756" s="3" t="s">
        <v>855</v>
      </c>
      <c r="F756" s="3" t="s">
        <v>1718</v>
      </c>
      <c r="G756" s="3" t="s">
        <v>1719</v>
      </c>
      <c r="H756" s="6">
        <f>125.271+9.787</f>
      </c>
      <c r="I756" s="6">
        <f>(1.17*125.271+1.02*9.787)/$H756</f>
      </c>
      <c r="J756" s="6">
        <f>(6.16*125.271+5.63*9.787)/$H756</f>
      </c>
      <c r="K756" s="7">
        <f>(37.6*125.271+25.5*9.787)/$H756</f>
      </c>
      <c r="L756" s="6"/>
      <c r="M756" s="6"/>
      <c r="N756" s="7"/>
      <c r="O756" s="23"/>
      <c r="P756" s="6"/>
      <c r="Q756" s="6"/>
      <c r="R756" s="31"/>
      <c r="S756" s="6"/>
      <c r="T756" s="31"/>
      <c r="U756" s="6"/>
      <c r="V756" s="23"/>
      <c r="W756" s="6"/>
      <c r="X756" s="6"/>
      <c r="Y756" s="23">
        <f>(0.016*125.271+0.014*9.787)/$H756</f>
      </c>
      <c r="Z756" s="3" t="s">
        <v>932</v>
      </c>
      <c r="AA756" s="6">
        <f>H756*I756/100</f>
      </c>
      <c r="AB756" s="6">
        <f>H756*J756/100</f>
      </c>
      <c r="AC756" s="7">
        <f>H756*K756</f>
      </c>
      <c r="AD756" s="7">
        <f>H756*M756</f>
      </c>
      <c r="AE756" s="6">
        <f>H756*L756/100</f>
      </c>
      <c r="AF756" s="6">
        <f>AA756+AB756+AE756</f>
      </c>
      <c r="AG756" s="6">
        <f>I756+J756+L756</f>
      </c>
      <c r="AH756" s="53">
        <f>$H756*I756</f>
      </c>
      <c r="AI756" s="53">
        <f>$H756*J756</f>
      </c>
      <c r="AJ756" s="53">
        <f>$H756*K756</f>
      </c>
      <c r="AK756" s="53">
        <f>$H756*L756</f>
      </c>
      <c r="AL756" s="53">
        <f>$H756*M756</f>
      </c>
      <c r="AM756" s="3"/>
      <c r="AN756" s="5"/>
      <c r="AO756" s="5"/>
      <c r="AP756" s="5"/>
      <c r="AQ756" s="3"/>
    </row>
    <row x14ac:dyDescent="0.25" r="757" customHeight="1" ht="12.75">
      <c r="A757" s="5" t="s">
        <v>213</v>
      </c>
      <c r="B757" s="3" t="s">
        <v>1140</v>
      </c>
      <c r="C757" s="3" t="s">
        <v>866</v>
      </c>
      <c r="D757" s="3" t="s">
        <v>989</v>
      </c>
      <c r="E757" s="38" t="s">
        <v>859</v>
      </c>
      <c r="F757" s="3" t="s">
        <v>1724</v>
      </c>
      <c r="G757" s="3" t="s">
        <v>1519</v>
      </c>
      <c r="H757" s="6">
        <v>21.4</v>
      </c>
      <c r="I757" s="6">
        <v>2.1</v>
      </c>
      <c r="J757" s="6">
        <v>9.2</v>
      </c>
      <c r="K757" s="5">
        <v>31</v>
      </c>
      <c r="L757" s="6"/>
      <c r="M757" s="6"/>
      <c r="N757" s="7"/>
      <c r="O757" s="23"/>
      <c r="P757" s="6"/>
      <c r="Q757" s="6"/>
      <c r="R757" s="31"/>
      <c r="S757" s="6"/>
      <c r="T757" s="31"/>
      <c r="U757" s="6"/>
      <c r="V757" s="23"/>
      <c r="W757" s="6"/>
      <c r="X757" s="6"/>
      <c r="Y757" s="5"/>
      <c r="Z757" s="3"/>
      <c r="AA757" s="6">
        <f>H757*I757/100</f>
      </c>
      <c r="AB757" s="6">
        <f>H757*J757/100</f>
      </c>
      <c r="AC757" s="7">
        <f>H757*K757</f>
      </c>
      <c r="AD757" s="7">
        <f>H757*M757</f>
      </c>
      <c r="AE757" s="6">
        <f>H757*L757/100</f>
      </c>
      <c r="AF757" s="6">
        <f>AA757+AB757+AE757</f>
      </c>
      <c r="AG757" s="6">
        <f>I757+J757+L757</f>
      </c>
      <c r="AH757" s="53">
        <f>$H757*I757</f>
      </c>
      <c r="AI757" s="53">
        <f>$H757*J757</f>
      </c>
      <c r="AJ757" s="53">
        <f>$H757*K757</f>
      </c>
      <c r="AK757" s="53">
        <f>$H757*L757</f>
      </c>
      <c r="AL757" s="53">
        <f>$H757*M757</f>
      </c>
      <c r="AM757" s="3"/>
      <c r="AN757" s="5"/>
      <c r="AO757" s="5"/>
      <c r="AP757" s="5"/>
      <c r="AQ757" s="3"/>
    </row>
    <row x14ac:dyDescent="0.25" r="758" customHeight="1" ht="12.75">
      <c r="A758" s="5" t="s">
        <v>321</v>
      </c>
      <c r="B758" s="3" t="s">
        <v>1140</v>
      </c>
      <c r="C758" s="3" t="s">
        <v>1014</v>
      </c>
      <c r="D758" s="3" t="s">
        <v>929</v>
      </c>
      <c r="E758" s="3" t="s">
        <v>855</v>
      </c>
      <c r="F758" s="3" t="s">
        <v>1716</v>
      </c>
      <c r="G758" s="3" t="s">
        <v>1201</v>
      </c>
      <c r="H758" s="6">
        <f>1.096+0.078</f>
      </c>
      <c r="I758" s="7">
        <f>(2.3*1.096+3.7*0.078)/$H758</f>
      </c>
      <c r="J758" s="7">
        <f>(2.3*1.096+3.7*0.078)/$H758</f>
      </c>
      <c r="K758" s="31">
        <f>(375*1.096+206*0.078)/$H758</f>
      </c>
      <c r="L758" s="6">
        <f>(0.34*1.096+0.46*0.078)/$H758</f>
      </c>
      <c r="M758" s="6"/>
      <c r="N758" s="7"/>
      <c r="O758" s="23"/>
      <c r="P758" s="6"/>
      <c r="Q758" s="6"/>
      <c r="R758" s="31"/>
      <c r="S758" s="6"/>
      <c r="T758" s="31"/>
      <c r="U758" s="6"/>
      <c r="V758" s="23"/>
      <c r="W758" s="6"/>
      <c r="X758" s="6"/>
      <c r="Y758" s="5"/>
      <c r="Z758" s="3"/>
      <c r="AA758" s="6">
        <f>H758*I758/100</f>
      </c>
      <c r="AB758" s="6">
        <f>H758*J758/100</f>
      </c>
      <c r="AC758" s="7">
        <f>H758*K758</f>
      </c>
      <c r="AD758" s="7">
        <f>H758*M758</f>
      </c>
      <c r="AE758" s="6">
        <f>H758*L758/100</f>
      </c>
      <c r="AF758" s="6">
        <f>AA758+AB758+AE758</f>
      </c>
      <c r="AG758" s="6">
        <f>I758+J758+L758</f>
      </c>
      <c r="AH758" s="53">
        <f>$H758*I758</f>
      </c>
      <c r="AI758" s="53">
        <f>$H758*J758</f>
      </c>
      <c r="AJ758" s="53">
        <f>$H758*K758</f>
      </c>
      <c r="AK758" s="53">
        <f>$H758*L758</f>
      </c>
      <c r="AL758" s="53">
        <f>$H758*M758</f>
      </c>
      <c r="AM758" s="3"/>
      <c r="AN758" s="5"/>
      <c r="AO758" s="5"/>
      <c r="AP758" s="5"/>
      <c r="AQ758" s="3"/>
    </row>
    <row x14ac:dyDescent="0.25" r="759" customHeight="1" ht="12.75">
      <c r="A759" s="5" t="s">
        <v>168</v>
      </c>
      <c r="B759" s="3" t="s">
        <v>1140</v>
      </c>
      <c r="C759" s="3" t="s">
        <v>870</v>
      </c>
      <c r="D759" s="3"/>
      <c r="E759" s="38" t="s">
        <v>859</v>
      </c>
      <c r="F759" s="3" t="s">
        <v>1171</v>
      </c>
      <c r="G759" s="3" t="s">
        <v>1713</v>
      </c>
      <c r="H759" s="6">
        <v>80.8</v>
      </c>
      <c r="I759" s="6">
        <v>0.13</v>
      </c>
      <c r="J759" s="6">
        <v>1.75</v>
      </c>
      <c r="K759" s="5"/>
      <c r="L759" s="6">
        <v>1.73</v>
      </c>
      <c r="M759" s="6"/>
      <c r="N759" s="7"/>
      <c r="O759" s="23"/>
      <c r="P759" s="6"/>
      <c r="Q759" s="6"/>
      <c r="R759" s="31"/>
      <c r="S759" s="6"/>
      <c r="T759" s="31"/>
      <c r="U759" s="6"/>
      <c r="V759" s="23"/>
      <c r="W759" s="6">
        <v>0.15</v>
      </c>
      <c r="X759" s="6"/>
      <c r="Y759" s="5"/>
      <c r="Z759" s="3"/>
      <c r="AA759" s="6">
        <f>H759*I759/100</f>
      </c>
      <c r="AB759" s="6">
        <f>H759*J759/100</f>
      </c>
      <c r="AC759" s="7">
        <f>H759*K759</f>
      </c>
      <c r="AD759" s="7">
        <f>H759*M759</f>
      </c>
      <c r="AE759" s="6">
        <f>H759*L759/100</f>
      </c>
      <c r="AF759" s="6">
        <f>AA759+AB759+AE759</f>
      </c>
      <c r="AG759" s="6">
        <f>I759+J759+L759</f>
      </c>
      <c r="AH759" s="53">
        <f>$H759*I759</f>
      </c>
      <c r="AI759" s="53">
        <f>$H759*J759</f>
      </c>
      <c r="AJ759" s="53">
        <f>$H759*K759</f>
      </c>
      <c r="AK759" s="53">
        <f>$H759*L759</f>
      </c>
      <c r="AL759" s="53">
        <f>$H759*M759</f>
      </c>
      <c r="AM759" s="3"/>
      <c r="AN759" s="5"/>
      <c r="AO759" s="5"/>
      <c r="AP759" s="5"/>
      <c r="AQ759" s="3"/>
    </row>
    <row x14ac:dyDescent="0.25" r="760" customHeight="1" ht="12.75">
      <c r="A760" s="5" t="s">
        <v>396</v>
      </c>
      <c r="B760" s="3" t="s">
        <v>1140</v>
      </c>
      <c r="C760" s="3" t="s">
        <v>870</v>
      </c>
      <c r="D760" s="3"/>
      <c r="E760" s="38" t="s">
        <v>859</v>
      </c>
      <c r="F760" s="3" t="s">
        <v>1171</v>
      </c>
      <c r="G760" s="3" t="s">
        <v>1713</v>
      </c>
      <c r="H760" s="6">
        <v>18.2</v>
      </c>
      <c r="I760" s="6"/>
      <c r="J760" s="6">
        <v>0.86</v>
      </c>
      <c r="K760" s="5"/>
      <c r="L760" s="6">
        <v>2.94</v>
      </c>
      <c r="M760" s="6"/>
      <c r="N760" s="7"/>
      <c r="O760" s="23"/>
      <c r="P760" s="6"/>
      <c r="Q760" s="6"/>
      <c r="R760" s="31"/>
      <c r="S760" s="6"/>
      <c r="T760" s="31"/>
      <c r="U760" s="6"/>
      <c r="V760" s="23"/>
      <c r="W760" s="6"/>
      <c r="X760" s="6"/>
      <c r="Y760" s="5"/>
      <c r="Z760" s="3"/>
      <c r="AA760" s="6">
        <f>H760*I760/100</f>
      </c>
      <c r="AB760" s="6">
        <f>H760*J760/100</f>
      </c>
      <c r="AC760" s="7">
        <f>H760*K760</f>
      </c>
      <c r="AD760" s="7">
        <f>H760*M760</f>
      </c>
      <c r="AE760" s="6">
        <f>H760*L760/100</f>
      </c>
      <c r="AF760" s="6">
        <f>AA760+AB760+AE760</f>
      </c>
      <c r="AG760" s="6">
        <f>I760+J760+L760</f>
      </c>
      <c r="AH760" s="53">
        <f>$H760*I760</f>
      </c>
      <c r="AI760" s="53">
        <f>$H760*J760</f>
      </c>
      <c r="AJ760" s="53">
        <f>$H760*K760</f>
      </c>
      <c r="AK760" s="53">
        <f>$H760*L760</f>
      </c>
      <c r="AL760" s="53">
        <f>$H760*M760</f>
      </c>
      <c r="AM760" s="3"/>
      <c r="AN760" s="5"/>
      <c r="AO760" s="5"/>
      <c r="AP760" s="5"/>
      <c r="AQ760" s="3"/>
    </row>
    <row x14ac:dyDescent="0.25" r="761" customHeight="1" ht="12.75">
      <c r="A761" s="5" t="s">
        <v>534</v>
      </c>
      <c r="B761" s="3" t="s">
        <v>1140</v>
      </c>
      <c r="C761" s="3" t="s">
        <v>870</v>
      </c>
      <c r="D761" s="3"/>
      <c r="E761" s="38" t="s">
        <v>859</v>
      </c>
      <c r="F761" s="3" t="s">
        <v>1171</v>
      </c>
      <c r="G761" s="3" t="s">
        <v>1721</v>
      </c>
      <c r="H761" s="5">
        <v>25</v>
      </c>
      <c r="I761" s="6">
        <v>0.13</v>
      </c>
      <c r="J761" s="6">
        <v>2.42</v>
      </c>
      <c r="K761" s="7">
        <f>7*31.1/H761</f>
      </c>
      <c r="L761" s="6"/>
      <c r="M761" s="6"/>
      <c r="N761" s="7"/>
      <c r="O761" s="23"/>
      <c r="P761" s="6"/>
      <c r="Q761" s="6"/>
      <c r="R761" s="31"/>
      <c r="S761" s="6"/>
      <c r="T761" s="31"/>
      <c r="U761" s="6"/>
      <c r="V761" s="23"/>
      <c r="W761" s="6"/>
      <c r="X761" s="6"/>
      <c r="Y761" s="5"/>
      <c r="Z761" s="3"/>
      <c r="AA761" s="6">
        <f>H761*I761/100</f>
      </c>
      <c r="AB761" s="6">
        <f>H761*J761/100</f>
      </c>
      <c r="AC761" s="7">
        <f>H761*K761</f>
      </c>
      <c r="AD761" s="7">
        <f>H761*M761</f>
      </c>
      <c r="AE761" s="6">
        <f>H761*L761/100</f>
      </c>
      <c r="AF761" s="6">
        <f>AA761+AB761+AE761</f>
      </c>
      <c r="AG761" s="6">
        <f>I761+J761+L761</f>
      </c>
      <c r="AH761" s="53">
        <f>$H761*I761</f>
      </c>
      <c r="AI761" s="53">
        <f>$H761*J761</f>
      </c>
      <c r="AJ761" s="53">
        <f>$H761*K761</f>
      </c>
      <c r="AK761" s="53">
        <f>$H761*L761</f>
      </c>
      <c r="AL761" s="53">
        <f>$H761*M761</f>
      </c>
      <c r="AM761" s="3"/>
      <c r="AN761" s="5"/>
      <c r="AO761" s="5"/>
      <c r="AP761" s="5"/>
      <c r="AQ761" s="3"/>
    </row>
    <row x14ac:dyDescent="0.25" r="762" customHeight="1" ht="12.75">
      <c r="A762" s="5" t="s">
        <v>170</v>
      </c>
      <c r="B762" s="3" t="s">
        <v>1140</v>
      </c>
      <c r="C762" s="3" t="s">
        <v>866</v>
      </c>
      <c r="D762" s="3" t="s">
        <v>989</v>
      </c>
      <c r="E762" s="3" t="s">
        <v>855</v>
      </c>
      <c r="F762" s="3" t="s">
        <v>1725</v>
      </c>
      <c r="G762" s="3" t="s">
        <v>1578</v>
      </c>
      <c r="H762" s="6">
        <v>18.3</v>
      </c>
      <c r="I762" s="7">
        <f>100*0.53/H762</f>
      </c>
      <c r="J762" s="7">
        <f>100*1.9/H762</f>
      </c>
      <c r="K762" s="7"/>
      <c r="L762" s="6"/>
      <c r="M762" s="6"/>
      <c r="N762" s="7"/>
      <c r="O762" s="23"/>
      <c r="P762" s="6"/>
      <c r="Q762" s="6"/>
      <c r="R762" s="31"/>
      <c r="S762" s="6"/>
      <c r="T762" s="31"/>
      <c r="U762" s="6"/>
      <c r="V762" s="23"/>
      <c r="W762" s="6"/>
      <c r="X762" s="6"/>
      <c r="Y762" s="5"/>
      <c r="Z762" s="3"/>
      <c r="AA762" s="6">
        <f>H762*I762/100</f>
      </c>
      <c r="AB762" s="6">
        <f>H762*J762/100</f>
      </c>
      <c r="AC762" s="7">
        <f>H762*K762</f>
      </c>
      <c r="AD762" s="7">
        <f>H762*M762</f>
      </c>
      <c r="AE762" s="6">
        <f>H762*L762/100</f>
      </c>
      <c r="AF762" s="6">
        <f>AA762+AB762+AE762</f>
      </c>
      <c r="AG762" s="6">
        <f>I762+J762+L762</f>
      </c>
      <c r="AH762" s="53">
        <f>$H762*I762</f>
      </c>
      <c r="AI762" s="53">
        <f>$H762*J762</f>
      </c>
      <c r="AJ762" s="53">
        <f>$H762*K762</f>
      </c>
      <c r="AK762" s="53">
        <f>$H762*L762</f>
      </c>
      <c r="AL762" s="53">
        <f>$H762*M762</f>
      </c>
      <c r="AM762" s="3"/>
      <c r="AN762" s="5"/>
      <c r="AO762" s="5"/>
      <c r="AP762" s="5"/>
      <c r="AQ762" s="3"/>
    </row>
    <row x14ac:dyDescent="0.25" r="763" customHeight="1" ht="12.75">
      <c r="A763" s="5" t="s">
        <v>133</v>
      </c>
      <c r="B763" s="3" t="s">
        <v>1140</v>
      </c>
      <c r="C763" s="3" t="s">
        <v>870</v>
      </c>
      <c r="D763" s="3"/>
      <c r="E763" s="38" t="s">
        <v>859</v>
      </c>
      <c r="F763" s="3" t="s">
        <v>1171</v>
      </c>
      <c r="G763" s="3" t="s">
        <v>1713</v>
      </c>
      <c r="H763" s="5">
        <v>110</v>
      </c>
      <c r="I763" s="6">
        <v>0.04</v>
      </c>
      <c r="J763" s="6">
        <v>0.4</v>
      </c>
      <c r="K763" s="5">
        <v>16</v>
      </c>
      <c r="L763" s="6">
        <v>1.6</v>
      </c>
      <c r="M763" s="6">
        <v>0.6</v>
      </c>
      <c r="N763" s="7"/>
      <c r="O763" s="23"/>
      <c r="P763" s="6"/>
      <c r="Q763" s="6"/>
      <c r="R763" s="31"/>
      <c r="S763" s="6"/>
      <c r="T763" s="31"/>
      <c r="U763" s="6"/>
      <c r="V763" s="23"/>
      <c r="W763" s="6"/>
      <c r="X763" s="6"/>
      <c r="Y763" s="5"/>
      <c r="Z763" s="3"/>
      <c r="AA763" s="6">
        <f>H763*I763/100</f>
      </c>
      <c r="AB763" s="6">
        <f>H763*J763/100</f>
      </c>
      <c r="AC763" s="7">
        <f>H763*K763</f>
      </c>
      <c r="AD763" s="7">
        <f>H763*M763</f>
      </c>
      <c r="AE763" s="6">
        <f>H763*L763/100</f>
      </c>
      <c r="AF763" s="6">
        <f>AA763+AB763+AE763</f>
      </c>
      <c r="AG763" s="6">
        <f>I763+J763+L763</f>
      </c>
      <c r="AH763" s="53">
        <f>$H763*I763</f>
      </c>
      <c r="AI763" s="53">
        <f>$H763*J763</f>
      </c>
      <c r="AJ763" s="53">
        <f>$H763*K763</f>
      </c>
      <c r="AK763" s="53">
        <f>$H763*L763</f>
      </c>
      <c r="AL763" s="53">
        <f>$H763*M763</f>
      </c>
      <c r="AM763" s="3"/>
      <c r="AN763" s="5"/>
      <c r="AO763" s="5"/>
      <c r="AP763" s="5"/>
      <c r="AQ763" s="3"/>
    </row>
    <row x14ac:dyDescent="0.25" r="764" customHeight="1" ht="12.75">
      <c r="A764" s="5" t="s">
        <v>584</v>
      </c>
      <c r="B764" s="3" t="s">
        <v>1140</v>
      </c>
      <c r="C764" s="3" t="s">
        <v>870</v>
      </c>
      <c r="D764" s="3"/>
      <c r="E764" s="38" t="s">
        <v>859</v>
      </c>
      <c r="F764" s="3" t="s">
        <v>1171</v>
      </c>
      <c r="G764" s="3" t="s">
        <v>1713</v>
      </c>
      <c r="H764" s="6">
        <v>9.1</v>
      </c>
      <c r="I764" s="6"/>
      <c r="J764" s="6">
        <v>4.24</v>
      </c>
      <c r="K764" s="5"/>
      <c r="L764" s="6">
        <v>1.58</v>
      </c>
      <c r="M764" s="6"/>
      <c r="N764" s="7"/>
      <c r="O764" s="23"/>
      <c r="P764" s="6"/>
      <c r="Q764" s="6"/>
      <c r="R764" s="31"/>
      <c r="S764" s="6"/>
      <c r="T764" s="31"/>
      <c r="U764" s="6"/>
      <c r="V764" s="23"/>
      <c r="W764" s="6"/>
      <c r="X764" s="6"/>
      <c r="Y764" s="5"/>
      <c r="Z764" s="3"/>
      <c r="AA764" s="6">
        <f>H764*I764/100</f>
      </c>
      <c r="AB764" s="6">
        <f>H764*J764/100</f>
      </c>
      <c r="AC764" s="7">
        <f>H764*K764</f>
      </c>
      <c r="AD764" s="7">
        <f>H764*M764</f>
      </c>
      <c r="AE764" s="6">
        <f>H764*L764/100</f>
      </c>
      <c r="AF764" s="6">
        <f>AA764+AB764+AE764</f>
      </c>
      <c r="AG764" s="6">
        <f>I764+J764+L764</f>
      </c>
      <c r="AH764" s="53">
        <f>$H764*I764</f>
      </c>
      <c r="AI764" s="53">
        <f>$H764*J764</f>
      </c>
      <c r="AJ764" s="53">
        <f>$H764*K764</f>
      </c>
      <c r="AK764" s="53">
        <f>$H764*L764</f>
      </c>
      <c r="AL764" s="53">
        <f>$H764*M764</f>
      </c>
      <c r="AM764" s="3"/>
      <c r="AN764" s="5"/>
      <c r="AO764" s="5"/>
      <c r="AP764" s="5"/>
      <c r="AQ764" s="3"/>
    </row>
    <row x14ac:dyDescent="0.25" r="765" customHeight="1" ht="12.75">
      <c r="A765" s="5" t="s">
        <v>210</v>
      </c>
      <c r="B765" s="3" t="s">
        <v>1140</v>
      </c>
      <c r="C765" s="3" t="s">
        <v>870</v>
      </c>
      <c r="D765" s="3"/>
      <c r="E765" s="3" t="s">
        <v>855</v>
      </c>
      <c r="F765" s="3" t="s">
        <v>1522</v>
      </c>
      <c r="G765" s="3" t="s">
        <v>1698</v>
      </c>
      <c r="H765" s="6">
        <v>12.92</v>
      </c>
      <c r="I765" s="7">
        <f>100*0.2/$H765</f>
      </c>
      <c r="J765" s="7">
        <f>100*1.29/$H765</f>
      </c>
      <c r="K765" s="6">
        <v>52.24</v>
      </c>
      <c r="L765" s="6">
        <f>100*0.0823/$H765</f>
      </c>
      <c r="M765" s="6">
        <v>1.17</v>
      </c>
      <c r="N765" s="7"/>
      <c r="O765" s="23"/>
      <c r="P765" s="6"/>
      <c r="Q765" s="6"/>
      <c r="R765" s="31"/>
      <c r="S765" s="6"/>
      <c r="T765" s="31"/>
      <c r="U765" s="6"/>
      <c r="V765" s="23"/>
      <c r="W765" s="6"/>
      <c r="X765" s="6"/>
      <c r="Y765" s="5"/>
      <c r="Z765" s="3"/>
      <c r="AA765" s="6">
        <f>H765*I765/100</f>
      </c>
      <c r="AB765" s="6">
        <f>H765*J765/100</f>
      </c>
      <c r="AC765" s="7">
        <f>H765*K765</f>
      </c>
      <c r="AD765" s="7">
        <f>H765*M765</f>
      </c>
      <c r="AE765" s="6">
        <f>H765*L765/100</f>
      </c>
      <c r="AF765" s="6">
        <f>AA765+AB765+AE765</f>
      </c>
      <c r="AG765" s="6">
        <f>I765+J765+L765</f>
      </c>
      <c r="AH765" s="53">
        <f>$H765*I765</f>
      </c>
      <c r="AI765" s="53">
        <f>$H765*J765</f>
      </c>
      <c r="AJ765" s="53">
        <f>$H765*K765</f>
      </c>
      <c r="AK765" s="53">
        <f>$H765*L765</f>
      </c>
      <c r="AL765" s="53">
        <f>$H765*M765</f>
      </c>
      <c r="AM765" s="3"/>
      <c r="AN765" s="5"/>
      <c r="AO765" s="5"/>
      <c r="AP765" s="5"/>
      <c r="AQ765" s="3"/>
    </row>
    <row x14ac:dyDescent="0.25" r="766" customHeight="1" ht="12.75">
      <c r="A766" s="5" t="s">
        <v>100</v>
      </c>
      <c r="B766" s="3" t="s">
        <v>1140</v>
      </c>
      <c r="C766" s="3" t="s">
        <v>870</v>
      </c>
      <c r="D766" s="3"/>
      <c r="E766" s="38" t="s">
        <v>859</v>
      </c>
      <c r="F766" s="3" t="s">
        <v>1171</v>
      </c>
      <c r="G766" s="3" t="s">
        <v>1713</v>
      </c>
      <c r="H766" s="5">
        <v>113</v>
      </c>
      <c r="I766" s="6"/>
      <c r="J766" s="6">
        <v>3.73</v>
      </c>
      <c r="K766" s="5">
        <v>18</v>
      </c>
      <c r="L766" s="6">
        <v>1.08</v>
      </c>
      <c r="M766" s="6">
        <v>1.26</v>
      </c>
      <c r="N766" s="7"/>
      <c r="O766" s="23"/>
      <c r="P766" s="6"/>
      <c r="Q766" s="6"/>
      <c r="R766" s="31"/>
      <c r="S766" s="6"/>
      <c r="T766" s="31"/>
      <c r="U766" s="6"/>
      <c r="V766" s="23"/>
      <c r="W766" s="6"/>
      <c r="X766" s="6"/>
      <c r="Y766" s="5"/>
      <c r="Z766" s="3"/>
      <c r="AA766" s="6">
        <f>H766*I766/100</f>
      </c>
      <c r="AB766" s="6">
        <f>H766*J766/100</f>
      </c>
      <c r="AC766" s="7">
        <f>H766*K766</f>
      </c>
      <c r="AD766" s="7">
        <f>H766*M766</f>
      </c>
      <c r="AE766" s="6">
        <f>H766*L766/100</f>
      </c>
      <c r="AF766" s="6">
        <f>AA766+AB766+AE766</f>
      </c>
      <c r="AG766" s="6">
        <f>I766+J766+L766</f>
      </c>
      <c r="AH766" s="53">
        <f>$H766*I766</f>
      </c>
      <c r="AI766" s="53">
        <f>$H766*J766</f>
      </c>
      <c r="AJ766" s="53">
        <f>$H766*K766</f>
      </c>
      <c r="AK766" s="53">
        <f>$H766*L766</f>
      </c>
      <c r="AL766" s="53">
        <f>$H766*M766</f>
      </c>
      <c r="AM766" s="3"/>
      <c r="AN766" s="5"/>
      <c r="AO766" s="5"/>
      <c r="AP766" s="5"/>
      <c r="AQ766" s="3"/>
    </row>
    <row x14ac:dyDescent="0.25" r="767" customHeight="1" ht="12.75">
      <c r="A767" s="5" t="s">
        <v>244</v>
      </c>
      <c r="B767" s="3" t="s">
        <v>1140</v>
      </c>
      <c r="C767" s="3" t="s">
        <v>866</v>
      </c>
      <c r="D767" s="3" t="s">
        <v>989</v>
      </c>
      <c r="E767" s="38" t="s">
        <v>859</v>
      </c>
      <c r="F767" s="3" t="s">
        <v>1171</v>
      </c>
      <c r="G767" s="3" t="s">
        <v>1173</v>
      </c>
      <c r="H767" s="5">
        <v>23</v>
      </c>
      <c r="I767" s="6">
        <v>2.85</v>
      </c>
      <c r="J767" s="6">
        <v>6.74</v>
      </c>
      <c r="K767" s="5"/>
      <c r="L767" s="6"/>
      <c r="M767" s="6"/>
      <c r="N767" s="7"/>
      <c r="O767" s="23"/>
      <c r="P767" s="6"/>
      <c r="Q767" s="6"/>
      <c r="R767" s="31"/>
      <c r="S767" s="6"/>
      <c r="T767" s="31"/>
      <c r="U767" s="6"/>
      <c r="V767" s="23"/>
      <c r="W767" s="6"/>
      <c r="X767" s="6"/>
      <c r="Y767" s="5"/>
      <c r="Z767" s="3"/>
      <c r="AA767" s="6">
        <f>H767*I767/100</f>
      </c>
      <c r="AB767" s="6">
        <f>H767*J767/100</f>
      </c>
      <c r="AC767" s="7">
        <f>H767*K767</f>
      </c>
      <c r="AD767" s="7">
        <f>H767*M767</f>
      </c>
      <c r="AE767" s="6">
        <f>H767*L767/100</f>
      </c>
      <c r="AF767" s="6">
        <f>AA767+AB767+AE767</f>
      </c>
      <c r="AG767" s="6">
        <f>I767+J767+L767</f>
      </c>
      <c r="AH767" s="53">
        <f>$H767*I767</f>
      </c>
      <c r="AI767" s="53">
        <f>$H767*J767</f>
      </c>
      <c r="AJ767" s="53">
        <f>$H767*K767</f>
      </c>
      <c r="AK767" s="53">
        <f>$H767*L767</f>
      </c>
      <c r="AL767" s="53">
        <f>$H767*M767</f>
      </c>
      <c r="AM767" s="3"/>
      <c r="AN767" s="5"/>
      <c r="AO767" s="5"/>
      <c r="AP767" s="5"/>
      <c r="AQ767" s="3"/>
    </row>
    <row x14ac:dyDescent="0.25" r="768" customHeight="1" ht="12.75">
      <c r="A768" s="5" t="s">
        <v>128</v>
      </c>
      <c r="B768" s="3" t="s">
        <v>1140</v>
      </c>
      <c r="C768" s="3" t="s">
        <v>870</v>
      </c>
      <c r="D768" s="3"/>
      <c r="E768" s="38" t="s">
        <v>859</v>
      </c>
      <c r="F768" s="3" t="s">
        <v>1171</v>
      </c>
      <c r="G768" s="3" t="s">
        <v>1713</v>
      </c>
      <c r="H768" s="5">
        <f>27+42</f>
      </c>
      <c r="I768" s="6">
        <f>(0.1*27+0*42)/$H768</f>
      </c>
      <c r="J768" s="7">
        <f>(0.23*27+4.55*42)/$H768</f>
      </c>
      <c r="K768" s="5">
        <v>35</v>
      </c>
      <c r="L768" s="7">
        <f>(2.13*27+0.91*42)/$H768</f>
      </c>
      <c r="M768" s="6">
        <v>1.8</v>
      </c>
      <c r="N768" s="7"/>
      <c r="O768" s="23"/>
      <c r="P768" s="6"/>
      <c r="Q768" s="6"/>
      <c r="R768" s="31"/>
      <c r="S768" s="6"/>
      <c r="T768" s="31"/>
      <c r="U768" s="6"/>
      <c r="V768" s="23"/>
      <c r="W768" s="6"/>
      <c r="X768" s="6"/>
      <c r="Y768" s="5"/>
      <c r="Z768" s="3"/>
      <c r="AA768" s="6">
        <f>H768*I768/100</f>
      </c>
      <c r="AB768" s="6">
        <f>H768*J768/100</f>
      </c>
      <c r="AC768" s="7">
        <f>H768*K768</f>
      </c>
      <c r="AD768" s="7">
        <f>H768*M768</f>
      </c>
      <c r="AE768" s="6">
        <f>H768*L768/100</f>
      </c>
      <c r="AF768" s="6">
        <f>AA768+AB768+AE768</f>
      </c>
      <c r="AG768" s="6">
        <f>I768+J768+L768</f>
      </c>
      <c r="AH768" s="53">
        <f>$H768*I768</f>
      </c>
      <c r="AI768" s="53">
        <f>$H768*J768</f>
      </c>
      <c r="AJ768" s="53">
        <f>$H768*K768</f>
      </c>
      <c r="AK768" s="53">
        <f>$H768*L768</f>
      </c>
      <c r="AL768" s="53">
        <f>$H768*M768</f>
      </c>
      <c r="AM768" s="3"/>
      <c r="AN768" s="5"/>
      <c r="AO768" s="5"/>
      <c r="AP768" s="5"/>
      <c r="AQ768" s="3"/>
    </row>
    <row x14ac:dyDescent="0.25" r="769" customHeight="1" ht="12.75">
      <c r="A769" s="5" t="s">
        <v>195</v>
      </c>
      <c r="B769" s="3" t="s">
        <v>1140</v>
      </c>
      <c r="C769" s="3" t="s">
        <v>870</v>
      </c>
      <c r="D769" s="3"/>
      <c r="E769" s="38" t="s">
        <v>859</v>
      </c>
      <c r="F769" s="3" t="s">
        <v>1171</v>
      </c>
      <c r="G769" s="3" t="s">
        <v>1713</v>
      </c>
      <c r="H769" s="6">
        <v>2.3</v>
      </c>
      <c r="I769" s="6"/>
      <c r="J769" s="6">
        <v>5.56</v>
      </c>
      <c r="K769" s="6">
        <v>33.5</v>
      </c>
      <c r="L769" s="6">
        <v>2.56</v>
      </c>
      <c r="M769" s="6">
        <v>3.3</v>
      </c>
      <c r="N769" s="7"/>
      <c r="O769" s="23"/>
      <c r="P769" s="6"/>
      <c r="Q769" s="6"/>
      <c r="R769" s="31"/>
      <c r="S769" s="6"/>
      <c r="T769" s="31"/>
      <c r="U769" s="6"/>
      <c r="V769" s="23"/>
      <c r="W769" s="6"/>
      <c r="X769" s="6"/>
      <c r="Y769" s="5"/>
      <c r="Z769" s="3"/>
      <c r="AA769" s="6">
        <f>H769*I769/100</f>
      </c>
      <c r="AB769" s="6">
        <f>H769*J769/100</f>
      </c>
      <c r="AC769" s="7">
        <f>H769*K769</f>
      </c>
      <c r="AD769" s="7">
        <f>H769*M769</f>
      </c>
      <c r="AE769" s="6">
        <f>H769*L769/100</f>
      </c>
      <c r="AF769" s="6">
        <f>AA769+AB769+AE769</f>
      </c>
      <c r="AG769" s="6">
        <f>I769+J769+L769</f>
      </c>
      <c r="AH769" s="53">
        <f>$H769*I769</f>
      </c>
      <c r="AI769" s="53">
        <f>$H769*J769</f>
      </c>
      <c r="AJ769" s="53">
        <f>$H769*K769</f>
      </c>
      <c r="AK769" s="53">
        <f>$H769*L769</f>
      </c>
      <c r="AL769" s="53">
        <f>$H769*M769</f>
      </c>
      <c r="AM769" s="3"/>
      <c r="AN769" s="5"/>
      <c r="AO769" s="5"/>
      <c r="AP769" s="5"/>
      <c r="AQ769" s="3"/>
    </row>
    <row x14ac:dyDescent="0.25" r="770" customHeight="1" ht="12.75">
      <c r="A770" s="5" t="s">
        <v>164</v>
      </c>
      <c r="B770" s="3" t="s">
        <v>1140</v>
      </c>
      <c r="C770" s="3" t="s">
        <v>870</v>
      </c>
      <c r="D770" s="3"/>
      <c r="E770" s="38" t="s">
        <v>859</v>
      </c>
      <c r="F770" s="3" t="s">
        <v>1171</v>
      </c>
      <c r="G770" s="3" t="s">
        <v>1713</v>
      </c>
      <c r="H770" s="5">
        <v>106</v>
      </c>
      <c r="I770" s="6"/>
      <c r="J770" s="5">
        <v>1</v>
      </c>
      <c r="K770" s="5"/>
      <c r="L770" s="6">
        <v>1.5</v>
      </c>
      <c r="M770" s="6"/>
      <c r="N770" s="7"/>
      <c r="O770" s="23"/>
      <c r="P770" s="6"/>
      <c r="Q770" s="6"/>
      <c r="R770" s="31"/>
      <c r="S770" s="6"/>
      <c r="T770" s="31"/>
      <c r="U770" s="6"/>
      <c r="V770" s="23"/>
      <c r="W770" s="6"/>
      <c r="X770" s="6"/>
      <c r="Y770" s="5"/>
      <c r="Z770" s="3"/>
      <c r="AA770" s="6">
        <f>H770*I770/100</f>
      </c>
      <c r="AB770" s="6">
        <f>H770*J770/100</f>
      </c>
      <c r="AC770" s="7">
        <f>H770*K770</f>
      </c>
      <c r="AD770" s="7">
        <f>H770*M770</f>
      </c>
      <c r="AE770" s="6">
        <f>H770*L770/100</f>
      </c>
      <c r="AF770" s="6">
        <f>AA770+AB770+AE770</f>
      </c>
      <c r="AG770" s="6">
        <f>I770+J770+L770</f>
      </c>
      <c r="AH770" s="53">
        <f>$H770*I770</f>
      </c>
      <c r="AI770" s="53">
        <f>$H770*J770</f>
      </c>
      <c r="AJ770" s="53">
        <f>$H770*K770</f>
      </c>
      <c r="AK770" s="53">
        <f>$H770*L770</f>
      </c>
      <c r="AL770" s="53">
        <f>$H770*M770</f>
      </c>
      <c r="AM770" s="3"/>
      <c r="AN770" s="5"/>
      <c r="AO770" s="5"/>
      <c r="AP770" s="5"/>
      <c r="AQ770" s="3"/>
    </row>
    <row x14ac:dyDescent="0.25" r="771" customHeight="1" ht="12.75">
      <c r="A771" s="5" t="s">
        <v>660</v>
      </c>
      <c r="B771" s="3" t="s">
        <v>1140</v>
      </c>
      <c r="C771" s="3" t="s">
        <v>870</v>
      </c>
      <c r="D771" s="3"/>
      <c r="E771" s="38" t="s">
        <v>859</v>
      </c>
      <c r="F771" s="3" t="s">
        <v>1171</v>
      </c>
      <c r="G771" s="3" t="s">
        <v>1713</v>
      </c>
      <c r="H771" s="6">
        <v>12.5</v>
      </c>
      <c r="I771" s="6"/>
      <c r="J771" s="6">
        <v>0.87</v>
      </c>
      <c r="K771" s="5">
        <v>7</v>
      </c>
      <c r="L771" s="6">
        <v>1.21</v>
      </c>
      <c r="M771" s="6">
        <v>0.1</v>
      </c>
      <c r="N771" s="7"/>
      <c r="O771" s="23"/>
      <c r="P771" s="6"/>
      <c r="Q771" s="6"/>
      <c r="R771" s="31"/>
      <c r="S771" s="6"/>
      <c r="T771" s="31"/>
      <c r="U771" s="6"/>
      <c r="V771" s="23"/>
      <c r="W771" s="6"/>
      <c r="X771" s="6"/>
      <c r="Y771" s="5"/>
      <c r="Z771" s="3"/>
      <c r="AA771" s="6">
        <f>H771*I771/100</f>
      </c>
      <c r="AB771" s="6">
        <f>H771*J771/100</f>
      </c>
      <c r="AC771" s="7">
        <f>H771*K771</f>
      </c>
      <c r="AD771" s="7">
        <f>H771*M771</f>
      </c>
      <c r="AE771" s="6">
        <f>H771*L771/100</f>
      </c>
      <c r="AF771" s="6">
        <f>AA771+AB771+AE771</f>
      </c>
      <c r="AG771" s="6">
        <f>I771+J771+L771</f>
      </c>
      <c r="AH771" s="53">
        <f>$H771*I771</f>
      </c>
      <c r="AI771" s="53">
        <f>$H771*J771</f>
      </c>
      <c r="AJ771" s="53">
        <f>$H771*K771</f>
      </c>
      <c r="AK771" s="53">
        <f>$H771*L771</f>
      </c>
      <c r="AL771" s="53">
        <f>$H771*M771</f>
      </c>
      <c r="AM771" s="3"/>
      <c r="AN771" s="5"/>
      <c r="AO771" s="5"/>
      <c r="AP771" s="5"/>
      <c r="AQ771" s="3"/>
    </row>
    <row x14ac:dyDescent="0.25" r="772" customHeight="1" ht="12.75">
      <c r="A772" s="5" t="s">
        <v>543</v>
      </c>
      <c r="B772" s="3" t="s">
        <v>1141</v>
      </c>
      <c r="C772" s="3" t="s">
        <v>870</v>
      </c>
      <c r="D772" s="3"/>
      <c r="E772" s="3" t="s">
        <v>855</v>
      </c>
      <c r="F772" s="3" t="s">
        <v>1726</v>
      </c>
      <c r="G772" s="3" t="s">
        <v>1727</v>
      </c>
      <c r="H772" s="6">
        <f>9.433+0.603</f>
      </c>
      <c r="I772" s="6"/>
      <c r="J772" s="6">
        <f>(4.23*9.433+7.42*0.603)/$H772</f>
      </c>
      <c r="K772" s="7">
        <f>(31.24*9.433+56.2*0.603)/$H772</f>
      </c>
      <c r="L772" s="6">
        <f>(1.21*9.433+1*0.603)/$H772</f>
      </c>
      <c r="M772" s="6">
        <f>(0.97*9.433+1.18*0.603)/$H772</f>
      </c>
      <c r="N772" s="7"/>
      <c r="O772" s="23"/>
      <c r="P772" s="6"/>
      <c r="Q772" s="6"/>
      <c r="R772" s="31"/>
      <c r="S772" s="6"/>
      <c r="T772" s="31"/>
      <c r="U772" s="6"/>
      <c r="V772" s="23"/>
      <c r="W772" s="6"/>
      <c r="X772" s="6"/>
      <c r="Y772" s="5"/>
      <c r="Z772" s="3"/>
      <c r="AA772" s="6">
        <f>H772*I772/100</f>
      </c>
      <c r="AB772" s="6">
        <f>H772*J772/100</f>
      </c>
      <c r="AC772" s="7">
        <f>H772*K772</f>
      </c>
      <c r="AD772" s="7">
        <f>H772*M772</f>
      </c>
      <c r="AE772" s="6">
        <f>H772*L772/100</f>
      </c>
      <c r="AF772" s="6">
        <f>AA772+AB772+AE772</f>
      </c>
      <c r="AG772" s="6">
        <f>I772+J772+L772</f>
      </c>
      <c r="AH772" s="53">
        <f>$H772*I772</f>
      </c>
      <c r="AI772" s="53">
        <f>$H772*J772</f>
      </c>
      <c r="AJ772" s="53">
        <f>$H772*K772</f>
      </c>
      <c r="AK772" s="53">
        <f>$H772*L772</f>
      </c>
      <c r="AL772" s="53">
        <f>$H772*M772</f>
      </c>
      <c r="AM772" s="3"/>
      <c r="AN772" s="5"/>
      <c r="AO772" s="5"/>
      <c r="AP772" s="5"/>
      <c r="AQ772" s="3"/>
    </row>
    <row x14ac:dyDescent="0.25" r="773" customHeight="1" ht="12.75">
      <c r="A773" s="5" t="s">
        <v>554</v>
      </c>
      <c r="B773" s="3" t="s">
        <v>1141</v>
      </c>
      <c r="C773" s="3" t="s">
        <v>866</v>
      </c>
      <c r="D773" s="3" t="s">
        <v>989</v>
      </c>
      <c r="E773" s="38" t="s">
        <v>859</v>
      </c>
      <c r="F773" s="3" t="s">
        <v>1171</v>
      </c>
      <c r="G773" s="3" t="s">
        <v>1173</v>
      </c>
      <c r="H773" s="6">
        <v>1.2</v>
      </c>
      <c r="I773" s="6">
        <v>1.4</v>
      </c>
      <c r="J773" s="6">
        <v>5.6</v>
      </c>
      <c r="K773" s="7"/>
      <c r="L773" s="6"/>
      <c r="M773" s="6"/>
      <c r="N773" s="7"/>
      <c r="O773" s="23"/>
      <c r="P773" s="6"/>
      <c r="Q773" s="6"/>
      <c r="R773" s="31"/>
      <c r="S773" s="6"/>
      <c r="T773" s="31"/>
      <c r="U773" s="6"/>
      <c r="V773" s="23"/>
      <c r="W773" s="6"/>
      <c r="X773" s="6"/>
      <c r="Y773" s="5"/>
      <c r="Z773" s="3"/>
      <c r="AA773" s="6">
        <f>H773*I773/100</f>
      </c>
      <c r="AB773" s="6">
        <f>H773*J773/100</f>
      </c>
      <c r="AC773" s="7">
        <f>H773*K773</f>
      </c>
      <c r="AD773" s="7">
        <f>H773*M773</f>
      </c>
      <c r="AE773" s="6">
        <f>H773*L773/100</f>
      </c>
      <c r="AF773" s="6">
        <f>AA773+AB773+AE773</f>
      </c>
      <c r="AG773" s="6">
        <f>I773+J773+L773</f>
      </c>
      <c r="AH773" s="53">
        <f>$H773*I773</f>
      </c>
      <c r="AI773" s="53">
        <f>$H773*J773</f>
      </c>
      <c r="AJ773" s="53">
        <f>$H773*K773</f>
      </c>
      <c r="AK773" s="53">
        <f>$H773*L773</f>
      </c>
      <c r="AL773" s="53">
        <f>$H773*M773</f>
      </c>
      <c r="AM773" s="3"/>
      <c r="AN773" s="5"/>
      <c r="AO773" s="5"/>
      <c r="AP773" s="5"/>
      <c r="AQ773" s="3"/>
    </row>
    <row x14ac:dyDescent="0.25" r="774" customHeight="1" ht="12.75">
      <c r="A774" s="5" t="s">
        <v>540</v>
      </c>
      <c r="B774" s="3" t="s">
        <v>1141</v>
      </c>
      <c r="C774" s="3" t="s">
        <v>870</v>
      </c>
      <c r="D774" s="3"/>
      <c r="E774" s="3" t="s">
        <v>855</v>
      </c>
      <c r="F774" s="3" t="s">
        <v>1728</v>
      </c>
      <c r="G774" s="3" t="s">
        <v>1729</v>
      </c>
      <c r="H774" s="6">
        <f>0.9+1.8+3.7+10.9</f>
      </c>
      <c r="I774" s="6"/>
      <c r="J774" s="7">
        <f>(1.4*0.9+1.4*1.8+1.2*3.7+2.9*10.9)/$H774</f>
      </c>
      <c r="K774" s="31">
        <f>(31*0.9+30*1.8+26*3.7+24*10.9)/$H774</f>
      </c>
      <c r="L774" s="7">
        <f>(1.9*0.9+1.8*1.8+1.7*3.7+0.4*10.9)/$H774</f>
      </c>
      <c r="M774" s="7">
        <f>(0.5*0.9+0.5*1.8+0.4*3.7+0.3*10.9)/$H774</f>
      </c>
      <c r="N774" s="7"/>
      <c r="O774" s="23"/>
      <c r="P774" s="6"/>
      <c r="Q774" s="6"/>
      <c r="R774" s="31"/>
      <c r="S774" s="6"/>
      <c r="T774" s="31"/>
      <c r="U774" s="6"/>
      <c r="V774" s="23"/>
      <c r="W774" s="6"/>
      <c r="X774" s="6"/>
      <c r="Y774" s="5"/>
      <c r="Z774" s="3"/>
      <c r="AA774" s="6">
        <f>H774*I774/100</f>
      </c>
      <c r="AB774" s="6">
        <f>H774*J774/100</f>
      </c>
      <c r="AC774" s="7">
        <f>H774*K774</f>
      </c>
      <c r="AD774" s="7">
        <f>H774*M774</f>
      </c>
      <c r="AE774" s="6">
        <f>H774*L774/100</f>
      </c>
      <c r="AF774" s="6">
        <f>AA774+AB774+AE774</f>
      </c>
      <c r="AG774" s="6">
        <f>I774+J774+L774</f>
      </c>
      <c r="AH774" s="53">
        <f>$H774*I774</f>
      </c>
      <c r="AI774" s="53">
        <f>$H774*J774</f>
      </c>
      <c r="AJ774" s="53">
        <f>$H774*K774</f>
      </c>
      <c r="AK774" s="53">
        <f>$H774*L774</f>
      </c>
      <c r="AL774" s="53">
        <f>$H774*M774</f>
      </c>
      <c r="AM774" s="3"/>
      <c r="AN774" s="5"/>
      <c r="AO774" s="5"/>
      <c r="AP774" s="5"/>
      <c r="AQ774" s="3"/>
    </row>
    <row x14ac:dyDescent="0.25" r="775" customHeight="1" ht="12.75">
      <c r="A775" s="5" t="s">
        <v>373</v>
      </c>
      <c r="B775" s="3" t="s">
        <v>1141</v>
      </c>
      <c r="C775" s="3" t="s">
        <v>870</v>
      </c>
      <c r="D775" s="3"/>
      <c r="E775" s="3" t="s">
        <v>855</v>
      </c>
      <c r="F775" s="3" t="s">
        <v>1730</v>
      </c>
      <c r="G775" s="3" t="s">
        <v>1204</v>
      </c>
      <c r="H775" s="6">
        <f>25.32+4.32</f>
      </c>
      <c r="I775" s="6"/>
      <c r="J775" s="6">
        <f>(4.03*25.32+2.9*4.32)/$H775</f>
      </c>
      <c r="K775" s="5"/>
      <c r="L775" s="6">
        <f>(0.17*25.32+0.03*4.32)/$H775</f>
      </c>
      <c r="M775" s="6"/>
      <c r="N775" s="7"/>
      <c r="O775" s="23"/>
      <c r="P775" s="6"/>
      <c r="Q775" s="6"/>
      <c r="R775" s="31"/>
      <c r="S775" s="6"/>
      <c r="T775" s="31"/>
      <c r="U775" s="6"/>
      <c r="V775" s="23"/>
      <c r="W775" s="6"/>
      <c r="X775" s="6"/>
      <c r="Y775" s="5"/>
      <c r="Z775" s="3"/>
      <c r="AA775" s="6">
        <f>H775*I775/100</f>
      </c>
      <c r="AB775" s="6">
        <f>H775*J775/100</f>
      </c>
      <c r="AC775" s="7">
        <f>H775*K775</f>
      </c>
      <c r="AD775" s="7">
        <f>H775*M775</f>
      </c>
      <c r="AE775" s="6">
        <f>H775*L775/100</f>
      </c>
      <c r="AF775" s="6">
        <f>AA775+AB775+AE775</f>
      </c>
      <c r="AG775" s="6">
        <f>I775+J775+L775</f>
      </c>
      <c r="AH775" s="53">
        <f>$H775*I775</f>
      </c>
      <c r="AI775" s="53">
        <f>$H775*J775</f>
      </c>
      <c r="AJ775" s="53">
        <f>$H775*K775</f>
      </c>
      <c r="AK775" s="53">
        <f>$H775*L775</f>
      </c>
      <c r="AL775" s="53">
        <f>$H775*M775</f>
      </c>
      <c r="AM775" s="3"/>
      <c r="AN775" s="5"/>
      <c r="AO775" s="5"/>
      <c r="AP775" s="5"/>
      <c r="AQ775" s="3"/>
    </row>
    <row x14ac:dyDescent="0.25" r="776" customHeight="1" ht="12.75">
      <c r="A776" s="5" t="s">
        <v>655</v>
      </c>
      <c r="B776" s="3" t="s">
        <v>1142</v>
      </c>
      <c r="C776" s="3" t="s">
        <v>870</v>
      </c>
      <c r="D776" s="3"/>
      <c r="E776" s="38" t="s">
        <v>859</v>
      </c>
      <c r="F776" s="3" t="s">
        <v>1731</v>
      </c>
      <c r="G776" s="3" t="s">
        <v>1732</v>
      </c>
      <c r="H776" s="6">
        <v>7.7</v>
      </c>
      <c r="I776" s="7">
        <v>1</v>
      </c>
      <c r="J776" s="6">
        <v>2.6</v>
      </c>
      <c r="K776" s="5"/>
      <c r="L776" s="6">
        <v>1.2</v>
      </c>
      <c r="M776" s="6"/>
      <c r="N776" s="7"/>
      <c r="O776" s="23"/>
      <c r="P776" s="6"/>
      <c r="Q776" s="6"/>
      <c r="R776" s="31"/>
      <c r="S776" s="6"/>
      <c r="T776" s="31"/>
      <c r="U776" s="6"/>
      <c r="V776" s="23"/>
      <c r="W776" s="6"/>
      <c r="X776" s="6"/>
      <c r="Y776" s="5"/>
      <c r="Z776" s="3"/>
      <c r="AA776" s="6">
        <f>H776*I776/100</f>
      </c>
      <c r="AB776" s="6">
        <f>H776*J776/100</f>
      </c>
      <c r="AC776" s="7">
        <f>H776*K776</f>
      </c>
      <c r="AD776" s="7">
        <f>H776*M776</f>
      </c>
      <c r="AE776" s="6">
        <f>H776*L776/100</f>
      </c>
      <c r="AF776" s="15">
        <f>AA776+AB776+AE776</f>
      </c>
      <c r="AG776" s="6">
        <f>I776+J776+L776</f>
      </c>
      <c r="AH776" s="53">
        <f>$H776*I776</f>
      </c>
      <c r="AI776" s="53">
        <f>$H776*J776</f>
      </c>
      <c r="AJ776" s="53">
        <f>$H776*K776</f>
      </c>
      <c r="AK776" s="53">
        <f>$H776*L776</f>
      </c>
      <c r="AL776" s="53">
        <f>$H776*M776</f>
      </c>
      <c r="AM776" s="3"/>
      <c r="AN776" s="5"/>
      <c r="AO776" s="5"/>
      <c r="AP776" s="5"/>
      <c r="AQ776" s="3"/>
    </row>
    <row x14ac:dyDescent="0.25" r="777" customHeight="1" ht="12.75">
      <c r="A777" s="5" t="s">
        <v>605</v>
      </c>
      <c r="B777" s="3" t="s">
        <v>1142</v>
      </c>
      <c r="C777" s="3" t="s">
        <v>856</v>
      </c>
      <c r="D777" s="3"/>
      <c r="E777" s="38" t="s">
        <v>859</v>
      </c>
      <c r="F777" s="3" t="s">
        <v>1733</v>
      </c>
      <c r="G777" s="3" t="s">
        <v>1337</v>
      </c>
      <c r="H777" s="6">
        <v>6.5</v>
      </c>
      <c r="I777" s="6">
        <v>4.07</v>
      </c>
      <c r="J777" s="6">
        <v>2.12</v>
      </c>
      <c r="K777" s="5">
        <v>130</v>
      </c>
      <c r="L777" s="6">
        <v>0.26</v>
      </c>
      <c r="M777" s="6"/>
      <c r="N777" s="7"/>
      <c r="O777" s="23"/>
      <c r="P777" s="6"/>
      <c r="Q777" s="6"/>
      <c r="R777" s="31"/>
      <c r="S777" s="6"/>
      <c r="T777" s="31"/>
      <c r="U777" s="6"/>
      <c r="V777" s="23"/>
      <c r="W777" s="6"/>
      <c r="X777" s="6"/>
      <c r="Y777" s="5"/>
      <c r="Z777" s="3"/>
      <c r="AA777" s="6">
        <f>H777*I777/100</f>
      </c>
      <c r="AB777" s="6">
        <f>H777*J777/100</f>
      </c>
      <c r="AC777" s="7">
        <f>H777*K777</f>
      </c>
      <c r="AD777" s="7">
        <f>H777*M777</f>
      </c>
      <c r="AE777" s="6">
        <f>H777*L777/100</f>
      </c>
      <c r="AF777" s="15">
        <f>AA777+AB777+AE777</f>
      </c>
      <c r="AG777" s="6">
        <f>I777+J777+L777</f>
      </c>
      <c r="AH777" s="53">
        <f>$H777*I777</f>
      </c>
      <c r="AI777" s="53">
        <f>$H777*J777</f>
      </c>
      <c r="AJ777" s="53">
        <f>$H777*K777</f>
      </c>
      <c r="AK777" s="53">
        <f>$H777*L777</f>
      </c>
      <c r="AL777" s="53">
        <f>$H777*M777</f>
      </c>
      <c r="AM777" s="3"/>
      <c r="AN777" s="5"/>
      <c r="AO777" s="5"/>
      <c r="AP777" s="5"/>
      <c r="AQ777" s="3"/>
    </row>
    <row x14ac:dyDescent="0.25" r="778" customHeight="1" ht="12.75">
      <c r="A778" s="5" t="s">
        <v>375</v>
      </c>
      <c r="B778" s="3" t="s">
        <v>1142</v>
      </c>
      <c r="C778" s="3" t="s">
        <v>866</v>
      </c>
      <c r="D778" s="3" t="s">
        <v>989</v>
      </c>
      <c r="E778" s="38" t="s">
        <v>859</v>
      </c>
      <c r="F778" s="3" t="s">
        <v>1171</v>
      </c>
      <c r="G778" s="3" t="s">
        <v>1734</v>
      </c>
      <c r="H778" s="5">
        <v>4</v>
      </c>
      <c r="I778" s="7">
        <f>8/6</f>
      </c>
      <c r="J778" s="7">
        <f>8*(5/6)</f>
      </c>
      <c r="K778" s="5"/>
      <c r="L778" s="6"/>
      <c r="M778" s="6">
        <v>3.5</v>
      </c>
      <c r="N778" s="7"/>
      <c r="O778" s="23"/>
      <c r="P778" s="6"/>
      <c r="Q778" s="6"/>
      <c r="R778" s="31"/>
      <c r="S778" s="6"/>
      <c r="T778" s="31"/>
      <c r="U778" s="6"/>
      <c r="V778" s="23"/>
      <c r="W778" s="6"/>
      <c r="X778" s="6"/>
      <c r="Y778" s="5"/>
      <c r="Z778" s="3"/>
      <c r="AA778" s="6">
        <f>H778*I778/100</f>
      </c>
      <c r="AB778" s="6">
        <f>H778*J778/100</f>
      </c>
      <c r="AC778" s="7">
        <f>H778*K778</f>
      </c>
      <c r="AD778" s="7">
        <f>H778*M778</f>
      </c>
      <c r="AE778" s="6">
        <f>H778*L778/100</f>
      </c>
      <c r="AF778" s="15">
        <f>AA778+AB778+AE778</f>
      </c>
      <c r="AG778" s="6">
        <f>I778+J778+L778</f>
      </c>
      <c r="AH778" s="53">
        <f>$H778*I778</f>
      </c>
      <c r="AI778" s="53">
        <f>$H778*J778</f>
      </c>
      <c r="AJ778" s="53">
        <f>$H778*K778</f>
      </c>
      <c r="AK778" s="53">
        <f>$H778*L778</f>
      </c>
      <c r="AL778" s="53">
        <f>$H778*M778</f>
      </c>
      <c r="AM778" s="3"/>
      <c r="AN778" s="5"/>
      <c r="AO778" s="5"/>
      <c r="AP778" s="5"/>
      <c r="AQ778" s="3"/>
    </row>
    <row x14ac:dyDescent="0.25" r="779" customHeight="1" ht="12.75">
      <c r="A779" s="5" t="s">
        <v>341</v>
      </c>
      <c r="B779" s="3" t="s">
        <v>1143</v>
      </c>
      <c r="C779" s="3" t="s">
        <v>866</v>
      </c>
      <c r="D779" s="3" t="s">
        <v>988</v>
      </c>
      <c r="E779" s="3" t="s">
        <v>855</v>
      </c>
      <c r="F779" s="3" t="s">
        <v>1588</v>
      </c>
      <c r="G779" s="3" t="s">
        <v>1566</v>
      </c>
      <c r="H779" s="6">
        <f>14.2+11.7</f>
      </c>
      <c r="I779" s="6">
        <f>(2.51*14.2+2.84*11.7)/$H779</f>
      </c>
      <c r="J779" s="6">
        <f>(2.62*14.2+2.63*11.7)/$H779</f>
      </c>
      <c r="K779" s="5"/>
      <c r="L779" s="6"/>
      <c r="M779" s="6"/>
      <c r="N779" s="7"/>
      <c r="O779" s="23"/>
      <c r="P779" s="6"/>
      <c r="Q779" s="6"/>
      <c r="R779" s="31"/>
      <c r="S779" s="6"/>
      <c r="T779" s="31"/>
      <c r="U779" s="6"/>
      <c r="V779" s="23"/>
      <c r="W779" s="6"/>
      <c r="X779" s="6"/>
      <c r="Y779" s="5"/>
      <c r="Z779" s="3"/>
      <c r="AA779" s="6">
        <f>H779*I779/100</f>
      </c>
      <c r="AB779" s="6">
        <f>H779*J779/100</f>
      </c>
      <c r="AC779" s="7">
        <f>H779*K779</f>
      </c>
      <c r="AD779" s="7">
        <f>H779*M779</f>
      </c>
      <c r="AE779" s="6">
        <f>H779*L779/100</f>
      </c>
      <c r="AF779" s="6">
        <f>AA779+AB779+AE779</f>
      </c>
      <c r="AG779" s="6">
        <f>I779+J779+L779</f>
      </c>
      <c r="AH779" s="53">
        <f>$H779*I779</f>
      </c>
      <c r="AI779" s="53">
        <f>$H779*J779</f>
      </c>
      <c r="AJ779" s="53">
        <f>$H779*K779</f>
      </c>
      <c r="AK779" s="53">
        <f>$H779*L779</f>
      </c>
      <c r="AL779" s="53">
        <f>$H779*M779</f>
      </c>
      <c r="AM779" s="3"/>
      <c r="AN779" s="5"/>
      <c r="AO779" s="5"/>
      <c r="AP779" s="5"/>
      <c r="AQ779" s="3"/>
    </row>
    <row x14ac:dyDescent="0.25" r="780" customHeight="1" ht="12.75">
      <c r="A780" s="5" t="s">
        <v>36</v>
      </c>
      <c r="B780" s="3" t="s">
        <v>1143</v>
      </c>
      <c r="C780" s="3" t="s">
        <v>866</v>
      </c>
      <c r="D780" s="3" t="s">
        <v>988</v>
      </c>
      <c r="E780" s="3" t="s">
        <v>855</v>
      </c>
      <c r="F780" s="3" t="s">
        <v>1588</v>
      </c>
      <c r="G780" s="3" t="s">
        <v>1566</v>
      </c>
      <c r="H780" s="6">
        <f>154.6+59.7</f>
      </c>
      <c r="I780" s="6">
        <f>(0.53*154.6+0.22*59.7)/$H780</f>
      </c>
      <c r="J780" s="6">
        <f>(6.23*154.6+7.8*59.7)/$H780</f>
      </c>
      <c r="K780" s="5"/>
      <c r="L780" s="6"/>
      <c r="M780" s="6"/>
      <c r="N780" s="7"/>
      <c r="O780" s="23"/>
      <c r="P780" s="6"/>
      <c r="Q780" s="6"/>
      <c r="R780" s="31"/>
      <c r="S780" s="6"/>
      <c r="T780" s="31"/>
      <c r="U780" s="6"/>
      <c r="V780" s="23"/>
      <c r="W780" s="6"/>
      <c r="X780" s="6"/>
      <c r="Y780" s="5"/>
      <c r="Z780" s="3"/>
      <c r="AA780" s="6">
        <f>H780*I780/100</f>
      </c>
      <c r="AB780" s="6">
        <f>H780*J780/100</f>
      </c>
      <c r="AC780" s="7">
        <f>H780*K780</f>
      </c>
      <c r="AD780" s="7">
        <f>H780*M780</f>
      </c>
      <c r="AE780" s="6">
        <f>H780*L780/100</f>
      </c>
      <c r="AF780" s="6">
        <f>AA780+AB780+AE780</f>
      </c>
      <c r="AG780" s="6">
        <f>I780+J780+L780</f>
      </c>
      <c r="AH780" s="53">
        <f>$H780*I780</f>
      </c>
      <c r="AI780" s="53">
        <f>$H780*J780</f>
      </c>
      <c r="AJ780" s="53">
        <f>$H780*K780</f>
      </c>
      <c r="AK780" s="53">
        <f>$H780*L780</f>
      </c>
      <c r="AL780" s="53">
        <f>$H780*M780</f>
      </c>
      <c r="AM780" s="3"/>
      <c r="AN780" s="5"/>
      <c r="AO780" s="5"/>
      <c r="AP780" s="5"/>
      <c r="AQ780" s="3"/>
    </row>
    <row x14ac:dyDescent="0.25" r="781" customHeight="1" ht="12.75">
      <c r="A781" s="5" t="s">
        <v>327</v>
      </c>
      <c r="B781" s="3" t="s">
        <v>1143</v>
      </c>
      <c r="C781" s="3" t="s">
        <v>866</v>
      </c>
      <c r="D781" s="3"/>
      <c r="E781" s="3" t="s">
        <v>855</v>
      </c>
      <c r="F781" s="3" t="s">
        <v>1588</v>
      </c>
      <c r="G781" s="3" t="s">
        <v>1566</v>
      </c>
      <c r="H781" s="7">
        <f>18.8+24.4+2.8</f>
      </c>
      <c r="I781" s="6">
        <f>(2.88*18.8+2.61*24.4+2.53*2.8)/$H781</f>
      </c>
      <c r="J781" s="6">
        <f>(0.56*18.8+0.53*24.4+0.5*2.8)/$H781</f>
      </c>
      <c r="K781" s="5"/>
      <c r="L781" s="6"/>
      <c r="M781" s="6"/>
      <c r="N781" s="7"/>
      <c r="O781" s="23"/>
      <c r="P781" s="6"/>
      <c r="Q781" s="6"/>
      <c r="R781" s="31"/>
      <c r="S781" s="6"/>
      <c r="T781" s="31"/>
      <c r="U781" s="6"/>
      <c r="V781" s="23"/>
      <c r="W781" s="6"/>
      <c r="X781" s="6"/>
      <c r="Y781" s="5"/>
      <c r="Z781" s="3"/>
      <c r="AA781" s="6">
        <f>H781*I781/100</f>
      </c>
      <c r="AB781" s="6">
        <f>H781*J781/100</f>
      </c>
      <c r="AC781" s="7">
        <f>H781*K781</f>
      </c>
      <c r="AD781" s="7">
        <f>H781*M781</f>
      </c>
      <c r="AE781" s="6">
        <f>H781*L781/100</f>
      </c>
      <c r="AF781" s="6">
        <f>AA781+AB781+AE781</f>
      </c>
      <c r="AG781" s="6">
        <f>I781+J781+L781</f>
      </c>
      <c r="AH781" s="53">
        <f>$H781*I781</f>
      </c>
      <c r="AI781" s="53">
        <f>$H781*J781</f>
      </c>
      <c r="AJ781" s="53">
        <f>$H781*K781</f>
      </c>
      <c r="AK781" s="53">
        <f>$H781*L781</f>
      </c>
      <c r="AL781" s="53">
        <f>$H781*M781</f>
      </c>
      <c r="AM781" s="3"/>
      <c r="AN781" s="5"/>
      <c r="AO781" s="5"/>
      <c r="AP781" s="5"/>
      <c r="AQ781" s="3"/>
    </row>
    <row x14ac:dyDescent="0.25" r="782" customHeight="1" ht="12.75">
      <c r="A782" s="5" t="s">
        <v>811</v>
      </c>
      <c r="B782" s="3" t="s">
        <v>1143</v>
      </c>
      <c r="C782" s="3" t="s">
        <v>866</v>
      </c>
      <c r="D782" s="3" t="s">
        <v>989</v>
      </c>
      <c r="E782" s="38" t="s">
        <v>859</v>
      </c>
      <c r="F782" s="3" t="s">
        <v>1171</v>
      </c>
      <c r="G782" s="3" t="s">
        <v>1735</v>
      </c>
      <c r="H782" s="6">
        <v>0.63</v>
      </c>
      <c r="I782" s="6">
        <v>0.18</v>
      </c>
      <c r="J782" s="6">
        <v>3.3</v>
      </c>
      <c r="K782" s="5"/>
      <c r="L782" s="6"/>
      <c r="M782" s="6"/>
      <c r="N782" s="7"/>
      <c r="O782" s="23"/>
      <c r="P782" s="6"/>
      <c r="Q782" s="6"/>
      <c r="R782" s="31"/>
      <c r="S782" s="6"/>
      <c r="T782" s="31"/>
      <c r="U782" s="6"/>
      <c r="V782" s="23"/>
      <c r="W782" s="6"/>
      <c r="X782" s="6"/>
      <c r="Y782" s="5"/>
      <c r="Z782" s="3"/>
      <c r="AA782" s="6">
        <f>H782*I782/100</f>
      </c>
      <c r="AB782" s="6">
        <f>H782*J782/100</f>
      </c>
      <c r="AC782" s="7">
        <f>H782*K782</f>
      </c>
      <c r="AD782" s="7">
        <f>H782*M782</f>
      </c>
      <c r="AE782" s="6">
        <f>H782*L782/100</f>
      </c>
      <c r="AF782" s="6">
        <f>AA782+AB782+AE782</f>
      </c>
      <c r="AG782" s="6">
        <f>I782+J782+L782</f>
      </c>
      <c r="AH782" s="53">
        <f>$H782*I782</f>
      </c>
      <c r="AI782" s="53">
        <f>$H782*J782</f>
      </c>
      <c r="AJ782" s="53">
        <f>$H782*K782</f>
      </c>
      <c r="AK782" s="53">
        <f>$H782*L782</f>
      </c>
      <c r="AL782" s="53">
        <f>$H782*M782</f>
      </c>
      <c r="AM782" s="3"/>
      <c r="AN782" s="5"/>
      <c r="AO782" s="5"/>
      <c r="AP782" s="5"/>
      <c r="AQ782" s="3"/>
    </row>
    <row x14ac:dyDescent="0.25" r="783" customHeight="1" ht="12.75">
      <c r="A783" s="5" t="s">
        <v>311</v>
      </c>
      <c r="B783" s="3" t="s">
        <v>1143</v>
      </c>
      <c r="C783" s="3" t="s">
        <v>866</v>
      </c>
      <c r="D783" s="3" t="s">
        <v>989</v>
      </c>
      <c r="E783" s="3" t="s">
        <v>855</v>
      </c>
      <c r="F783" s="3" t="s">
        <v>1736</v>
      </c>
      <c r="G783" s="3" t="s">
        <v>1737</v>
      </c>
      <c r="H783" s="6">
        <v>347.767739</v>
      </c>
      <c r="I783" s="6">
        <v>0.09</v>
      </c>
      <c r="J783" s="6">
        <v>0.37</v>
      </c>
      <c r="K783" s="5"/>
      <c r="L783" s="6"/>
      <c r="M783" s="6"/>
      <c r="N783" s="7"/>
      <c r="O783" s="23"/>
      <c r="P783" s="6"/>
      <c r="Q783" s="6"/>
      <c r="R783" s="31"/>
      <c r="S783" s="6"/>
      <c r="T783" s="31"/>
      <c r="U783" s="6"/>
      <c r="V783" s="23"/>
      <c r="W783" s="6"/>
      <c r="X783" s="6"/>
      <c r="Y783" s="5"/>
      <c r="Z783" s="3"/>
      <c r="AA783" s="6">
        <f>H783*I783/100</f>
      </c>
      <c r="AB783" s="6">
        <f>H783*J783/100</f>
      </c>
      <c r="AC783" s="7">
        <f>H783*K783</f>
      </c>
      <c r="AD783" s="7">
        <f>H783*M783</f>
      </c>
      <c r="AE783" s="6">
        <f>H783*L783/100</f>
      </c>
      <c r="AF783" s="6">
        <f>AA783+AB783+AE783</f>
      </c>
      <c r="AG783" s="6">
        <f>I783+J783+L783</f>
      </c>
      <c r="AH783" s="53">
        <f>$H783*I783</f>
      </c>
      <c r="AI783" s="53">
        <f>$H783*J783</f>
      </c>
      <c r="AJ783" s="53">
        <f>$H783*K783</f>
      </c>
      <c r="AK783" s="53">
        <f>$H783*L783</f>
      </c>
      <c r="AL783" s="53">
        <f>$H783*M783</f>
      </c>
      <c r="AM783" s="3"/>
      <c r="AN783" s="5"/>
      <c r="AO783" s="5"/>
      <c r="AP783" s="5"/>
      <c r="AQ783" s="3"/>
    </row>
    <row x14ac:dyDescent="0.25" r="784" customHeight="1" ht="12.75">
      <c r="A784" s="5" t="s">
        <v>547</v>
      </c>
      <c r="B784" s="3" t="s">
        <v>1143</v>
      </c>
      <c r="C784" s="3" t="s">
        <v>870</v>
      </c>
      <c r="D784" s="3"/>
      <c r="E784" s="3" t="s">
        <v>855</v>
      </c>
      <c r="F784" s="3" t="s">
        <v>1738</v>
      </c>
      <c r="G784" s="3" t="s">
        <v>1698</v>
      </c>
      <c r="H784" s="6">
        <v>14.91</v>
      </c>
      <c r="I784" s="6">
        <v>0.58</v>
      </c>
      <c r="J784" s="6">
        <v>3.04</v>
      </c>
      <c r="K784" s="6">
        <v>18.79</v>
      </c>
      <c r="L784" s="6">
        <v>0.45</v>
      </c>
      <c r="M784" s="6">
        <v>0.03</v>
      </c>
      <c r="N784" s="7"/>
      <c r="O784" s="23"/>
      <c r="P784" s="6"/>
      <c r="Q784" s="6"/>
      <c r="R784" s="31"/>
      <c r="S784" s="6"/>
      <c r="T784" s="31"/>
      <c r="U784" s="6"/>
      <c r="V784" s="23"/>
      <c r="W784" s="6"/>
      <c r="X784" s="6"/>
      <c r="Y784" s="5"/>
      <c r="Z784" s="3"/>
      <c r="AA784" s="6">
        <f>H784*I784/100</f>
      </c>
      <c r="AB784" s="6">
        <f>H784*J784/100</f>
      </c>
      <c r="AC784" s="7">
        <f>H784*K784</f>
      </c>
      <c r="AD784" s="7">
        <f>H784*M784</f>
      </c>
      <c r="AE784" s="6">
        <f>H784*L784/100</f>
      </c>
      <c r="AF784" s="6">
        <f>AA784+AB784+AE784</f>
      </c>
      <c r="AG784" s="6">
        <f>I784+J784+L784</f>
      </c>
      <c r="AH784" s="53">
        <f>$H784*I784</f>
      </c>
      <c r="AI784" s="53">
        <f>$H784*J784</f>
      </c>
      <c r="AJ784" s="53">
        <f>$H784*K784</f>
      </c>
      <c r="AK784" s="53">
        <f>$H784*L784</f>
      </c>
      <c r="AL784" s="53">
        <f>$H784*M784</f>
      </c>
      <c r="AM784" s="3"/>
      <c r="AN784" s="5"/>
      <c r="AO784" s="5"/>
      <c r="AP784" s="5"/>
      <c r="AQ784" s="3"/>
    </row>
    <row x14ac:dyDescent="0.25" r="785" customHeight="1" ht="12.75">
      <c r="A785" s="5" t="s">
        <v>748</v>
      </c>
      <c r="B785" s="3" t="s">
        <v>1143</v>
      </c>
      <c r="C785" s="3" t="s">
        <v>870</v>
      </c>
      <c r="D785" s="3"/>
      <c r="E785" s="3" t="s">
        <v>855</v>
      </c>
      <c r="F785" s="3" t="s">
        <v>1738</v>
      </c>
      <c r="G785" s="3" t="s">
        <v>1698</v>
      </c>
      <c r="H785" s="6">
        <v>1.13</v>
      </c>
      <c r="I785" s="6">
        <v>3.95</v>
      </c>
      <c r="J785" s="6">
        <v>0.64</v>
      </c>
      <c r="K785" s="5">
        <v>38</v>
      </c>
      <c r="L785" s="6">
        <v>0.01</v>
      </c>
      <c r="M785" s="6"/>
      <c r="N785" s="7"/>
      <c r="O785" s="23"/>
      <c r="P785" s="6"/>
      <c r="Q785" s="6"/>
      <c r="R785" s="31"/>
      <c r="S785" s="6"/>
      <c r="T785" s="31"/>
      <c r="U785" s="6"/>
      <c r="V785" s="23"/>
      <c r="W785" s="6"/>
      <c r="X785" s="6"/>
      <c r="Y785" s="5"/>
      <c r="Z785" s="3"/>
      <c r="AA785" s="6">
        <f>H785*I785/100</f>
      </c>
      <c r="AB785" s="6">
        <f>H785*J785/100</f>
      </c>
      <c r="AC785" s="7">
        <f>H785*K785</f>
      </c>
      <c r="AD785" s="7">
        <f>H785*M785</f>
      </c>
      <c r="AE785" s="6">
        <f>H785*L785/100</f>
      </c>
      <c r="AF785" s="6">
        <f>AA785+AB785+AE785</f>
      </c>
      <c r="AG785" s="6">
        <f>I785+J785+L785</f>
      </c>
      <c r="AH785" s="53">
        <f>$H785*I785</f>
      </c>
      <c r="AI785" s="53">
        <f>$H785*J785</f>
      </c>
      <c r="AJ785" s="53">
        <f>$H785*K785</f>
      </c>
      <c r="AK785" s="53">
        <f>$H785*L785</f>
      </c>
      <c r="AL785" s="53">
        <f>$H785*M785</f>
      </c>
      <c r="AM785" s="3"/>
      <c r="AN785" s="5"/>
      <c r="AO785" s="5"/>
      <c r="AP785" s="5"/>
      <c r="AQ785" s="3"/>
    </row>
    <row x14ac:dyDescent="0.25" r="786" customHeight="1" ht="12.75">
      <c r="A786" s="5" t="s">
        <v>432</v>
      </c>
      <c r="B786" s="3" t="s">
        <v>1143</v>
      </c>
      <c r="C786" s="3" t="s">
        <v>870</v>
      </c>
      <c r="D786" s="3"/>
      <c r="E786" s="3" t="s">
        <v>855</v>
      </c>
      <c r="F786" s="3" t="s">
        <v>1738</v>
      </c>
      <c r="G786" s="3" t="s">
        <v>1698</v>
      </c>
      <c r="H786" s="6">
        <v>26.01</v>
      </c>
      <c r="I786" s="6">
        <v>0.49</v>
      </c>
      <c r="J786" s="6">
        <v>1.76</v>
      </c>
      <c r="K786" s="6">
        <v>21.7</v>
      </c>
      <c r="L786" s="6">
        <v>0.64</v>
      </c>
      <c r="M786" s="6">
        <v>0.84</v>
      </c>
      <c r="N786" s="7"/>
      <c r="O786" s="23"/>
      <c r="P786" s="6"/>
      <c r="Q786" s="6"/>
      <c r="R786" s="31"/>
      <c r="S786" s="6"/>
      <c r="T786" s="31"/>
      <c r="U786" s="6"/>
      <c r="V786" s="23"/>
      <c r="W786" s="6"/>
      <c r="X786" s="6"/>
      <c r="Y786" s="5"/>
      <c r="Z786" s="3"/>
      <c r="AA786" s="6">
        <f>H786*I786/100</f>
      </c>
      <c r="AB786" s="6">
        <f>H786*J786/100</f>
      </c>
      <c r="AC786" s="7">
        <f>H786*K786</f>
      </c>
      <c r="AD786" s="7">
        <f>H786*M786</f>
      </c>
      <c r="AE786" s="6">
        <f>H786*L786/100</f>
      </c>
      <c r="AF786" s="6">
        <f>AA786+AB786+AE786</f>
      </c>
      <c r="AG786" s="6">
        <f>I786+J786+L786</f>
      </c>
      <c r="AH786" s="53">
        <f>$H786*I786</f>
      </c>
      <c r="AI786" s="53">
        <f>$H786*J786</f>
      </c>
      <c r="AJ786" s="53">
        <f>$H786*K786</f>
      </c>
      <c r="AK786" s="53">
        <f>$H786*L786</f>
      </c>
      <c r="AL786" s="53">
        <f>$H786*M786</f>
      </c>
      <c r="AM786" s="3"/>
      <c r="AN786" s="5"/>
      <c r="AO786" s="5"/>
      <c r="AP786" s="5"/>
      <c r="AQ786" s="3"/>
    </row>
    <row x14ac:dyDescent="0.25" r="787" customHeight="1" ht="12.75">
      <c r="A787" s="5" t="s">
        <v>454</v>
      </c>
      <c r="B787" s="3" t="s">
        <v>1144</v>
      </c>
      <c r="C787" s="3" t="s">
        <v>869</v>
      </c>
      <c r="D787" s="3"/>
      <c r="E787" s="38" t="s">
        <v>859</v>
      </c>
      <c r="F787" s="3" t="s">
        <v>1739</v>
      </c>
      <c r="G787" s="3" t="s">
        <v>1740</v>
      </c>
      <c r="H787" s="6">
        <f>3.6+3.6</f>
      </c>
      <c r="I787" s="6">
        <f>(3.5*3.6+3.4*3.6)/$H787</f>
      </c>
      <c r="J787" s="6">
        <f>(4.8*3.6+4.8*3.6)/$H787</f>
      </c>
      <c r="K787" s="5"/>
      <c r="L787" s="6"/>
      <c r="M787" s="6"/>
      <c r="N787" s="7"/>
      <c r="O787" s="23"/>
      <c r="P787" s="6"/>
      <c r="Q787" s="6"/>
      <c r="R787" s="31"/>
      <c r="S787" s="6"/>
      <c r="T787" s="31"/>
      <c r="U787" s="6"/>
      <c r="V787" s="23"/>
      <c r="W787" s="6"/>
      <c r="X787" s="6"/>
      <c r="Y787" s="5"/>
      <c r="Z787" s="3"/>
      <c r="AA787" s="6">
        <f>H787*I787/100</f>
      </c>
      <c r="AB787" s="6">
        <f>H787*J787/100</f>
      </c>
      <c r="AC787" s="7">
        <f>H787*K787</f>
      </c>
      <c r="AD787" s="7">
        <f>H787*M787</f>
      </c>
      <c r="AE787" s="6">
        <f>H787*L787/100</f>
      </c>
      <c r="AF787" s="6">
        <f>AA787+AB787+AE787</f>
      </c>
      <c r="AG787" s="6">
        <f>I787+J787+L787</f>
      </c>
      <c r="AH787" s="53">
        <f>$H787*I787</f>
      </c>
      <c r="AI787" s="53">
        <f>$H787*J787</f>
      </c>
      <c r="AJ787" s="53">
        <f>$H787*K787</f>
      </c>
      <c r="AK787" s="53">
        <f>$H787*L787</f>
      </c>
      <c r="AL787" s="53">
        <f>$H787*M787</f>
      </c>
      <c r="AM787" s="3"/>
      <c r="AN787" s="5"/>
      <c r="AO787" s="5"/>
      <c r="AP787" s="5"/>
      <c r="AQ787" s="3"/>
    </row>
    <row x14ac:dyDescent="0.25" r="788" customHeight="1" ht="12.75">
      <c r="A788" s="5" t="s">
        <v>193</v>
      </c>
      <c r="B788" s="3" t="s">
        <v>1145</v>
      </c>
      <c r="C788" s="3" t="s">
        <v>870</v>
      </c>
      <c r="D788" s="3"/>
      <c r="E788" s="3" t="s">
        <v>855</v>
      </c>
      <c r="F788" s="3" t="s">
        <v>1741</v>
      </c>
      <c r="G788" s="3" t="s">
        <v>1742</v>
      </c>
      <c r="H788" s="6">
        <f>5.39+7.13+5.4+6.76+0.93+1.89+0.87+1.94+1.34+6.25+0.22</f>
      </c>
      <c r="I788" s="7">
        <f>(1.8*5.39+2.3*7.13+0.2*5.4+0.3*6.76+0.1*0.93+0.1*1.89+2.63*0.87+1.31*1.94+0.08*1.34+0.5*6.25+0.02*0.22)/$H788</f>
      </c>
      <c r="J788" s="7">
        <f>(6.7*5.39+7.8*7.13+0.9*5.4+1.1*6.76+0.3*0.93+0.1*1.89+10.33*0.87+4*1.94+0.61*1.34+1.51*6.25+0.05*0.22)/$H788</f>
      </c>
      <c r="K788" s="7">
        <f>(56.3*5.39+80.1*7.13+23*5.4+32.1*6.76+9.4*0.93+6.1*1.89+111.2*0.87+64.7*1.94+23*1.34+37.7*6.25+4.6*0.22)/$H788</f>
      </c>
      <c r="L788" s="7">
        <f>(0.6*5.39+1.3*7.13+1.9*5.4+2.4*6.76+2*0.93+1.7*1.89+1.24*0.87+1.64*1.94+3.52*1.34+1.99*6.25+1.38*0.22)/$H788</f>
      </c>
      <c r="M788" s="7">
        <f>(0.8*5.39+0.8*7.13+0.4*5.4+0.5*6.76+0.1*0.93+0.1*1.89+0.88*0.87+0.56*1.94+0.44*1.34+0.67*6.25+0.03*0.22)/$H788</f>
      </c>
      <c r="N788" s="7"/>
      <c r="O788" s="23"/>
      <c r="P788" s="6"/>
      <c r="Q788" s="6"/>
      <c r="R788" s="31"/>
      <c r="S788" s="6"/>
      <c r="T788" s="31"/>
      <c r="U788" s="6"/>
      <c r="V788" s="23"/>
      <c r="W788" s="6"/>
      <c r="X788" s="6"/>
      <c r="Y788" s="5"/>
      <c r="Z788" s="3"/>
      <c r="AA788" s="6">
        <f>H788*I788/100</f>
      </c>
      <c r="AB788" s="6">
        <f>H788*J788/100</f>
      </c>
      <c r="AC788" s="7">
        <f>H788*K788</f>
      </c>
      <c r="AD788" s="7">
        <f>H788*M788</f>
      </c>
      <c r="AE788" s="6">
        <f>H788*L788/100</f>
      </c>
      <c r="AF788" s="6">
        <f>AA788+AB788+AE788</f>
      </c>
      <c r="AG788" s="6">
        <f>I788+J788+L788</f>
      </c>
      <c r="AH788" s="53">
        <f>$H788*I788</f>
      </c>
      <c r="AI788" s="53">
        <f>$H788*J788</f>
      </c>
      <c r="AJ788" s="53">
        <f>$H788*K788</f>
      </c>
      <c r="AK788" s="53">
        <f>$H788*L788</f>
      </c>
      <c r="AL788" s="53">
        <f>$H788*M788</f>
      </c>
      <c r="AM788" s="3"/>
      <c r="AN788" s="5"/>
      <c r="AO788" s="5"/>
      <c r="AP788" s="5"/>
      <c r="AQ788" s="3"/>
    </row>
    <row x14ac:dyDescent="0.25" r="789" customHeight="1" ht="12.75">
      <c r="A789" s="5" t="s">
        <v>267</v>
      </c>
      <c r="B789" s="3" t="s">
        <v>1145</v>
      </c>
      <c r="C789" s="3" t="s">
        <v>870</v>
      </c>
      <c r="D789" s="3"/>
      <c r="E789" s="3" t="s">
        <v>855</v>
      </c>
      <c r="F789" s="3" t="s">
        <v>1551</v>
      </c>
      <c r="G789" s="3" t="s">
        <v>1185</v>
      </c>
      <c r="H789" s="6">
        <f>1.401+1.076+38.231</f>
      </c>
      <c r="I789" s="6">
        <f>(4.82*1.401+2.1*1.076+1.29*38.231)/$H789</f>
      </c>
      <c r="J789" s="6">
        <f>(0*1.401+0*1.076+2.61*38.231)/$H789</f>
      </c>
      <c r="K789" s="7">
        <f>(104*1.401+39*1.076+27*38.231)/$H789</f>
      </c>
      <c r="L789" s="6">
        <f>(0*1.401+0*1.076+1.05*38.231)/$H789</f>
      </c>
      <c r="M789" s="6">
        <f>(3.25*1.401+2.3*1.076+0*38.231)/$H789</f>
      </c>
      <c r="N789" s="7"/>
      <c r="O789" s="23"/>
      <c r="P789" s="6"/>
      <c r="Q789" s="6"/>
      <c r="R789" s="31"/>
      <c r="S789" s="6"/>
      <c r="T789" s="31"/>
      <c r="U789" s="6"/>
      <c r="V789" s="23"/>
      <c r="W789" s="6"/>
      <c r="X789" s="6"/>
      <c r="Y789" s="5"/>
      <c r="Z789" s="3"/>
      <c r="AA789" s="6">
        <f>H789*I789/100</f>
      </c>
      <c r="AB789" s="6">
        <f>H789*J789/100</f>
      </c>
      <c r="AC789" s="7">
        <f>H789*K789</f>
      </c>
      <c r="AD789" s="7">
        <f>H789*M789</f>
      </c>
      <c r="AE789" s="6">
        <f>H789*L789/100</f>
      </c>
      <c r="AF789" s="6">
        <f>AA789+AB789+AE789</f>
      </c>
      <c r="AG789" s="6">
        <f>I789+J789+L789</f>
      </c>
      <c r="AH789" s="53">
        <f>$H789*I789</f>
      </c>
      <c r="AI789" s="53">
        <f>$H789*J789</f>
      </c>
      <c r="AJ789" s="53">
        <f>$H789*K789</f>
      </c>
      <c r="AK789" s="53">
        <f>$H789*L789</f>
      </c>
      <c r="AL789" s="53">
        <f>$H789*M789</f>
      </c>
      <c r="AM789" s="3"/>
      <c r="AN789" s="5"/>
      <c r="AO789" s="5"/>
      <c r="AP789" s="5"/>
      <c r="AQ789" s="3"/>
    </row>
    <row x14ac:dyDescent="0.25" r="790" customHeight="1" ht="12.75">
      <c r="A790" s="5" t="s">
        <v>273</v>
      </c>
      <c r="B790" s="3" t="s">
        <v>1145</v>
      </c>
      <c r="C790" s="3" t="s">
        <v>870</v>
      </c>
      <c r="D790" s="3"/>
      <c r="E790" s="3" t="s">
        <v>855</v>
      </c>
      <c r="F790" s="3" t="s">
        <v>1743</v>
      </c>
      <c r="G790" s="3" t="s">
        <v>1339</v>
      </c>
      <c r="H790" s="6">
        <v>30.35</v>
      </c>
      <c r="I790" s="6">
        <v>0.67</v>
      </c>
      <c r="J790" s="6">
        <v>2.35</v>
      </c>
      <c r="K790" s="7">
        <v>46.56</v>
      </c>
      <c r="L790" s="6">
        <v>0.67</v>
      </c>
      <c r="M790" s="6">
        <v>2.31</v>
      </c>
      <c r="N790" s="7"/>
      <c r="O790" s="23"/>
      <c r="P790" s="6"/>
      <c r="Q790" s="6"/>
      <c r="R790" s="31"/>
      <c r="S790" s="6"/>
      <c r="T790" s="31"/>
      <c r="U790" s="6"/>
      <c r="V790" s="23"/>
      <c r="W790" s="6"/>
      <c r="X790" s="6"/>
      <c r="Y790" s="5"/>
      <c r="Z790" s="3"/>
      <c r="AA790" s="6">
        <f>H790*I790/100</f>
      </c>
      <c r="AB790" s="6">
        <f>H790*J790/100</f>
      </c>
      <c r="AC790" s="7">
        <f>H790*K790</f>
      </c>
      <c r="AD790" s="7">
        <f>H790*M790</f>
      </c>
      <c r="AE790" s="6">
        <f>H790*L790/100</f>
      </c>
      <c r="AF790" s="6">
        <f>AA790+AB790+AE790</f>
      </c>
      <c r="AG790" s="6">
        <f>I790+J790+L790</f>
      </c>
      <c r="AH790" s="53">
        <f>$H790*I790</f>
      </c>
      <c r="AI790" s="53">
        <f>$H790*J790</f>
      </c>
      <c r="AJ790" s="53">
        <f>$H790*K790</f>
      </c>
      <c r="AK790" s="53">
        <f>$H790*L790</f>
      </c>
      <c r="AL790" s="53">
        <f>$H790*M790</f>
      </c>
      <c r="AM790" s="3"/>
      <c r="AN790" s="5"/>
      <c r="AO790" s="5"/>
      <c r="AP790" s="5"/>
      <c r="AQ790" s="3"/>
    </row>
    <row x14ac:dyDescent="0.25" r="791" customHeight="1" ht="12.75">
      <c r="A791" s="5" t="s">
        <v>155</v>
      </c>
      <c r="B791" s="3" t="s">
        <v>1145</v>
      </c>
      <c r="C791" s="3" t="s">
        <v>870</v>
      </c>
      <c r="D791" s="3"/>
      <c r="E791" s="3" t="s">
        <v>855</v>
      </c>
      <c r="F791" s="3" t="s">
        <v>1744</v>
      </c>
      <c r="G791" s="3" t="s">
        <v>1745</v>
      </c>
      <c r="H791" s="7">
        <v>134.082009</v>
      </c>
      <c r="I791" s="6">
        <v>0.45</v>
      </c>
      <c r="J791" s="6">
        <v>1.1</v>
      </c>
      <c r="K791" s="6">
        <v>26.8</v>
      </c>
      <c r="L791" s="6">
        <v>0.54</v>
      </c>
      <c r="M791" s="6">
        <v>0.51</v>
      </c>
      <c r="N791" s="7"/>
      <c r="O791" s="23"/>
      <c r="P791" s="6"/>
      <c r="Q791" s="6"/>
      <c r="R791" s="31"/>
      <c r="S791" s="6"/>
      <c r="T791" s="31"/>
      <c r="U791" s="6"/>
      <c r="V791" s="23"/>
      <c r="W791" s="6"/>
      <c r="X791" s="6"/>
      <c r="Y791" s="5"/>
      <c r="Z791" s="3"/>
      <c r="AA791" s="6">
        <f>H791*I791/100</f>
      </c>
      <c r="AB791" s="6">
        <f>H791*J791/100</f>
      </c>
      <c r="AC791" s="7">
        <f>H791*K791</f>
      </c>
      <c r="AD791" s="7">
        <f>H791*M791</f>
      </c>
      <c r="AE791" s="6">
        <f>H791*L791/100</f>
      </c>
      <c r="AF791" s="6">
        <f>AA791+AB791+AE791</f>
      </c>
      <c r="AG791" s="6">
        <f>I791+J791+L791</f>
      </c>
      <c r="AH791" s="53">
        <f>$H791*I791</f>
      </c>
      <c r="AI791" s="53">
        <f>$H791*J791</f>
      </c>
      <c r="AJ791" s="53">
        <f>$H791*K791</f>
      </c>
      <c r="AK791" s="53">
        <f>$H791*L791</f>
      </c>
      <c r="AL791" s="53">
        <f>$H791*M791</f>
      </c>
      <c r="AM791" s="3"/>
      <c r="AN791" s="5"/>
      <c r="AO791" s="5"/>
      <c r="AP791" s="5"/>
      <c r="AQ791" s="3"/>
    </row>
    <row x14ac:dyDescent="0.25" r="792" customHeight="1" ht="12.75">
      <c r="A792" s="5" t="s">
        <v>110</v>
      </c>
      <c r="B792" s="3" t="s">
        <v>1145</v>
      </c>
      <c r="C792" s="3" t="s">
        <v>866</v>
      </c>
      <c r="D792" s="3" t="s">
        <v>988</v>
      </c>
      <c r="E792" s="38" t="s">
        <v>859</v>
      </c>
      <c r="F792" s="3" t="s">
        <v>1710</v>
      </c>
      <c r="G792" s="3" t="s">
        <v>1511</v>
      </c>
      <c r="H792" s="7">
        <v>5</v>
      </c>
      <c r="I792" s="6">
        <v>7.6</v>
      </c>
      <c r="J792" s="6">
        <v>8.9</v>
      </c>
      <c r="K792" s="5">
        <v>51</v>
      </c>
      <c r="L792" s="6"/>
      <c r="M792" s="6"/>
      <c r="N792" s="7"/>
      <c r="O792" s="23"/>
      <c r="P792" s="6"/>
      <c r="Q792" s="6"/>
      <c r="R792" s="31"/>
      <c r="S792" s="6"/>
      <c r="T792" s="31"/>
      <c r="U792" s="6"/>
      <c r="V792" s="23"/>
      <c r="W792" s="6"/>
      <c r="X792" s="6"/>
      <c r="Y792" s="5"/>
      <c r="Z792" s="3"/>
      <c r="AA792" s="6">
        <f>H792*I792/100</f>
      </c>
      <c r="AB792" s="6">
        <f>H792*J792/100</f>
      </c>
      <c r="AC792" s="7">
        <f>H792*K792</f>
      </c>
      <c r="AD792" s="7">
        <f>H792*M792</f>
      </c>
      <c r="AE792" s="6">
        <f>H792*L792/100</f>
      </c>
      <c r="AF792" s="15">
        <f>AA792+AB792+AE792</f>
      </c>
      <c r="AG792" s="6">
        <f>I792+J792+L792</f>
      </c>
      <c r="AH792" s="53">
        <f>$H792*I792</f>
      </c>
      <c r="AI792" s="53">
        <f>$H792*J792</f>
      </c>
      <c r="AJ792" s="53">
        <f>$H792*K792</f>
      </c>
      <c r="AK792" s="53">
        <f>$H792*L792</f>
      </c>
      <c r="AL792" s="53">
        <f>$H792*M792</f>
      </c>
      <c r="AM792" s="3"/>
      <c r="AN792" s="5"/>
      <c r="AO792" s="5"/>
      <c r="AP792" s="5"/>
      <c r="AQ792" s="3"/>
    </row>
    <row x14ac:dyDescent="0.25" r="793" customHeight="1" ht="12.75">
      <c r="A793" s="5" t="s">
        <v>291</v>
      </c>
      <c r="B793" s="3" t="s">
        <v>1145</v>
      </c>
      <c r="C793" s="3" t="s">
        <v>863</v>
      </c>
      <c r="D793" s="3"/>
      <c r="E793" s="3" t="s">
        <v>855</v>
      </c>
      <c r="F793" s="3" t="s">
        <v>1708</v>
      </c>
      <c r="G793" s="3" t="s">
        <v>1347</v>
      </c>
      <c r="H793" s="6">
        <v>22.7</v>
      </c>
      <c r="I793" s="6">
        <v>3.18</v>
      </c>
      <c r="J793" s="6">
        <v>4.16</v>
      </c>
      <c r="K793" s="6">
        <v>24.4</v>
      </c>
      <c r="L793" s="6">
        <v>0.13</v>
      </c>
      <c r="M793" s="6"/>
      <c r="N793" s="7"/>
      <c r="O793" s="23"/>
      <c r="P793" s="6"/>
      <c r="Q793" s="6"/>
      <c r="R793" s="31"/>
      <c r="S793" s="6"/>
      <c r="T793" s="31"/>
      <c r="U793" s="6"/>
      <c r="V793" s="23"/>
      <c r="W793" s="6"/>
      <c r="X793" s="6"/>
      <c r="Y793" s="5"/>
      <c r="Z793" s="3"/>
      <c r="AA793" s="6">
        <f>H793*I793/100</f>
      </c>
      <c r="AB793" s="6">
        <f>H793*J793/100</f>
      </c>
      <c r="AC793" s="7">
        <f>H793*K793</f>
      </c>
      <c r="AD793" s="7">
        <f>H793*M793</f>
      </c>
      <c r="AE793" s="6">
        <f>H793*L793/100</f>
      </c>
      <c r="AF793" s="6">
        <f>AA793+AB793+AE793</f>
      </c>
      <c r="AG793" s="6">
        <f>I793+J793+L793</f>
      </c>
      <c r="AH793" s="53">
        <f>$H793*I793</f>
      </c>
      <c r="AI793" s="53">
        <f>$H793*J793</f>
      </c>
      <c r="AJ793" s="53">
        <f>$H793*K793</f>
      </c>
      <c r="AK793" s="53">
        <f>$H793*L793</f>
      </c>
      <c r="AL793" s="53">
        <f>$H793*M793</f>
      </c>
      <c r="AM793" s="3"/>
      <c r="AN793" s="5"/>
      <c r="AO793" s="5"/>
      <c r="AP793" s="5"/>
      <c r="AQ793" s="3"/>
    </row>
    <row x14ac:dyDescent="0.25" r="794" customHeight="1" ht="12.75">
      <c r="A794" s="5" t="s">
        <v>689</v>
      </c>
      <c r="B794" s="3" t="s">
        <v>1146</v>
      </c>
      <c r="C794" s="3" t="s">
        <v>866</v>
      </c>
      <c r="D794" s="3" t="s">
        <v>988</v>
      </c>
      <c r="E794" s="38" t="s">
        <v>859</v>
      </c>
      <c r="F794" s="3" t="s">
        <v>1171</v>
      </c>
      <c r="G794" s="3" t="s">
        <v>1173</v>
      </c>
      <c r="H794" s="6">
        <v>3.6</v>
      </c>
      <c r="I794" s="6"/>
      <c r="J794" s="6">
        <v>4.9</v>
      </c>
      <c r="K794" s="5">
        <v>72</v>
      </c>
      <c r="L794" s="6">
        <v>0.6</v>
      </c>
      <c r="M794" s="6"/>
      <c r="N794" s="7"/>
      <c r="O794" s="23"/>
      <c r="P794" s="6"/>
      <c r="Q794" s="6"/>
      <c r="R794" s="31"/>
      <c r="S794" s="6"/>
      <c r="T794" s="31"/>
      <c r="U794" s="6"/>
      <c r="V794" s="23"/>
      <c r="W794" s="6"/>
      <c r="X794" s="6"/>
      <c r="Y794" s="5"/>
      <c r="Z794" s="3"/>
      <c r="AA794" s="6">
        <f>H794*I794/100</f>
      </c>
      <c r="AB794" s="6">
        <f>H794*J794/100</f>
      </c>
      <c r="AC794" s="7">
        <f>H794*K794</f>
      </c>
      <c r="AD794" s="7">
        <f>H794*M794</f>
      </c>
      <c r="AE794" s="6">
        <f>H794*L794/100</f>
      </c>
      <c r="AF794" s="6">
        <f>AA794+AB794+AE794</f>
      </c>
      <c r="AG794" s="6">
        <f>I794+J794+L794</f>
      </c>
      <c r="AH794" s="53">
        <f>$H794*I794</f>
      </c>
      <c r="AI794" s="53">
        <f>$H794*J794</f>
      </c>
      <c r="AJ794" s="53">
        <f>$H794*K794</f>
      </c>
      <c r="AK794" s="53">
        <f>$H794*L794</f>
      </c>
      <c r="AL794" s="53">
        <f>$H794*M794</f>
      </c>
      <c r="AM794" s="3"/>
      <c r="AN794" s="5"/>
      <c r="AO794" s="5"/>
      <c r="AP794" s="5"/>
      <c r="AQ794" s="3"/>
    </row>
    <row x14ac:dyDescent="0.25" r="795" customHeight="1" ht="12.75">
      <c r="A795" s="5" t="s">
        <v>136</v>
      </c>
      <c r="B795" s="3" t="s">
        <v>1146</v>
      </c>
      <c r="C795" s="3" t="s">
        <v>870</v>
      </c>
      <c r="D795" s="3"/>
      <c r="E795" s="3" t="s">
        <v>855</v>
      </c>
      <c r="F795" s="3" t="s">
        <v>1746</v>
      </c>
      <c r="G795" s="3" t="s">
        <v>1747</v>
      </c>
      <c r="H795" s="6">
        <f>80.75+36.31</f>
      </c>
      <c r="I795" s="6"/>
      <c r="J795" s="6">
        <f>(0.65*80.75+0.7*36.31)/$H795</f>
      </c>
      <c r="K795" s="5"/>
      <c r="L795" s="6">
        <f>(1.12*80.75+1.11*36.31)/$H795</f>
      </c>
      <c r="M795" s="6">
        <f>(1.27*80.75+1.09*36.31)/$H795</f>
      </c>
      <c r="N795" s="7"/>
      <c r="O795" s="23"/>
      <c r="P795" s="6"/>
      <c r="Q795" s="6"/>
      <c r="R795" s="31"/>
      <c r="S795" s="6"/>
      <c r="T795" s="31"/>
      <c r="U795" s="6"/>
      <c r="V795" s="23"/>
      <c r="W795" s="6"/>
      <c r="X795" s="6"/>
      <c r="Y795" s="5"/>
      <c r="Z795" s="3"/>
      <c r="AA795" s="6">
        <f>H795*I795/100</f>
      </c>
      <c r="AB795" s="6">
        <f>H795*J795/100</f>
      </c>
      <c r="AC795" s="7">
        <f>H795*K795</f>
      </c>
      <c r="AD795" s="7">
        <f>H795*M795</f>
      </c>
      <c r="AE795" s="6">
        <f>H795*L795/100</f>
      </c>
      <c r="AF795" s="6">
        <f>AA795+AB795+AE795</f>
      </c>
      <c r="AG795" s="6">
        <f>I795+J795+L795</f>
      </c>
      <c r="AH795" s="53">
        <f>$H795*I795</f>
      </c>
      <c r="AI795" s="53">
        <f>$H795*J795</f>
      </c>
      <c r="AJ795" s="53">
        <f>$H795*K795</f>
      </c>
      <c r="AK795" s="53">
        <f>$H795*L795</f>
      </c>
      <c r="AL795" s="53">
        <f>$H795*M795</f>
      </c>
      <c r="AM795" s="3"/>
      <c r="AN795" s="5"/>
      <c r="AO795" s="5"/>
      <c r="AP795" s="5"/>
      <c r="AQ795" s="3"/>
    </row>
    <row x14ac:dyDescent="0.25" r="796" customHeight="1" ht="12.75">
      <c r="A796" s="5" t="s">
        <v>834</v>
      </c>
      <c r="B796" s="3" t="s">
        <v>1147</v>
      </c>
      <c r="C796" s="3" t="s">
        <v>1030</v>
      </c>
      <c r="D796" s="3"/>
      <c r="E796" s="3" t="s">
        <v>855</v>
      </c>
      <c r="F796" s="3" t="s">
        <v>1748</v>
      </c>
      <c r="G796" s="3" t="s">
        <v>1620</v>
      </c>
      <c r="H796" s="6">
        <f>0.17+0.37</f>
      </c>
      <c r="I796" s="6"/>
      <c r="J796" s="6">
        <f>(0.61*0.17+0.39*0.37)/$H796</f>
      </c>
      <c r="K796" s="7">
        <f>(24.95*0.17+11.72*0.37)/$H796</f>
      </c>
      <c r="L796" s="6">
        <f>(0.43*0.17+0.25*0.37)/$H796</f>
      </c>
      <c r="M796" s="6">
        <f>(2.11*0.17+1.42*0.37)/$H796</f>
      </c>
      <c r="N796" s="7"/>
      <c r="O796" s="23"/>
      <c r="P796" s="6"/>
      <c r="Q796" s="6"/>
      <c r="R796" s="31"/>
      <c r="S796" s="6"/>
      <c r="T796" s="31"/>
      <c r="U796" s="6"/>
      <c r="V796" s="23"/>
      <c r="W796" s="6"/>
      <c r="X796" s="6"/>
      <c r="Y796" s="5"/>
      <c r="Z796" s="3"/>
      <c r="AA796" s="6">
        <f>H796*I796/100</f>
      </c>
      <c r="AB796" s="6">
        <f>H796*J796/100</f>
      </c>
      <c r="AC796" s="7">
        <f>H796*K796</f>
      </c>
      <c r="AD796" s="7">
        <f>H796*M796</f>
      </c>
      <c r="AE796" s="6">
        <f>H796*L796/100</f>
      </c>
      <c r="AF796" s="6">
        <f>AA796+AB796+AE796</f>
      </c>
      <c r="AG796" s="6">
        <f>I796+J796+L796</f>
      </c>
      <c r="AH796" s="53">
        <f>$H796*I796</f>
      </c>
      <c r="AI796" s="53">
        <f>$H796*J796</f>
      </c>
      <c r="AJ796" s="53">
        <f>$H796*K796</f>
      </c>
      <c r="AK796" s="53">
        <f>$H796*L796</f>
      </c>
      <c r="AL796" s="53">
        <f>$H796*M796</f>
      </c>
      <c r="AM796" s="3"/>
      <c r="AN796" s="5"/>
      <c r="AO796" s="5"/>
      <c r="AP796" s="5"/>
      <c r="AQ796" s="3"/>
    </row>
    <row x14ac:dyDescent="0.25" r="797" customHeight="1" ht="12.75">
      <c r="A797" s="5" t="s">
        <v>482</v>
      </c>
      <c r="B797" s="3" t="s">
        <v>1147</v>
      </c>
      <c r="C797" s="3" t="s">
        <v>1030</v>
      </c>
      <c r="D797" s="3" t="s">
        <v>935</v>
      </c>
      <c r="E797" s="3" t="s">
        <v>855</v>
      </c>
      <c r="F797" s="3" t="s">
        <v>1589</v>
      </c>
      <c r="G797" s="3" t="s">
        <v>1204</v>
      </c>
      <c r="H797" s="6">
        <f>0.84+6.8+0.05+0.48+4.44</f>
      </c>
      <c r="I797" s="7">
        <f>(0.1*0.84+0.4*6.8+0.2*0.05+0.2*0.48+0.2*4.44)/$H797</f>
      </c>
      <c r="J797" s="7">
        <f>(1.7*0.84+6.7*6.8+4.2*0.05+2.8*0.48+3.7*4.44)/$H797</f>
      </c>
      <c r="K797" s="31">
        <f>(24*0.84+43*6.8+45*0.05+22*0.48+36*4.44)/$H797</f>
      </c>
      <c r="L797" s="7">
        <f>(1.3*0.84+0.5*6.8+1.3*0.05+1.1*0.48+0.8*4.44)/$H797</f>
      </c>
      <c r="M797" s="7">
        <f>(1.1*0.84+0.6*6.8+0.7*0.05+1*0.48+0.7*4.44)/$H797</f>
      </c>
      <c r="N797" s="7"/>
      <c r="O797" s="23"/>
      <c r="P797" s="6"/>
      <c r="Q797" s="6"/>
      <c r="R797" s="31"/>
      <c r="S797" s="6"/>
      <c r="T797" s="31"/>
      <c r="U797" s="6"/>
      <c r="V797" s="23"/>
      <c r="W797" s="6"/>
      <c r="X797" s="6"/>
      <c r="Y797" s="5"/>
      <c r="Z797" s="3"/>
      <c r="AA797" s="6">
        <f>H797*I797/100</f>
      </c>
      <c r="AB797" s="6">
        <f>H797*J797/100</f>
      </c>
      <c r="AC797" s="7">
        <f>H797*K797</f>
      </c>
      <c r="AD797" s="7">
        <f>H797*M797</f>
      </c>
      <c r="AE797" s="6">
        <f>H797*L797/100</f>
      </c>
      <c r="AF797" s="6">
        <f>AA797+AB797+AE797</f>
      </c>
      <c r="AG797" s="6">
        <f>I797+J797+L797</f>
      </c>
      <c r="AH797" s="53">
        <f>$H797*I797</f>
      </c>
      <c r="AI797" s="53">
        <f>$H797*J797</f>
      </c>
      <c r="AJ797" s="53">
        <f>$H797*K797</f>
      </c>
      <c r="AK797" s="53">
        <f>$H797*L797</f>
      </c>
      <c r="AL797" s="53">
        <f>$H797*M797</f>
      </c>
      <c r="AM797" s="3"/>
      <c r="AN797" s="5"/>
      <c r="AO797" s="5"/>
      <c r="AP797" s="5"/>
      <c r="AQ797" s="3"/>
    </row>
    <row x14ac:dyDescent="0.25" r="798" customHeight="1" ht="12.75">
      <c r="A798" s="5" t="s">
        <v>690</v>
      </c>
      <c r="B798" s="3" t="s">
        <v>1147</v>
      </c>
      <c r="C798" s="3" t="s">
        <v>870</v>
      </c>
      <c r="D798" s="3"/>
      <c r="E798" s="3" t="s">
        <v>855</v>
      </c>
      <c r="F798" s="3" t="s">
        <v>1589</v>
      </c>
      <c r="G798" s="3" t="s">
        <v>1204</v>
      </c>
      <c r="H798" s="6">
        <f>1.4+1.05+0.36</f>
      </c>
      <c r="I798" s="7">
        <f>(0.4*1.4+0.2*1.05+0.2*0.36)/$H798</f>
      </c>
      <c r="J798" s="7">
        <f>(3.9*1.4+3.3*1.05+2.9*0.36)/$H798</f>
      </c>
      <c r="K798" s="31">
        <f>(56*1.4+40*1.05+45*0.36)/$H798</f>
      </c>
      <c r="L798" s="7">
        <f>(0.3*1.4+0.4*1.05+0.7*0.36)/$H798</f>
      </c>
      <c r="M798" s="7">
        <f>(1.5*1.4+1.3*1.05+0.9*0.36)/$H798</f>
      </c>
      <c r="N798" s="7"/>
      <c r="O798" s="23"/>
      <c r="P798" s="6"/>
      <c r="Q798" s="6"/>
      <c r="R798" s="31"/>
      <c r="S798" s="6"/>
      <c r="T798" s="31"/>
      <c r="U798" s="6"/>
      <c r="V798" s="23"/>
      <c r="W798" s="6"/>
      <c r="X798" s="6"/>
      <c r="Y798" s="5"/>
      <c r="Z798" s="3"/>
      <c r="AA798" s="6">
        <f>H798*I798/100</f>
      </c>
      <c r="AB798" s="6">
        <f>H798*J798/100</f>
      </c>
      <c r="AC798" s="7">
        <f>H798*K798</f>
      </c>
      <c r="AD798" s="7">
        <f>H798*M798</f>
      </c>
      <c r="AE798" s="6">
        <f>H798*L798/100</f>
      </c>
      <c r="AF798" s="6">
        <f>AA798+AB798+AE798</f>
      </c>
      <c r="AG798" s="6">
        <f>I798+J798+L798</f>
      </c>
      <c r="AH798" s="53">
        <f>$H798*I798</f>
      </c>
      <c r="AI798" s="53">
        <f>$H798*J798</f>
      </c>
      <c r="AJ798" s="53">
        <f>$H798*K798</f>
      </c>
      <c r="AK798" s="53">
        <f>$H798*L798</f>
      </c>
      <c r="AL798" s="53">
        <f>$H798*M798</f>
      </c>
      <c r="AM798" s="3"/>
      <c r="AN798" s="5"/>
      <c r="AO798" s="5"/>
      <c r="AP798" s="5"/>
      <c r="AQ798" s="3"/>
    </row>
    <row x14ac:dyDescent="0.25" r="799" customHeight="1" ht="12.75">
      <c r="A799" s="5" t="s">
        <v>851</v>
      </c>
      <c r="B799" s="3" t="s">
        <v>1147</v>
      </c>
      <c r="C799" s="3" t="s">
        <v>870</v>
      </c>
      <c r="D799" s="3"/>
      <c r="E799" s="3" t="s">
        <v>855</v>
      </c>
      <c r="F799" s="3" t="s">
        <v>1589</v>
      </c>
      <c r="G799" s="3" t="s">
        <v>1204</v>
      </c>
      <c r="H799" s="6">
        <f>0.2+0.36</f>
      </c>
      <c r="I799" s="6"/>
      <c r="J799" s="7">
        <f>(0*0.2+0.2*0.36)/$H799</f>
      </c>
      <c r="K799" s="31">
        <f>(7*0.2+11*0.36)/$H799</f>
      </c>
      <c r="L799" s="7">
        <f>(1*0.2+0.4*0.36)/$H799</f>
      </c>
      <c r="M799" s="7">
        <f>(0.3*0.2+0.4*0.36)/$H799</f>
      </c>
      <c r="N799" s="7"/>
      <c r="O799" s="23"/>
      <c r="P799" s="6"/>
      <c r="Q799" s="6"/>
      <c r="R799" s="31"/>
      <c r="S799" s="6"/>
      <c r="T799" s="31"/>
      <c r="U799" s="6"/>
      <c r="V799" s="23"/>
      <c r="W799" s="6"/>
      <c r="X799" s="6"/>
      <c r="Y799" s="5"/>
      <c r="Z799" s="3"/>
      <c r="AA799" s="6">
        <f>H799*I799/100</f>
      </c>
      <c r="AB799" s="6">
        <f>H799*J799/100</f>
      </c>
      <c r="AC799" s="7">
        <f>H799*K799</f>
      </c>
      <c r="AD799" s="7">
        <f>H799*M799</f>
      </c>
      <c r="AE799" s="6">
        <f>H799*L799/100</f>
      </c>
      <c r="AF799" s="6">
        <f>AA799+AB799+AE799</f>
      </c>
      <c r="AG799" s="6">
        <f>I799+J799+L799</f>
      </c>
      <c r="AH799" s="53">
        <f>$H799*I799</f>
      </c>
      <c r="AI799" s="53">
        <f>$H799*J799</f>
      </c>
      <c r="AJ799" s="53">
        <f>$H799*K799</f>
      </c>
      <c r="AK799" s="53">
        <f>$H799*L799</f>
      </c>
      <c r="AL799" s="53">
        <f>$H799*M799</f>
      </c>
      <c r="AM799" s="3"/>
      <c r="AN799" s="5"/>
      <c r="AO799" s="5"/>
      <c r="AP799" s="5"/>
      <c r="AQ799" s="3"/>
    </row>
    <row x14ac:dyDescent="0.25" r="800" customHeight="1" ht="12.75">
      <c r="A800" s="5" t="s">
        <v>487</v>
      </c>
      <c r="B800" s="3" t="s">
        <v>1147</v>
      </c>
      <c r="C800" s="3" t="s">
        <v>870</v>
      </c>
      <c r="D800" s="3"/>
      <c r="E800" s="3" t="s">
        <v>855</v>
      </c>
      <c r="F800" s="3" t="s">
        <v>1589</v>
      </c>
      <c r="G800" s="3" t="s">
        <v>1204</v>
      </c>
      <c r="H800" s="6">
        <f>0.31+1.2+0.72</f>
      </c>
      <c r="I800" s="7">
        <f>(0.3*0.31+0.3*1.2+0.2*0.72)/$H800</f>
      </c>
      <c r="J800" s="7">
        <f>(3.1*0.31+1.8*1.2+1.2*0.72)/$H800</f>
      </c>
      <c r="K800" s="31">
        <f>(73*0.31+52*1.2+33*0.72)/$H800</f>
      </c>
      <c r="L800" s="7">
        <f>(1.8*0.31+0.6*1.2+0.5*0.72)/$H800</f>
      </c>
      <c r="M800" s="7">
        <f>(8.1*0.31+2.7*1.2+3.3*0.72)/$H800</f>
      </c>
      <c r="N800" s="7"/>
      <c r="O800" s="23"/>
      <c r="P800" s="6"/>
      <c r="Q800" s="6"/>
      <c r="R800" s="31"/>
      <c r="S800" s="6"/>
      <c r="T800" s="31"/>
      <c r="U800" s="6"/>
      <c r="V800" s="23"/>
      <c r="W800" s="6"/>
      <c r="X800" s="6"/>
      <c r="Y800" s="5"/>
      <c r="Z800" s="3"/>
      <c r="AA800" s="6">
        <f>H800*I800/100</f>
      </c>
      <c r="AB800" s="6">
        <f>H800*J800/100</f>
      </c>
      <c r="AC800" s="7">
        <f>H800*K800</f>
      </c>
      <c r="AD800" s="7">
        <f>H800*M800</f>
      </c>
      <c r="AE800" s="6">
        <f>H800*L800/100</f>
      </c>
      <c r="AF800" s="6">
        <f>AA800+AB800+AE800</f>
      </c>
      <c r="AG800" s="6">
        <f>I800+J800+L800</f>
      </c>
      <c r="AH800" s="53">
        <f>$H800*I800</f>
      </c>
      <c r="AI800" s="53">
        <f>$H800*J800</f>
      </c>
      <c r="AJ800" s="53">
        <f>$H800*K800</f>
      </c>
      <c r="AK800" s="53">
        <f>$H800*L800</f>
      </c>
      <c r="AL800" s="53">
        <f>$H800*M800</f>
      </c>
      <c r="AM800" s="3"/>
      <c r="AN800" s="5"/>
      <c r="AO800" s="5"/>
      <c r="AP800" s="5"/>
      <c r="AQ800" s="3"/>
    </row>
    <row x14ac:dyDescent="0.25" r="801" customHeight="1" ht="12.75">
      <c r="A801" s="5" t="s">
        <v>232</v>
      </c>
      <c r="B801" s="3" t="s">
        <v>1147</v>
      </c>
      <c r="C801" s="3" t="s">
        <v>870</v>
      </c>
      <c r="D801" s="3"/>
      <c r="E801" s="3" t="s">
        <v>855</v>
      </c>
      <c r="F801" s="3" t="s">
        <v>1589</v>
      </c>
      <c r="G801" s="3" t="s">
        <v>1204</v>
      </c>
      <c r="H801" s="6">
        <f>0.15+3.36+1.22+2.95</f>
      </c>
      <c r="I801" s="7">
        <f>(1.3*0.15+1*3.36+0.8*1.22+1.7*2.95)/$H801</f>
      </c>
      <c r="J801" s="7">
        <f>(13.6*0.15+6.4*3.36+4.6*1.22+8.5*2.95)/$H801</f>
      </c>
      <c r="K801" s="31">
        <f>(127*0.15+149*3.36+85*1.22+160*2.95)/$H801</f>
      </c>
      <c r="L801" s="7">
        <f>(0.9*0.15+0.8*3.36+0.4*1.22+0.3*2.95)/$H801</f>
      </c>
      <c r="M801" s="7">
        <f>(1.8*0.15+2.8*3.36+1.9*1.22+3.2*2.95)/$H801</f>
      </c>
      <c r="N801" s="7"/>
      <c r="O801" s="23"/>
      <c r="P801" s="6"/>
      <c r="Q801" s="6"/>
      <c r="R801" s="31"/>
      <c r="S801" s="6"/>
      <c r="T801" s="31"/>
      <c r="U801" s="6"/>
      <c r="V801" s="23"/>
      <c r="W801" s="6"/>
      <c r="X801" s="6"/>
      <c r="Y801" s="5"/>
      <c r="Z801" s="3"/>
      <c r="AA801" s="6">
        <f>H801*I801/100</f>
      </c>
      <c r="AB801" s="6">
        <f>H801*J801/100</f>
      </c>
      <c r="AC801" s="7">
        <f>H801*K801</f>
      </c>
      <c r="AD801" s="7">
        <f>H801*M801</f>
      </c>
      <c r="AE801" s="6">
        <f>H801*L801/100</f>
      </c>
      <c r="AF801" s="6">
        <f>AA801+AB801+AE801</f>
      </c>
      <c r="AG801" s="6">
        <f>I801+J801+L801</f>
      </c>
      <c r="AH801" s="53">
        <f>$H801*I801</f>
      </c>
      <c r="AI801" s="53">
        <f>$H801*J801</f>
      </c>
      <c r="AJ801" s="53">
        <f>$H801*K801</f>
      </c>
      <c r="AK801" s="53">
        <f>$H801*L801</f>
      </c>
      <c r="AL801" s="53">
        <f>$H801*M801</f>
      </c>
      <c r="AM801" s="3"/>
      <c r="AN801" s="5"/>
      <c r="AO801" s="5"/>
      <c r="AP801" s="5"/>
      <c r="AQ801" s="3"/>
    </row>
    <row x14ac:dyDescent="0.25" r="802" customHeight="1" ht="12.75">
      <c r="A802" s="5" t="s">
        <v>134</v>
      </c>
      <c r="B802" s="3" t="s">
        <v>1147</v>
      </c>
      <c r="C802" s="3" t="s">
        <v>870</v>
      </c>
      <c r="D802" s="3"/>
      <c r="E802" s="3" t="s">
        <v>855</v>
      </c>
      <c r="F802" s="3" t="s">
        <v>1589</v>
      </c>
      <c r="G802" s="3" t="s">
        <v>1204</v>
      </c>
      <c r="H802" s="6">
        <f>14.9+21.4+2.8+15.8+19.5</f>
      </c>
      <c r="I802" s="7">
        <f>(2.2*14.9+1.7*21.4+1.7*2.8+1.7*15.8+1.6*19.5)/$H802</f>
      </c>
      <c r="J802" s="7">
        <f>(5.5*14.9+3.9*21.4+3.8*2.8+3.4*15.8+3.2*19.5)/$H802</f>
      </c>
      <c r="K802" s="31">
        <f>(116*14.9+143*21.4+98*2.8+131*15.8+113*19.5)/$H802</f>
      </c>
      <c r="L802" s="6">
        <f>(0.06*14.9+0.04*21.4+0.06*2.8+0.05*15.8+0.07*19.5)/$H802</f>
      </c>
      <c r="M802" s="7">
        <f>(0.3*14.9+0.3*21.4+0.3*2.8+0.4*15.8+0.5*19.5)/$H802</f>
      </c>
      <c r="N802" s="7"/>
      <c r="O802" s="23"/>
      <c r="P802" s="6"/>
      <c r="Q802" s="6"/>
      <c r="R802" s="31"/>
      <c r="S802" s="6"/>
      <c r="T802" s="31"/>
      <c r="U802" s="6"/>
      <c r="V802" s="23"/>
      <c r="W802" s="6"/>
      <c r="X802" s="6"/>
      <c r="Y802" s="5"/>
      <c r="Z802" s="3"/>
      <c r="AA802" s="6">
        <f>H802*I802/100</f>
      </c>
      <c r="AB802" s="6">
        <f>H802*J802/100</f>
      </c>
      <c r="AC802" s="7">
        <f>H802*K802</f>
      </c>
      <c r="AD802" s="7">
        <f>H802*M802</f>
      </c>
      <c r="AE802" s="6">
        <f>H802*L802/100</f>
      </c>
      <c r="AF802" s="6">
        <f>AA802+AB802+AE802</f>
      </c>
      <c r="AG802" s="6">
        <f>I802+J802+L802</f>
      </c>
      <c r="AH802" s="53">
        <f>$H802*I802</f>
      </c>
      <c r="AI802" s="53">
        <f>$H802*J802</f>
      </c>
      <c r="AJ802" s="53">
        <f>$H802*K802</f>
      </c>
      <c r="AK802" s="53">
        <f>$H802*L802</f>
      </c>
      <c r="AL802" s="53">
        <f>$H802*M802</f>
      </c>
      <c r="AM802" s="3"/>
      <c r="AN802" s="5"/>
      <c r="AO802" s="5"/>
      <c r="AP802" s="5"/>
      <c r="AQ802" s="3"/>
    </row>
    <row x14ac:dyDescent="0.25" r="803" customHeight="1" ht="12.75">
      <c r="A803" s="5" t="s">
        <v>26</v>
      </c>
      <c r="B803" s="3" t="s">
        <v>1147</v>
      </c>
      <c r="C803" s="3" t="s">
        <v>1007</v>
      </c>
      <c r="D803" s="3"/>
      <c r="E803" s="3" t="s">
        <v>855</v>
      </c>
      <c r="F803" s="3" t="s">
        <v>1749</v>
      </c>
      <c r="G803" s="3" t="s">
        <v>1204</v>
      </c>
      <c r="H803" s="5">
        <v>2350</v>
      </c>
      <c r="I803" s="6"/>
      <c r="J803" s="23">
        <v>0.0431</v>
      </c>
      <c r="K803" s="5"/>
      <c r="L803" s="6"/>
      <c r="M803" s="6"/>
      <c r="N803" s="7"/>
      <c r="O803" s="23">
        <v>0.0316</v>
      </c>
      <c r="P803" s="6"/>
      <c r="Q803" s="6"/>
      <c r="R803" s="31"/>
      <c r="S803" s="6">
        <v>0.0207</v>
      </c>
      <c r="T803" s="31"/>
      <c r="U803" s="6"/>
      <c r="V803" s="23">
        <v>0.0155</v>
      </c>
      <c r="W803" s="6"/>
      <c r="X803" s="6">
        <v>0.1519</v>
      </c>
      <c r="Y803" s="5"/>
      <c r="Z803" s="3"/>
      <c r="AA803" s="6">
        <f>H803*I803/100</f>
      </c>
      <c r="AB803" s="6">
        <f>H803*J803/100</f>
      </c>
      <c r="AC803" s="7">
        <f>H803*K803</f>
      </c>
      <c r="AD803" s="7">
        <f>H803*M803</f>
      </c>
      <c r="AE803" s="6">
        <f>H803*L803/100</f>
      </c>
      <c r="AF803" s="6">
        <f>AA803+AB803+AE803</f>
      </c>
      <c r="AG803" s="6">
        <f>I803+J803+L803</f>
      </c>
      <c r="AH803" s="53">
        <f>$H803*I803</f>
      </c>
      <c r="AI803" s="53">
        <f>$H803*J803</f>
      </c>
      <c r="AJ803" s="53">
        <f>$H803*K803</f>
      </c>
      <c r="AK803" s="53">
        <f>$H803*L803</f>
      </c>
      <c r="AL803" s="53">
        <f>$H803*M803</f>
      </c>
      <c r="AM803" s="3"/>
      <c r="AN803" s="5"/>
      <c r="AO803" s="5"/>
      <c r="AP803" s="5"/>
      <c r="AQ803" s="3"/>
    </row>
    <row x14ac:dyDescent="0.25" r="804" customHeight="1" ht="12.75">
      <c r="A804" s="5" t="s">
        <v>530</v>
      </c>
      <c r="B804" s="3" t="s">
        <v>1147</v>
      </c>
      <c r="C804" s="3" t="s">
        <v>866</v>
      </c>
      <c r="D804" s="3" t="s">
        <v>988</v>
      </c>
      <c r="E804" s="38" t="s">
        <v>859</v>
      </c>
      <c r="F804" s="3" t="s">
        <v>1171</v>
      </c>
      <c r="G804" s="3" t="s">
        <v>1173</v>
      </c>
      <c r="H804" s="6">
        <v>0.55</v>
      </c>
      <c r="I804" s="6">
        <v>2.6</v>
      </c>
      <c r="J804" s="6">
        <v>4.5</v>
      </c>
      <c r="K804" s="5">
        <v>12</v>
      </c>
      <c r="L804" s="6">
        <v>0.2</v>
      </c>
      <c r="M804" s="6"/>
      <c r="N804" s="7"/>
      <c r="O804" s="23"/>
      <c r="P804" s="6"/>
      <c r="Q804" s="6"/>
      <c r="R804" s="31"/>
      <c r="S804" s="6"/>
      <c r="T804" s="31"/>
      <c r="U804" s="6"/>
      <c r="V804" s="23"/>
      <c r="W804" s="6"/>
      <c r="X804" s="6"/>
      <c r="Y804" s="5"/>
      <c r="Z804" s="3"/>
      <c r="AA804" s="6">
        <f>H804*I804/100</f>
      </c>
      <c r="AB804" s="6">
        <f>H804*J804/100</f>
      </c>
      <c r="AC804" s="7">
        <f>H804*K804</f>
      </c>
      <c r="AD804" s="7">
        <f>H804*M804</f>
      </c>
      <c r="AE804" s="6">
        <f>H804*L804/100</f>
      </c>
      <c r="AF804" s="6">
        <f>AA804+AB804+AE804</f>
      </c>
      <c r="AG804" s="6">
        <f>I804+J804+L804</f>
      </c>
      <c r="AH804" s="53">
        <f>$H804*I804</f>
      </c>
      <c r="AI804" s="53">
        <f>$H804*J804</f>
      </c>
      <c r="AJ804" s="53">
        <f>$H804*K804</f>
      </c>
      <c r="AK804" s="53">
        <f>$H804*L804</f>
      </c>
      <c r="AL804" s="53">
        <f>$H804*M804</f>
      </c>
      <c r="AM804" s="3"/>
      <c r="AN804" s="5"/>
      <c r="AO804" s="5"/>
      <c r="AP804" s="5"/>
      <c r="AQ804" s="3"/>
    </row>
    <row x14ac:dyDescent="0.25" r="805" customHeight="1" ht="12.75">
      <c r="A805" s="5" t="s">
        <v>527</v>
      </c>
      <c r="B805" s="3" t="s">
        <v>1147</v>
      </c>
      <c r="C805" s="3" t="s">
        <v>870</v>
      </c>
      <c r="D805" s="3"/>
      <c r="E805" s="3" t="s">
        <v>855</v>
      </c>
      <c r="F805" s="3" t="s">
        <v>1589</v>
      </c>
      <c r="G805" s="3" t="s">
        <v>1204</v>
      </c>
      <c r="H805" s="7">
        <f>0.8+9.2</f>
      </c>
      <c r="I805" s="7">
        <f>(0.9*0.8+0.4*9.2)/$H805</f>
      </c>
      <c r="J805" s="7">
        <f>(4.4*0.8+4*9.2)/$H805</f>
      </c>
      <c r="K805" s="31">
        <f>(102*0.8+48*9.2)/$H805</f>
      </c>
      <c r="L805" s="7">
        <f>(2.1*0.8+1.8*9.2)/$H805</f>
      </c>
      <c r="M805" s="6">
        <f>(0.08*0.8+0.06*9.2)/$H805</f>
      </c>
      <c r="N805" s="7"/>
      <c r="O805" s="23"/>
      <c r="P805" s="6"/>
      <c r="Q805" s="6"/>
      <c r="R805" s="31"/>
      <c r="S805" s="6"/>
      <c r="T805" s="31"/>
      <c r="U805" s="6"/>
      <c r="V805" s="23"/>
      <c r="W805" s="6"/>
      <c r="X805" s="6"/>
      <c r="Y805" s="5"/>
      <c r="Z805" s="3"/>
      <c r="AA805" s="6">
        <f>H805*I805/100</f>
      </c>
      <c r="AB805" s="6">
        <f>H805*J805/100</f>
      </c>
      <c r="AC805" s="7">
        <f>H805*K805</f>
      </c>
      <c r="AD805" s="7">
        <f>H805*M805</f>
      </c>
      <c r="AE805" s="6">
        <f>H805*L805/100</f>
      </c>
      <c r="AF805" s="6">
        <f>AA805+AB805+AE805</f>
      </c>
      <c r="AG805" s="6">
        <f>I805+J805+L805</f>
      </c>
      <c r="AH805" s="53">
        <f>$H805*I805</f>
      </c>
      <c r="AI805" s="53">
        <f>$H805*J805</f>
      </c>
      <c r="AJ805" s="53">
        <f>$H805*K805</f>
      </c>
      <c r="AK805" s="53">
        <f>$H805*L805</f>
      </c>
      <c r="AL805" s="53">
        <f>$H805*M805</f>
      </c>
      <c r="AM805" s="3"/>
      <c r="AN805" s="5"/>
      <c r="AO805" s="5"/>
      <c r="AP805" s="5"/>
      <c r="AQ805" s="3"/>
    </row>
    <row x14ac:dyDescent="0.25" r="806" customHeight="1" ht="12.75">
      <c r="A806" s="5" t="s">
        <v>45</v>
      </c>
      <c r="B806" s="3" t="s">
        <v>1147</v>
      </c>
      <c r="C806" s="3" t="s">
        <v>1007</v>
      </c>
      <c r="D806" s="3"/>
      <c r="E806" s="3" t="s">
        <v>855</v>
      </c>
      <c r="F806" s="3" t="s">
        <v>1750</v>
      </c>
      <c r="G806" s="3" t="s">
        <v>1470</v>
      </c>
      <c r="H806" s="5">
        <f>43+3019</f>
      </c>
      <c r="I806" s="7"/>
      <c r="J806" s="23">
        <f>(0.041*43+0.042*3019)/$H806</f>
      </c>
      <c r="K806" s="31"/>
      <c r="L806" s="23">
        <f>(0.01*43+0.012*3019)/$H806</f>
      </c>
      <c r="M806" s="6"/>
      <c r="N806" s="7"/>
      <c r="O806" s="23">
        <f>(0.034*43+0.034*3019)/$H806</f>
      </c>
      <c r="P806" s="6"/>
      <c r="Q806" s="6"/>
      <c r="R806" s="31"/>
      <c r="S806" s="6"/>
      <c r="T806" s="31"/>
      <c r="U806" s="6"/>
      <c r="V806" s="23">
        <f>(0.019*43+0.017*3019)/$H806</f>
      </c>
      <c r="W806" s="6"/>
      <c r="X806" s="6"/>
      <c r="Y806" s="5"/>
      <c r="Z806" s="3"/>
      <c r="AA806" s="6">
        <f>H806*I806/100</f>
      </c>
      <c r="AB806" s="6">
        <f>H806*J806/100</f>
      </c>
      <c r="AC806" s="7">
        <f>H806*K806</f>
      </c>
      <c r="AD806" s="7">
        <f>H806*M806</f>
      </c>
      <c r="AE806" s="6">
        <f>H806*L806/100</f>
      </c>
      <c r="AF806" s="6">
        <f>AA806+AB806+AE806</f>
      </c>
      <c r="AG806" s="6">
        <f>I806+J806+L806</f>
      </c>
      <c r="AH806" s="53">
        <f>$H806*I806</f>
      </c>
      <c r="AI806" s="53">
        <f>$H806*J806</f>
      </c>
      <c r="AJ806" s="53">
        <f>$H806*K806</f>
      </c>
      <c r="AK806" s="53">
        <f>$H806*L806</f>
      </c>
      <c r="AL806" s="53">
        <f>$H806*M806</f>
      </c>
      <c r="AM806" s="3"/>
      <c r="AN806" s="5"/>
      <c r="AO806" s="5"/>
      <c r="AP806" s="5"/>
      <c r="AQ806" s="3"/>
    </row>
    <row x14ac:dyDescent="0.25" r="807" customHeight="1" ht="12.75">
      <c r="A807" s="5" t="s">
        <v>441</v>
      </c>
      <c r="B807" s="3" t="s">
        <v>1147</v>
      </c>
      <c r="C807" s="3" t="s">
        <v>972</v>
      </c>
      <c r="D807" s="3"/>
      <c r="E807" s="3" t="s">
        <v>855</v>
      </c>
      <c r="F807" s="3" t="s">
        <v>1751</v>
      </c>
      <c r="G807" s="3" t="s">
        <v>1752</v>
      </c>
      <c r="H807" s="6">
        <f>21.61+19.65</f>
      </c>
      <c r="I807" s="6"/>
      <c r="J807" s="6">
        <f>(0.28*21.61+0.09*19.65)/$H807</f>
      </c>
      <c r="K807" s="6">
        <f>(5.13*21.61+0.26*19.65)/$H807</f>
      </c>
      <c r="L807" s="6">
        <f>(1.49*21.61+0.76*19.65)/$H807</f>
      </c>
      <c r="M807" s="6">
        <f>(0*21.61+0.02*19.65)/$H807</f>
      </c>
      <c r="N807" s="7"/>
      <c r="O807" s="23"/>
      <c r="P807" s="6"/>
      <c r="Q807" s="6"/>
      <c r="R807" s="31"/>
      <c r="S807" s="6"/>
      <c r="T807" s="31"/>
      <c r="U807" s="6"/>
      <c r="V807" s="23"/>
      <c r="W807" s="6"/>
      <c r="X807" s="6"/>
      <c r="Y807" s="5"/>
      <c r="Z807" s="3"/>
      <c r="AA807" s="6">
        <f>H807*I807/100</f>
      </c>
      <c r="AB807" s="6">
        <f>H807*J807/100</f>
      </c>
      <c r="AC807" s="7">
        <f>H807*K807</f>
      </c>
      <c r="AD807" s="7">
        <f>H807*M807</f>
      </c>
      <c r="AE807" s="6">
        <f>H807*L807/100</f>
      </c>
      <c r="AF807" s="6">
        <f>AA807+AB807+AE807</f>
      </c>
      <c r="AG807" s="6">
        <f>I807+J807+L807</f>
      </c>
      <c r="AH807" s="53">
        <f>$H807*I807</f>
      </c>
      <c r="AI807" s="53">
        <f>$H807*J807</f>
      </c>
      <c r="AJ807" s="53">
        <f>$H807*K807</f>
      </c>
      <c r="AK807" s="53">
        <f>$H807*L807</f>
      </c>
      <c r="AL807" s="53">
        <f>$H807*M807</f>
      </c>
      <c r="AM807" s="3"/>
      <c r="AN807" s="5"/>
      <c r="AO807" s="5"/>
      <c r="AP807" s="5"/>
      <c r="AQ807" s="3"/>
    </row>
    <row x14ac:dyDescent="0.25" r="808" customHeight="1" ht="12.75">
      <c r="A808" s="5" t="s">
        <v>171</v>
      </c>
      <c r="B808" s="3" t="s">
        <v>1147</v>
      </c>
      <c r="C808" s="3" t="s">
        <v>866</v>
      </c>
      <c r="D808" s="3" t="s">
        <v>988</v>
      </c>
      <c r="E808" s="3" t="s">
        <v>855</v>
      </c>
      <c r="F808" s="3" t="s">
        <v>1710</v>
      </c>
      <c r="G808" s="3" t="s">
        <v>1181</v>
      </c>
      <c r="H808" s="6">
        <f>5.02+0.624+0.616+8.524+6.426+4.988</f>
      </c>
      <c r="I808" s="7">
        <f>(0*5.02+0*0.624+0*0.616+4.8*8.524+4.2*6.426+3.2*4.988)/$H808</f>
      </c>
      <c r="J808" s="7">
        <f>(0.4*5.02+0.3*0.624+0.5*0.616+11.3*8.524+9.3*6.426+8.7*4.988)/$H808</f>
      </c>
      <c r="K808" s="31">
        <f>(30*5.02+37*0.624+34*0.616+103*8.524+93*6.426+83*4.988)/$H808</f>
      </c>
      <c r="L808" s="7">
        <f>(2.2*5.02+2.4*0.624+1.8*0.616+0*8.524+0*6.426+0*4.988)/$H808</f>
      </c>
      <c r="M808" s="6"/>
      <c r="N808" s="7"/>
      <c r="O808" s="23"/>
      <c r="P808" s="6"/>
      <c r="Q808" s="6"/>
      <c r="R808" s="31"/>
      <c r="S808" s="6"/>
      <c r="T808" s="31"/>
      <c r="U808" s="6"/>
      <c r="V808" s="23"/>
      <c r="W808" s="6"/>
      <c r="X808" s="6"/>
      <c r="Y808" s="5"/>
      <c r="Z808" s="3"/>
      <c r="AA808" s="6">
        <f>H808*I808/100</f>
      </c>
      <c r="AB808" s="6">
        <f>H808*J808/100</f>
      </c>
      <c r="AC808" s="7">
        <f>H808*K808</f>
      </c>
      <c r="AD808" s="7">
        <f>H808*M808</f>
      </c>
      <c r="AE808" s="6">
        <f>H808*L808/100</f>
      </c>
      <c r="AF808" s="6">
        <f>AA808+AB808+AE808</f>
      </c>
      <c r="AG808" s="6">
        <f>I808+J808+L808</f>
      </c>
      <c r="AH808" s="53">
        <f>$H808*I808</f>
      </c>
      <c r="AI808" s="53">
        <f>$H808*J808</f>
      </c>
      <c r="AJ808" s="53">
        <f>$H808*K808</f>
      </c>
      <c r="AK808" s="53">
        <f>$H808*L808</f>
      </c>
      <c r="AL808" s="53">
        <f>$H808*M808</f>
      </c>
      <c r="AM808" s="3"/>
      <c r="AN808" s="5"/>
      <c r="AO808" s="5"/>
      <c r="AP808" s="5"/>
      <c r="AQ808" s="3"/>
    </row>
    <row x14ac:dyDescent="0.25" r="809" customHeight="1" ht="12.75">
      <c r="A809" s="5" t="s">
        <v>58</v>
      </c>
      <c r="B809" s="3" t="s">
        <v>1148</v>
      </c>
      <c r="C809" s="3" t="s">
        <v>1014</v>
      </c>
      <c r="D809" s="3"/>
      <c r="E809" s="38" t="s">
        <v>859</v>
      </c>
      <c r="F809" s="3" t="s">
        <v>1753</v>
      </c>
      <c r="G809" s="3" t="s">
        <v>1519</v>
      </c>
      <c r="H809" s="5">
        <v>961</v>
      </c>
      <c r="I809" s="7">
        <v>0.5</v>
      </c>
      <c r="J809" s="7">
        <v>0.4</v>
      </c>
      <c r="K809" s="31">
        <v>52</v>
      </c>
      <c r="L809" s="7"/>
      <c r="M809" s="6"/>
      <c r="N809" s="7"/>
      <c r="O809" s="23"/>
      <c r="P809" s="6"/>
      <c r="Q809" s="6"/>
      <c r="R809" s="31"/>
      <c r="S809" s="6"/>
      <c r="T809" s="31"/>
      <c r="U809" s="6"/>
      <c r="V809" s="23"/>
      <c r="W809" s="6"/>
      <c r="X809" s="6"/>
      <c r="Y809" s="5"/>
      <c r="Z809" s="3"/>
      <c r="AA809" s="6">
        <f>H809*I809/100</f>
      </c>
      <c r="AB809" s="6">
        <f>H809*J809/100</f>
      </c>
      <c r="AC809" s="7">
        <f>H809*K809</f>
      </c>
      <c r="AD809" s="7">
        <f>H809*M809</f>
      </c>
      <c r="AE809" s="6">
        <f>H809*L809/100</f>
      </c>
      <c r="AF809" s="6">
        <f>AA809+AB809+AE809</f>
      </c>
      <c r="AG809" s="6">
        <f>I809+J809+L809</f>
      </c>
      <c r="AH809" s="53">
        <f>$H809*I809</f>
      </c>
      <c r="AI809" s="53">
        <f>$H809*J809</f>
      </c>
      <c r="AJ809" s="53">
        <f>$H809*K809</f>
      </c>
      <c r="AK809" s="53">
        <f>$H809*L809</f>
      </c>
      <c r="AL809" s="53">
        <f>$H809*M809</f>
      </c>
      <c r="AM809" s="3"/>
      <c r="AN809" s="5"/>
      <c r="AO809" s="5"/>
      <c r="AP809" s="5"/>
      <c r="AQ809" s="3"/>
    </row>
    <row x14ac:dyDescent="0.25" r="810" customHeight="1" ht="12.75">
      <c r="A810" s="5" t="s">
        <v>688</v>
      </c>
      <c r="B810" s="3" t="s">
        <v>1149</v>
      </c>
      <c r="C810" s="3" t="s">
        <v>870</v>
      </c>
      <c r="D810" s="3"/>
      <c r="E810" s="3" t="s">
        <v>855</v>
      </c>
      <c r="F810" s="3" t="s">
        <v>1754</v>
      </c>
      <c r="G810" s="3" t="s">
        <v>1470</v>
      </c>
      <c r="H810" s="6">
        <f>0.29+1.841+0.398+2.583+0.939</f>
      </c>
      <c r="I810" s="6"/>
      <c r="J810" s="6">
        <f>(0.02*0.29+1.65*1.841+0.07*0.398+1.42*2.583+2.92*0.939)/$H810</f>
      </c>
      <c r="K810" s="7">
        <f>(10.5*0.29+17.5*1.841+7.2*0.398+20.6*2.583+15.6*0.939)/$H810</f>
      </c>
      <c r="L810" s="6">
        <f>(0.06*0.29+2.2*1.841+0.13*0.398+1.09*2.583+0.69*0.939)/$H810</f>
      </c>
      <c r="M810" s="6">
        <f>(2.55*0.29+1.06*1.841+4.77*0.398+0.96*2.583+0.84*0.939)/$H810</f>
      </c>
      <c r="N810" s="7"/>
      <c r="O810" s="23"/>
      <c r="P810" s="6"/>
      <c r="Q810" s="6"/>
      <c r="R810" s="31"/>
      <c r="S810" s="6"/>
      <c r="T810" s="31"/>
      <c r="U810" s="6"/>
      <c r="V810" s="23"/>
      <c r="W810" s="6"/>
      <c r="X810" s="6"/>
      <c r="Y810" s="5"/>
      <c r="Z810" s="3"/>
      <c r="AA810" s="6">
        <f>H810*I810/100</f>
      </c>
      <c r="AB810" s="6">
        <f>H810*J810/100</f>
      </c>
      <c r="AC810" s="7">
        <f>H810*K810</f>
      </c>
      <c r="AD810" s="7">
        <f>H810*M810</f>
      </c>
      <c r="AE810" s="6">
        <f>H810*L810/100</f>
      </c>
      <c r="AF810" s="6">
        <f>AA810+AB810+AE810</f>
      </c>
      <c r="AG810" s="6">
        <f>I810+J810+L810</f>
      </c>
      <c r="AH810" s="53">
        <f>$H810*I810</f>
      </c>
      <c r="AI810" s="53">
        <f>$H810*J810</f>
      </c>
      <c r="AJ810" s="53">
        <f>$H810*K810</f>
      </c>
      <c r="AK810" s="53">
        <f>$H810*L810</f>
      </c>
      <c r="AL810" s="53">
        <f>$H810*M810</f>
      </c>
      <c r="AM810" s="3"/>
      <c r="AN810" s="5"/>
      <c r="AO810" s="5"/>
      <c r="AP810" s="5"/>
      <c r="AQ810" s="3"/>
    </row>
    <row x14ac:dyDescent="0.25" r="811" customHeight="1" ht="12.75">
      <c r="A811" s="5" t="s">
        <v>307</v>
      </c>
      <c r="B811" s="3" t="s">
        <v>1150</v>
      </c>
      <c r="C811" s="3" t="s">
        <v>866</v>
      </c>
      <c r="D811" s="3" t="s">
        <v>989</v>
      </c>
      <c r="E811" s="3" t="s">
        <v>855</v>
      </c>
      <c r="F811" s="3" t="s">
        <v>1603</v>
      </c>
      <c r="G811" s="3" t="s">
        <v>1204</v>
      </c>
      <c r="H811" s="6">
        <v>1.609</v>
      </c>
      <c r="I811" s="6"/>
      <c r="J811" s="6">
        <v>10.3</v>
      </c>
      <c r="K811" s="5"/>
      <c r="L811" s="6"/>
      <c r="M811" s="6"/>
      <c r="N811" s="7"/>
      <c r="O811" s="23"/>
      <c r="P811" s="6"/>
      <c r="Q811" s="6"/>
      <c r="R811" s="31"/>
      <c r="S811" s="6"/>
      <c r="T811" s="31"/>
      <c r="U811" s="6"/>
      <c r="V811" s="23"/>
      <c r="W811" s="6"/>
      <c r="X811" s="6"/>
      <c r="Y811" s="5"/>
      <c r="Z811" s="3"/>
      <c r="AA811" s="6">
        <f>H811*I811/100</f>
      </c>
      <c r="AB811" s="6">
        <f>H811*J811/100</f>
      </c>
      <c r="AC811" s="7">
        <f>H811*K811</f>
      </c>
      <c r="AD811" s="7">
        <f>H811*M811</f>
      </c>
      <c r="AE811" s="6">
        <f>H811*L811/100</f>
      </c>
      <c r="AF811" s="6">
        <f>AA811+AB811+AE811</f>
      </c>
      <c r="AG811" s="6">
        <f>I811+J811+L811</f>
      </c>
      <c r="AH811" s="53">
        <f>$H811*I811</f>
      </c>
      <c r="AI811" s="53">
        <f>$H811*J811</f>
      </c>
      <c r="AJ811" s="53">
        <f>$H811*K811</f>
      </c>
      <c r="AK811" s="53">
        <f>$H811*L811</f>
      </c>
      <c r="AL811" s="53">
        <f>$H811*M811</f>
      </c>
      <c r="AM811" s="3"/>
      <c r="AN811" s="5"/>
      <c r="AO811" s="5"/>
      <c r="AP811" s="5"/>
      <c r="AQ811" s="3"/>
    </row>
    <row x14ac:dyDescent="0.25" r="812" customHeight="1" ht="12.75">
      <c r="A812" s="5" t="s">
        <v>694</v>
      </c>
      <c r="B812" s="3" t="s">
        <v>1151</v>
      </c>
      <c r="C812" s="3" t="s">
        <v>866</v>
      </c>
      <c r="D812" s="3" t="s">
        <v>989</v>
      </c>
      <c r="E812" s="3" t="s">
        <v>855</v>
      </c>
      <c r="F812" s="3" t="s">
        <v>1755</v>
      </c>
      <c r="G812" s="3" t="s">
        <v>1756</v>
      </c>
      <c r="H812" s="6">
        <v>8.836</v>
      </c>
      <c r="I812" s="6">
        <v>0.99</v>
      </c>
      <c r="J812" s="6">
        <v>2.17</v>
      </c>
      <c r="K812" s="6">
        <v>7.3</v>
      </c>
      <c r="L812" s="6"/>
      <c r="M812" s="6"/>
      <c r="N812" s="6">
        <f>21.66*(137.327/(137.327+96.06))</f>
      </c>
      <c r="O812" s="23"/>
      <c r="P812" s="6"/>
      <c r="Q812" s="6"/>
      <c r="R812" s="31"/>
      <c r="S812" s="6"/>
      <c r="T812" s="31"/>
      <c r="U812" s="6"/>
      <c r="V812" s="23"/>
      <c r="W812" s="6"/>
      <c r="X812" s="6"/>
      <c r="Y812" s="6">
        <v>5.06</v>
      </c>
      <c r="Z812" s="3" t="s">
        <v>997</v>
      </c>
      <c r="AA812" s="6">
        <f>H812*I812/100</f>
      </c>
      <c r="AB812" s="6">
        <f>H812*J812/100</f>
      </c>
      <c r="AC812" s="7">
        <f>H812*K812</f>
      </c>
      <c r="AD812" s="7">
        <f>H812*M812</f>
      </c>
      <c r="AE812" s="6">
        <f>H812*L812/100</f>
      </c>
      <c r="AF812" s="6">
        <f>AA812+AB812+AE812</f>
      </c>
      <c r="AG812" s="6">
        <f>I812+J812+L812</f>
      </c>
      <c r="AH812" s="53">
        <f>$H812*I812</f>
      </c>
      <c r="AI812" s="53">
        <f>$H812*J812</f>
      </c>
      <c r="AJ812" s="53">
        <f>$H812*K812</f>
      </c>
      <c r="AK812" s="53">
        <f>$H812*L812</f>
      </c>
      <c r="AL812" s="53">
        <f>$H812*M812</f>
      </c>
      <c r="AM812" s="3"/>
      <c r="AN812" s="5"/>
      <c r="AO812" s="5"/>
      <c r="AP812" s="5"/>
      <c r="AQ812" s="3"/>
    </row>
    <row x14ac:dyDescent="0.25" r="813" customHeight="1" ht="12.75">
      <c r="A813" s="5" t="s">
        <v>374</v>
      </c>
      <c r="B813" s="3" t="s">
        <v>1151</v>
      </c>
      <c r="C813" s="3" t="s">
        <v>866</v>
      </c>
      <c r="D813" s="3" t="s">
        <v>989</v>
      </c>
      <c r="E813" s="38" t="s">
        <v>859</v>
      </c>
      <c r="F813" s="3" t="s">
        <v>1755</v>
      </c>
      <c r="G813" s="3" t="s">
        <v>1757</v>
      </c>
      <c r="H813" s="6">
        <v>2.7</v>
      </c>
      <c r="I813" s="6">
        <v>3.34</v>
      </c>
      <c r="J813" s="6">
        <v>6.14</v>
      </c>
      <c r="K813" s="5"/>
      <c r="L813" s="6"/>
      <c r="M813" s="6"/>
      <c r="N813" s="7"/>
      <c r="O813" s="23"/>
      <c r="P813" s="6"/>
      <c r="Q813" s="6"/>
      <c r="R813" s="31"/>
      <c r="S813" s="6"/>
      <c r="T813" s="31"/>
      <c r="U813" s="6"/>
      <c r="V813" s="23"/>
      <c r="W813" s="6"/>
      <c r="X813" s="6"/>
      <c r="Y813" s="5"/>
      <c r="Z813" s="3"/>
      <c r="AA813" s="6">
        <f>H813*I813/100</f>
      </c>
      <c r="AB813" s="6">
        <f>H813*J813/100</f>
      </c>
      <c r="AC813" s="7">
        <f>H813*K813</f>
      </c>
      <c r="AD813" s="7">
        <f>H813*M813</f>
      </c>
      <c r="AE813" s="6">
        <f>H813*L813/100</f>
      </c>
      <c r="AF813" s="6">
        <f>AA813+AB813+AE813</f>
      </c>
      <c r="AG813" s="6">
        <f>I813+J813+L813</f>
      </c>
      <c r="AH813" s="53">
        <f>$H813*I813</f>
      </c>
      <c r="AI813" s="53">
        <f>$H813*J813</f>
      </c>
      <c r="AJ813" s="53">
        <f>$H813*K813</f>
      </c>
      <c r="AK813" s="53">
        <f>$H813*L813</f>
      </c>
      <c r="AL813" s="53">
        <f>$H813*M813</f>
      </c>
      <c r="AM813" s="3"/>
      <c r="AN813" s="5"/>
      <c r="AO813" s="5"/>
      <c r="AP813" s="5"/>
      <c r="AQ813" s="3"/>
    </row>
    <row x14ac:dyDescent="0.25" r="814" customHeight="1" ht="12.75">
      <c r="A814" s="5" t="s">
        <v>243</v>
      </c>
      <c r="B814" s="3" t="s">
        <v>1151</v>
      </c>
      <c r="C814" s="3" t="s">
        <v>866</v>
      </c>
      <c r="D814" s="3" t="s">
        <v>989</v>
      </c>
      <c r="E814" s="3" t="s">
        <v>855</v>
      </c>
      <c r="F814" s="3" t="s">
        <v>1755</v>
      </c>
      <c r="G814" s="3" t="s">
        <v>1758</v>
      </c>
      <c r="H814" s="6">
        <v>1.2</v>
      </c>
      <c r="I814" s="6">
        <v>5.6</v>
      </c>
      <c r="J814" s="7">
        <v>6</v>
      </c>
      <c r="K814" s="5"/>
      <c r="L814" s="6"/>
      <c r="M814" s="6"/>
      <c r="N814" s="7"/>
      <c r="O814" s="23"/>
      <c r="P814" s="6"/>
      <c r="Q814" s="6"/>
      <c r="R814" s="31"/>
      <c r="S814" s="6"/>
      <c r="T814" s="31"/>
      <c r="U814" s="6"/>
      <c r="V814" s="23"/>
      <c r="W814" s="6"/>
      <c r="X814" s="6"/>
      <c r="Y814" s="5"/>
      <c r="Z814" s="3"/>
      <c r="AA814" s="6">
        <f>H814*I814/100</f>
      </c>
      <c r="AB814" s="6">
        <f>H814*J814/100</f>
      </c>
      <c r="AC814" s="7">
        <f>H814*K814</f>
      </c>
      <c r="AD814" s="7">
        <f>H814*M814</f>
      </c>
      <c r="AE814" s="6">
        <f>H814*L814/100</f>
      </c>
      <c r="AF814" s="6">
        <f>AA814+AB814+AE814</f>
      </c>
      <c r="AG814" s="6">
        <f>I814+J814+L814</f>
      </c>
      <c r="AH814" s="53">
        <f>$H814*I814</f>
      </c>
      <c r="AI814" s="53">
        <f>$H814*J814</f>
      </c>
      <c r="AJ814" s="53">
        <f>$H814*K814</f>
      </c>
      <c r="AK814" s="53">
        <f>$H814*L814</f>
      </c>
      <c r="AL814" s="53">
        <f>$H814*M814</f>
      </c>
      <c r="AM814" s="3"/>
      <c r="AN814" s="5"/>
      <c r="AO814" s="5"/>
      <c r="AP814" s="5"/>
      <c r="AQ814" s="3"/>
    </row>
    <row x14ac:dyDescent="0.25" r="815" customHeight="1" ht="12.75">
      <c r="A815" s="5" t="s">
        <v>695</v>
      </c>
      <c r="B815" s="3" t="s">
        <v>1151</v>
      </c>
      <c r="C815" s="3" t="s">
        <v>866</v>
      </c>
      <c r="D815" s="3" t="s">
        <v>989</v>
      </c>
      <c r="E815" s="38" t="s">
        <v>859</v>
      </c>
      <c r="F815" s="3" t="s">
        <v>1755</v>
      </c>
      <c r="G815" s="3" t="s">
        <v>1759</v>
      </c>
      <c r="H815" s="6">
        <v>0.4</v>
      </c>
      <c r="I815" s="6">
        <v>1.75</v>
      </c>
      <c r="J815" s="6">
        <v>1.75</v>
      </c>
      <c r="K815" s="5"/>
      <c r="L815" s="6"/>
      <c r="M815" s="6"/>
      <c r="N815" s="7"/>
      <c r="O815" s="23"/>
      <c r="P815" s="6"/>
      <c r="Q815" s="6"/>
      <c r="R815" s="31"/>
      <c r="S815" s="6"/>
      <c r="T815" s="31"/>
      <c r="U815" s="6"/>
      <c r="V815" s="23"/>
      <c r="W815" s="6"/>
      <c r="X815" s="6"/>
      <c r="Y815" s="5">
        <v>35</v>
      </c>
      <c r="Z815" s="3" t="s">
        <v>997</v>
      </c>
      <c r="AA815" s="6">
        <f>H815*I815/100</f>
      </c>
      <c r="AB815" s="6">
        <f>H815*J815/100</f>
      </c>
      <c r="AC815" s="7">
        <f>H815*K815</f>
      </c>
      <c r="AD815" s="7">
        <f>H815*M815</f>
      </c>
      <c r="AE815" s="6">
        <f>H815*L815/100</f>
      </c>
      <c r="AF815" s="6">
        <f>AA815+AB815+AE815</f>
      </c>
      <c r="AG815" s="6">
        <f>I815+J815+L815</f>
      </c>
      <c r="AH815" s="53">
        <f>$H815*I815</f>
      </c>
      <c r="AI815" s="53">
        <f>$H815*J815</f>
      </c>
      <c r="AJ815" s="53">
        <f>$H815*K815</f>
      </c>
      <c r="AK815" s="53">
        <f>$H815*L815</f>
      </c>
      <c r="AL815" s="53">
        <f>$H815*M815</f>
      </c>
      <c r="AM815" s="3"/>
      <c r="AN815" s="5"/>
      <c r="AO815" s="5"/>
      <c r="AP815" s="5"/>
      <c r="AQ815" s="3"/>
    </row>
    <row x14ac:dyDescent="0.25" r="816" customHeight="1" ht="12.75">
      <c r="A816" s="5" t="s">
        <v>810</v>
      </c>
      <c r="B816" s="3" t="s">
        <v>1151</v>
      </c>
      <c r="C816" s="3" t="s">
        <v>866</v>
      </c>
      <c r="D816" s="3" t="s">
        <v>989</v>
      </c>
      <c r="E816" s="38" t="s">
        <v>859</v>
      </c>
      <c r="F816" s="3" t="s">
        <v>1755</v>
      </c>
      <c r="G816" s="3" t="s">
        <v>1759</v>
      </c>
      <c r="H816" s="6">
        <v>0.025</v>
      </c>
      <c r="I816" s="6">
        <v>1.75</v>
      </c>
      <c r="J816" s="6">
        <v>1.75</v>
      </c>
      <c r="K816" s="5"/>
      <c r="L816" s="6"/>
      <c r="M816" s="6"/>
      <c r="N816" s="7">
        <f>10*(137.327/(137.327+96.06))</f>
      </c>
      <c r="O816" s="23"/>
      <c r="P816" s="6"/>
      <c r="Q816" s="6"/>
      <c r="R816" s="31"/>
      <c r="S816" s="6"/>
      <c r="T816" s="31"/>
      <c r="U816" s="6"/>
      <c r="V816" s="23"/>
      <c r="W816" s="6"/>
      <c r="X816" s="6"/>
      <c r="Y816" s="5">
        <v>15</v>
      </c>
      <c r="Z816" s="3" t="s">
        <v>997</v>
      </c>
      <c r="AA816" s="6">
        <f>H816*I816/100</f>
      </c>
      <c r="AB816" s="6">
        <f>H816*J816/100</f>
      </c>
      <c r="AC816" s="7">
        <f>H816*K816</f>
      </c>
      <c r="AD816" s="7">
        <f>H816*M816</f>
      </c>
      <c r="AE816" s="6">
        <f>H816*L816/100</f>
      </c>
      <c r="AF816" s="6">
        <f>AA816+AB816+AE816</f>
      </c>
      <c r="AG816" s="6">
        <f>I816+J816+L816</f>
      </c>
      <c r="AH816" s="53">
        <f>$H816*I816</f>
      </c>
      <c r="AI816" s="53">
        <f>$H816*J816</f>
      </c>
      <c r="AJ816" s="53">
        <f>$H816*K816</f>
      </c>
      <c r="AK816" s="53">
        <f>$H816*L816</f>
      </c>
      <c r="AL816" s="53">
        <f>$H816*M816</f>
      </c>
      <c r="AM816" s="3"/>
      <c r="AN816" s="5"/>
      <c r="AO816" s="5"/>
      <c r="AP816" s="5"/>
      <c r="AQ816" s="3"/>
    </row>
    <row x14ac:dyDescent="0.25" r="817" customHeight="1" ht="12.75">
      <c r="A817" s="5" t="s">
        <v>774</v>
      </c>
      <c r="B817" s="3" t="s">
        <v>1151</v>
      </c>
      <c r="C817" s="3" t="s">
        <v>866</v>
      </c>
      <c r="D817" s="3" t="s">
        <v>989</v>
      </c>
      <c r="E817" s="38" t="s">
        <v>859</v>
      </c>
      <c r="F817" s="3" t="s">
        <v>1755</v>
      </c>
      <c r="G817" s="3" t="s">
        <v>1759</v>
      </c>
      <c r="H817" s="5">
        <v>4</v>
      </c>
      <c r="I817" s="5">
        <v>1</v>
      </c>
      <c r="J817" s="5">
        <v>1</v>
      </c>
      <c r="K817" s="5"/>
      <c r="L817" s="6"/>
      <c r="M817" s="6"/>
      <c r="N817" s="7"/>
      <c r="O817" s="23"/>
      <c r="P817" s="6"/>
      <c r="Q817" s="6"/>
      <c r="R817" s="31"/>
      <c r="S817" s="6"/>
      <c r="T817" s="31"/>
      <c r="U817" s="6"/>
      <c r="V817" s="23"/>
      <c r="W817" s="6"/>
      <c r="X817" s="6"/>
      <c r="Y817" s="5">
        <v>25</v>
      </c>
      <c r="Z817" s="3" t="s">
        <v>997</v>
      </c>
      <c r="AA817" s="6">
        <f>H817*I817/100</f>
      </c>
      <c r="AB817" s="6">
        <f>H817*J817/100</f>
      </c>
      <c r="AC817" s="7">
        <f>H817*K817</f>
      </c>
      <c r="AD817" s="7">
        <f>H817*M817</f>
      </c>
      <c r="AE817" s="6">
        <f>H817*L817/100</f>
      </c>
      <c r="AF817" s="6">
        <f>AA817+AB817+AE817</f>
      </c>
      <c r="AG817" s="6">
        <f>I817+J817+L817</f>
      </c>
      <c r="AH817" s="53">
        <f>$H817*I817</f>
      </c>
      <c r="AI817" s="53">
        <f>$H817*J817</f>
      </c>
      <c r="AJ817" s="53">
        <f>$H817*K817</f>
      </c>
      <c r="AK817" s="53">
        <f>$H817*L817</f>
      </c>
      <c r="AL817" s="53">
        <f>$H817*M817</f>
      </c>
      <c r="AM817" s="3"/>
      <c r="AN817" s="5"/>
      <c r="AO817" s="5"/>
      <c r="AP817" s="5"/>
      <c r="AQ817" s="3"/>
    </row>
    <row x14ac:dyDescent="0.25" r="818" customHeight="1" ht="12.75">
      <c r="A818" s="5" t="s">
        <v>393</v>
      </c>
      <c r="B818" s="3" t="s">
        <v>1152</v>
      </c>
      <c r="C818" s="3" t="s">
        <v>866</v>
      </c>
      <c r="D818" s="3" t="s">
        <v>988</v>
      </c>
      <c r="E818" s="38" t="s">
        <v>859</v>
      </c>
      <c r="F818" s="3" t="s">
        <v>1171</v>
      </c>
      <c r="G818" s="3" t="s">
        <v>1173</v>
      </c>
      <c r="H818" s="6">
        <v>0.9</v>
      </c>
      <c r="I818" s="6">
        <v>1.5</v>
      </c>
      <c r="J818" s="6">
        <v>7.5</v>
      </c>
      <c r="K818" s="5"/>
      <c r="L818" s="6"/>
      <c r="M818" s="6"/>
      <c r="N818" s="7"/>
      <c r="O818" s="23"/>
      <c r="P818" s="6"/>
      <c r="Q818" s="6"/>
      <c r="R818" s="31"/>
      <c r="S818" s="6"/>
      <c r="T818" s="31"/>
      <c r="U818" s="6"/>
      <c r="V818" s="23"/>
      <c r="W818" s="6"/>
      <c r="X818" s="6"/>
      <c r="Y818" s="5"/>
      <c r="Z818" s="3"/>
      <c r="AA818" s="6">
        <f>H818*I818/100</f>
      </c>
      <c r="AB818" s="6">
        <f>H818*J818/100</f>
      </c>
      <c r="AC818" s="7">
        <f>H818*K818</f>
      </c>
      <c r="AD818" s="7">
        <f>H818*M818</f>
      </c>
      <c r="AE818" s="6">
        <f>H818*L818/100</f>
      </c>
      <c r="AF818" s="6">
        <f>AA818+AB818+AE818</f>
      </c>
      <c r="AG818" s="6">
        <f>I818+J818+L818</f>
      </c>
      <c r="AH818" s="53">
        <f>$H818*I818</f>
      </c>
      <c r="AI818" s="53">
        <f>$H818*J818</f>
      </c>
      <c r="AJ818" s="53">
        <f>$H818*K818</f>
      </c>
      <c r="AK818" s="53">
        <f>$H818*L818</f>
      </c>
      <c r="AL818" s="53">
        <f>$H818*M818</f>
      </c>
      <c r="AM818" s="3"/>
      <c r="AN818" s="5"/>
      <c r="AO818" s="5"/>
      <c r="AP818" s="5"/>
      <c r="AQ818" s="3"/>
    </row>
    <row x14ac:dyDescent="0.25" r="819" customHeight="1" ht="12.75">
      <c r="A819" s="5" t="s">
        <v>421</v>
      </c>
      <c r="B819" s="3" t="s">
        <v>1152</v>
      </c>
      <c r="C819" s="3" t="s">
        <v>870</v>
      </c>
      <c r="D819" s="3"/>
      <c r="E819" s="3" t="s">
        <v>855</v>
      </c>
      <c r="F819" s="3" t="s">
        <v>1551</v>
      </c>
      <c r="G819" s="3" t="s">
        <v>1185</v>
      </c>
      <c r="H819" s="6">
        <f>5.092+0.98+7.374</f>
      </c>
      <c r="I819" s="6"/>
      <c r="J819" s="6">
        <f>(2.5*5.092+5.65*0.98+2.49*7.374)/$H819</f>
      </c>
      <c r="K819" s="7">
        <f>(20*5.092+0*0.98+21*7.374)/$H819</f>
      </c>
      <c r="L819" s="6">
        <f>(2.94*5.092+2.64*0.98+2.72*7.374)/$H819</f>
      </c>
      <c r="M819" s="6">
        <f>(0.57*5.092+0*0.98+0.33*7.374)/$H819</f>
      </c>
      <c r="N819" s="7"/>
      <c r="O819" s="23"/>
      <c r="P819" s="6"/>
      <c r="Q819" s="6"/>
      <c r="R819" s="31"/>
      <c r="S819" s="6"/>
      <c r="T819" s="31"/>
      <c r="U819" s="6"/>
      <c r="V819" s="23"/>
      <c r="W819" s="6"/>
      <c r="X819" s="6"/>
      <c r="Y819" s="5"/>
      <c r="Z819" s="3"/>
      <c r="AA819" s="6">
        <f>H819*I819/100</f>
      </c>
      <c r="AB819" s="6">
        <f>H819*J819/100</f>
      </c>
      <c r="AC819" s="7">
        <f>H819*K819</f>
      </c>
      <c r="AD819" s="7">
        <f>H819*M819</f>
      </c>
      <c r="AE819" s="6">
        <f>H819*L819/100</f>
      </c>
      <c r="AF819" s="6">
        <f>AA819+AB819+AE819</f>
      </c>
      <c r="AG819" s="6">
        <f>I819+J819+L819</f>
      </c>
      <c r="AH819" s="53">
        <f>$H819*I819</f>
      </c>
      <c r="AI819" s="53">
        <f>$H819*J819</f>
      </c>
      <c r="AJ819" s="53">
        <f>$H819*K819</f>
      </c>
      <c r="AK819" s="53">
        <f>$H819*L819</f>
      </c>
      <c r="AL819" s="53">
        <f>$H819*M819</f>
      </c>
      <c r="AM819" s="3"/>
      <c r="AN819" s="5"/>
      <c r="AO819" s="5"/>
      <c r="AP819" s="5"/>
      <c r="AQ819" s="3"/>
    </row>
    <row x14ac:dyDescent="0.25" r="820" customHeight="1" ht="12.75">
      <c r="A820" s="5" t="s">
        <v>781</v>
      </c>
      <c r="B820" s="3" t="s">
        <v>1152</v>
      </c>
      <c r="C820" s="3" t="s">
        <v>856</v>
      </c>
      <c r="D820" s="3" t="s">
        <v>925</v>
      </c>
      <c r="E820" s="3" t="s">
        <v>855</v>
      </c>
      <c r="F820" s="3" t="s">
        <v>1760</v>
      </c>
      <c r="G820" s="3" t="s">
        <v>1398</v>
      </c>
      <c r="H820" s="6">
        <f>4.6+0.2</f>
      </c>
      <c r="I820" s="6">
        <f>(0.38*4.6+0.4*0.2)/$H820</f>
      </c>
      <c r="J820" s="6">
        <f>(0.96*4.6+1.45*0.2)/$H820</f>
      </c>
      <c r="K820" s="6">
        <f>(2.28*4.6+3.2*0.2)/$H820</f>
      </c>
      <c r="L820" s="6"/>
      <c r="M820" s="6">
        <f>(1.82*4.6+1.07*0.2)/$H820</f>
      </c>
      <c r="N820" s="7"/>
      <c r="O820" s="23"/>
      <c r="P820" s="6"/>
      <c r="Q820" s="6"/>
      <c r="R820" s="31"/>
      <c r="S820" s="6"/>
      <c r="T820" s="31"/>
      <c r="U820" s="6"/>
      <c r="V820" s="23"/>
      <c r="W820" s="6"/>
      <c r="X820" s="6"/>
      <c r="Y820" s="5"/>
      <c r="Z820" s="3"/>
      <c r="AA820" s="6">
        <f>H820*I820/100</f>
      </c>
      <c r="AB820" s="6">
        <f>H820*J820/100</f>
      </c>
      <c r="AC820" s="7">
        <f>H820*K820</f>
      </c>
      <c r="AD820" s="7">
        <f>H820*M820</f>
      </c>
      <c r="AE820" s="6">
        <f>H820*L820/100</f>
      </c>
      <c r="AF820" s="6">
        <f>AA820+AB820+AE820</f>
      </c>
      <c r="AG820" s="6">
        <f>I820+J820+L820</f>
      </c>
      <c r="AH820" s="53">
        <f>$H820*I820</f>
      </c>
      <c r="AI820" s="53">
        <f>$H820*J820</f>
      </c>
      <c r="AJ820" s="53">
        <f>$H820*K820</f>
      </c>
      <c r="AK820" s="53">
        <f>$H820*L820</f>
      </c>
      <c r="AL820" s="53">
        <f>$H820*M820</f>
      </c>
      <c r="AM820" s="3"/>
      <c r="AN820" s="5"/>
      <c r="AO820" s="5"/>
      <c r="AP820" s="5"/>
      <c r="AQ820" s="3"/>
    </row>
    <row x14ac:dyDescent="0.25" r="821" customHeight="1" ht="12.75">
      <c r="A821" s="5" t="s">
        <v>801</v>
      </c>
      <c r="B821" s="3" t="s">
        <v>1152</v>
      </c>
      <c r="C821" s="3" t="s">
        <v>866</v>
      </c>
      <c r="D821" s="3" t="s">
        <v>989</v>
      </c>
      <c r="E821" s="3" t="s">
        <v>855</v>
      </c>
      <c r="F821" s="3" t="s">
        <v>1761</v>
      </c>
      <c r="G821" s="3" t="s">
        <v>1398</v>
      </c>
      <c r="H821" s="6">
        <v>6.25</v>
      </c>
      <c r="I821" s="6">
        <v>0.005</v>
      </c>
      <c r="J821" s="6">
        <v>1.68</v>
      </c>
      <c r="K821" s="6">
        <v>1.53</v>
      </c>
      <c r="L821" s="6"/>
      <c r="M821" s="6"/>
      <c r="N821" s="7"/>
      <c r="O821" s="23"/>
      <c r="P821" s="6"/>
      <c r="Q821" s="6"/>
      <c r="R821" s="31"/>
      <c r="S821" s="6"/>
      <c r="T821" s="31"/>
      <c r="U821" s="6"/>
      <c r="V821" s="23"/>
      <c r="W821" s="6"/>
      <c r="X821" s="6"/>
      <c r="Y821" s="5"/>
      <c r="Z821" s="3"/>
      <c r="AA821" s="6">
        <f>H821*I821/100</f>
      </c>
      <c r="AB821" s="6">
        <f>H821*J821/100</f>
      </c>
      <c r="AC821" s="7">
        <f>H821*K821</f>
      </c>
      <c r="AD821" s="7">
        <f>H821*M821</f>
      </c>
      <c r="AE821" s="6">
        <f>H821*L821/100</f>
      </c>
      <c r="AF821" s="6">
        <f>AA821+AB821+AE821</f>
      </c>
      <c r="AG821" s="6">
        <f>I821+J821+L821</f>
      </c>
      <c r="AH821" s="53">
        <f>$H821*I821</f>
      </c>
      <c r="AI821" s="53">
        <f>$H821*J821</f>
      </c>
      <c r="AJ821" s="53">
        <f>$H821*K821</f>
      </c>
      <c r="AK821" s="53">
        <f>$H821*L821</f>
      </c>
      <c r="AL821" s="53">
        <f>$H821*M821</f>
      </c>
      <c r="AM821" s="3"/>
      <c r="AN821" s="5"/>
      <c r="AO821" s="5"/>
      <c r="AP821" s="5"/>
      <c r="AQ821" s="3"/>
    </row>
    <row x14ac:dyDescent="0.25" r="822" customHeight="1" ht="12.75">
      <c r="A822" s="5" t="s">
        <v>245</v>
      </c>
      <c r="B822" s="3" t="s">
        <v>1152</v>
      </c>
      <c r="C822" s="3" t="s">
        <v>869</v>
      </c>
      <c r="D822" s="3"/>
      <c r="E822" s="3" t="s">
        <v>855</v>
      </c>
      <c r="F822" s="3" t="s">
        <v>1762</v>
      </c>
      <c r="G822" s="3" t="s">
        <v>1763</v>
      </c>
      <c r="H822" s="23">
        <v>0.923475</v>
      </c>
      <c r="I822" s="6">
        <v>7.38</v>
      </c>
      <c r="J822" s="6">
        <v>2.85</v>
      </c>
      <c r="K822" s="5"/>
      <c r="L822" s="6">
        <v>1.36</v>
      </c>
      <c r="M822" s="6"/>
      <c r="N822" s="7"/>
      <c r="O822" s="23"/>
      <c r="P822" s="6"/>
      <c r="Q822" s="6"/>
      <c r="R822" s="31"/>
      <c r="S822" s="6"/>
      <c r="T822" s="31"/>
      <c r="U822" s="6"/>
      <c r="V822" s="23"/>
      <c r="W822" s="6"/>
      <c r="X822" s="6"/>
      <c r="Y822" s="5"/>
      <c r="Z822" s="3"/>
      <c r="AA822" s="6">
        <f>H822*I822/100</f>
      </c>
      <c r="AB822" s="6">
        <f>H822*J822/100</f>
      </c>
      <c r="AC822" s="7">
        <f>H822*K822</f>
      </c>
      <c r="AD822" s="7">
        <f>H822*M822</f>
      </c>
      <c r="AE822" s="6">
        <f>H822*L822/100</f>
      </c>
      <c r="AF822" s="6">
        <f>AA822+AB822+AE822</f>
      </c>
      <c r="AG822" s="6">
        <f>I822+J822+L822</f>
      </c>
      <c r="AH822" s="53">
        <f>$H822*I822</f>
      </c>
      <c r="AI822" s="53">
        <f>$H822*J822</f>
      </c>
      <c r="AJ822" s="53">
        <f>$H822*K822</f>
      </c>
      <c r="AK822" s="53">
        <f>$H822*L822</f>
      </c>
      <c r="AL822" s="53">
        <f>$H822*M822</f>
      </c>
      <c r="AM822" s="3"/>
      <c r="AN822" s="5"/>
      <c r="AO822" s="5"/>
      <c r="AP822" s="5"/>
      <c r="AQ822" s="3"/>
    </row>
    <row x14ac:dyDescent="0.25" r="823" customHeight="1" ht="12.75">
      <c r="A823" s="5" t="s">
        <v>409</v>
      </c>
      <c r="B823" s="3" t="s">
        <v>1152</v>
      </c>
      <c r="C823" s="3" t="s">
        <v>870</v>
      </c>
      <c r="D823" s="3"/>
      <c r="E823" s="3" t="s">
        <v>855</v>
      </c>
      <c r="F823" s="3" t="s">
        <v>1764</v>
      </c>
      <c r="G823" s="3" t="s">
        <v>1419</v>
      </c>
      <c r="H823" s="6">
        <f>29.669+0.369</f>
      </c>
      <c r="I823" s="6">
        <f>(1.01*29.669+0.94*0.369)/$H823</f>
      </c>
      <c r="J823" s="6">
        <f>(1.47*29.669+1.89*0.369)/$H823</f>
      </c>
      <c r="K823" s="7">
        <f>(31.3*29.669+25.5*0.369)/$H823</f>
      </c>
      <c r="L823" s="6">
        <f>(0.31*29.669+0.18*0.369)/$H823</f>
      </c>
      <c r="M823" s="6">
        <f>(0.95*29.669+0.47*0.369)/$H823</f>
      </c>
      <c r="N823" s="7"/>
      <c r="O823" s="23"/>
      <c r="P823" s="6"/>
      <c r="Q823" s="6"/>
      <c r="R823" s="31"/>
      <c r="S823" s="6"/>
      <c r="T823" s="31"/>
      <c r="U823" s="6"/>
      <c r="V823" s="23"/>
      <c r="W823" s="6"/>
      <c r="X823" s="6"/>
      <c r="Y823" s="5"/>
      <c r="Z823" s="3"/>
      <c r="AA823" s="6">
        <f>H823*I823/100</f>
      </c>
      <c r="AB823" s="6">
        <f>H823*J823/100</f>
      </c>
      <c r="AC823" s="7">
        <f>H823*K823</f>
      </c>
      <c r="AD823" s="7">
        <f>H823*M823</f>
      </c>
      <c r="AE823" s="6">
        <f>H823*L823/100</f>
      </c>
      <c r="AF823" s="6">
        <f>AA823+AB823+AE823</f>
      </c>
      <c r="AG823" s="6">
        <f>I823+J823+L823</f>
      </c>
      <c r="AH823" s="53">
        <f>$H823*I823</f>
      </c>
      <c r="AI823" s="53">
        <f>$H823*J823</f>
      </c>
      <c r="AJ823" s="53">
        <f>$H823*K823</f>
      </c>
      <c r="AK823" s="53">
        <f>$H823*L823</f>
      </c>
      <c r="AL823" s="53">
        <f>$H823*M823</f>
      </c>
      <c r="AM823" s="3"/>
      <c r="AN823" s="5"/>
      <c r="AO823" s="5"/>
      <c r="AP823" s="5"/>
      <c r="AQ823" s="3"/>
    </row>
    <row x14ac:dyDescent="0.25" r="824" customHeight="1" ht="12.75">
      <c r="A824" s="5" t="s">
        <v>846</v>
      </c>
      <c r="B824" s="3" t="s">
        <v>1153</v>
      </c>
      <c r="C824" s="3" t="s">
        <v>956</v>
      </c>
      <c r="D824" s="3" t="s">
        <v>957</v>
      </c>
      <c r="E824" s="3" t="s">
        <v>855</v>
      </c>
      <c r="F824" s="3" t="s">
        <v>1765</v>
      </c>
      <c r="G824" s="3" t="s">
        <v>1766</v>
      </c>
      <c r="H824" s="6">
        <v>3.499</v>
      </c>
      <c r="I824" s="6"/>
      <c r="J824" s="6">
        <v>0.29</v>
      </c>
      <c r="K824" s="7"/>
      <c r="L824" s="6">
        <v>0.45</v>
      </c>
      <c r="M824" s="6"/>
      <c r="N824" s="7"/>
      <c r="O824" s="23"/>
      <c r="P824" s="6"/>
      <c r="Q824" s="6">
        <v>0.33</v>
      </c>
      <c r="R824" s="31"/>
      <c r="S824" s="6"/>
      <c r="T824" s="31"/>
      <c r="U824" s="6"/>
      <c r="V824" s="23"/>
      <c r="W824" s="6"/>
      <c r="X824" s="6"/>
      <c r="Y824" s="5"/>
      <c r="Z824" s="3"/>
      <c r="AA824" s="6">
        <f>H824*I824/100</f>
      </c>
      <c r="AB824" s="6">
        <f>H824*J824/100</f>
      </c>
      <c r="AC824" s="7">
        <f>H824*K824</f>
      </c>
      <c r="AD824" s="7">
        <f>H824*M824</f>
      </c>
      <c r="AE824" s="6">
        <f>H824*L824/100</f>
      </c>
      <c r="AF824" s="6">
        <f>AA824+AB824+AE824</f>
      </c>
      <c r="AG824" s="6">
        <f>I824+J824+L824</f>
      </c>
      <c r="AH824" s="53">
        <f>$H824*I824</f>
      </c>
      <c r="AI824" s="53">
        <f>$H824*J824</f>
      </c>
      <c r="AJ824" s="53">
        <f>$H824*K824</f>
      </c>
      <c r="AK824" s="53">
        <f>$H824*L824</f>
      </c>
      <c r="AL824" s="53">
        <f>$H824*M824</f>
      </c>
      <c r="AM824" s="3"/>
      <c r="AN824" s="5"/>
      <c r="AO824" s="5"/>
      <c r="AP824" s="5"/>
      <c r="AQ824" s="3"/>
    </row>
    <row x14ac:dyDescent="0.25" r="825" customHeight="1" ht="12.75">
      <c r="A825" s="5" t="s">
        <v>451</v>
      </c>
      <c r="B825" s="3" t="s">
        <v>1154</v>
      </c>
      <c r="C825" s="3" t="s">
        <v>870</v>
      </c>
      <c r="D825" s="3"/>
      <c r="E825" s="3" t="s">
        <v>855</v>
      </c>
      <c r="F825" s="3" t="s">
        <v>1767</v>
      </c>
      <c r="G825" s="3" t="s">
        <v>1530</v>
      </c>
      <c r="H825" s="23">
        <f>6.702803+8.431244+2.336734</f>
      </c>
      <c r="I825" s="6">
        <f>(0.18*6.702803+0.257*8.431244+0.334*2.336734)/$H825</f>
      </c>
      <c r="J825" s="6">
        <f>(3.947*6.702803+2.358*8.431244+2.2*2.336734)/$H825</f>
      </c>
      <c r="K825" s="7">
        <f>(27.297*6.702803+22.242*8.431244+26.525*2.336734)/$H825</f>
      </c>
      <c r="L825" s="6">
        <f>(0.473*6.702803+0.218*8.431244+0.362*2.336734)/$H825</f>
      </c>
      <c r="M825" s="6">
        <f>(2.16*6.702803+1.925*8.431244+2.075*2.336734)/$H825</f>
      </c>
      <c r="N825" s="7"/>
      <c r="O825" s="23"/>
      <c r="P825" s="6"/>
      <c r="Q825" s="6"/>
      <c r="R825" s="31"/>
      <c r="S825" s="6"/>
      <c r="T825" s="31"/>
      <c r="U825" s="6"/>
      <c r="V825" s="23"/>
      <c r="W825" s="6"/>
      <c r="X825" s="6"/>
      <c r="Y825" s="5"/>
      <c r="Z825" s="3"/>
      <c r="AA825" s="6">
        <f>H825*I825/100</f>
      </c>
      <c r="AB825" s="6">
        <f>H825*J825/100</f>
      </c>
      <c r="AC825" s="7">
        <f>H825*K825</f>
      </c>
      <c r="AD825" s="7">
        <f>H825*M825</f>
      </c>
      <c r="AE825" s="6">
        <f>H825*L825/100</f>
      </c>
      <c r="AF825" s="6">
        <f>AA825+AB825+AE825</f>
      </c>
      <c r="AG825" s="6">
        <f>I825+J825+L825</f>
      </c>
      <c r="AH825" s="53">
        <f>$H825*I825</f>
      </c>
      <c r="AI825" s="53">
        <f>$H825*J825</f>
      </c>
      <c r="AJ825" s="53">
        <f>$H825*K825</f>
      </c>
      <c r="AK825" s="53">
        <f>$H825*L825</f>
      </c>
      <c r="AL825" s="53">
        <f>$H825*M825</f>
      </c>
      <c r="AM825" s="3"/>
      <c r="AN825" s="5"/>
      <c r="AO825" s="5"/>
      <c r="AP825" s="5"/>
      <c r="AQ825" s="3"/>
    </row>
    <row x14ac:dyDescent="0.25" r="826" customHeight="1" ht="12.75">
      <c r="A826" s="5" t="s">
        <v>553</v>
      </c>
      <c r="B826" s="3" t="s">
        <v>1154</v>
      </c>
      <c r="C826" s="3" t="s">
        <v>870</v>
      </c>
      <c r="D826" s="3"/>
      <c r="E826" s="3" t="s">
        <v>855</v>
      </c>
      <c r="F826" s="3" t="s">
        <v>1502</v>
      </c>
      <c r="G826" s="3" t="s">
        <v>1465</v>
      </c>
      <c r="H826" s="6">
        <f>(3.02+3.12)*0.9072</f>
      </c>
      <c r="I826" s="6">
        <f>(0.26*3.02+0.39*3.12)/(3.02+3.12)</f>
      </c>
      <c r="J826" s="6">
        <f>(5.63*3.02+5.58*3.12)/(3.02+3.12)</f>
      </c>
      <c r="K826" s="7">
        <f>((1.36*3.02+1.56*3.12)/(3.02+3.12))*31.1/0.9072</f>
      </c>
      <c r="L826" s="6">
        <f>(0.64*3.02+0.39*3.12)/(3.02+3.12)</f>
      </c>
      <c r="M826" s="7">
        <f>((0.04*3.02+0.04*3.12)/(3.02+3.12))*31.1/0.9072</f>
      </c>
      <c r="N826" s="7"/>
      <c r="O826" s="23"/>
      <c r="P826" s="6"/>
      <c r="Q826" s="6"/>
      <c r="R826" s="31"/>
      <c r="S826" s="6"/>
      <c r="T826" s="31"/>
      <c r="U826" s="6"/>
      <c r="V826" s="23"/>
      <c r="W826" s="6"/>
      <c r="X826" s="6"/>
      <c r="Y826" s="5"/>
      <c r="Z826" s="3"/>
      <c r="AA826" s="6">
        <f>H826*I826/100</f>
      </c>
      <c r="AB826" s="6">
        <f>H826*J826/100</f>
      </c>
      <c r="AC826" s="7">
        <f>H826*K826</f>
      </c>
      <c r="AD826" s="7">
        <f>H826*M826</f>
      </c>
      <c r="AE826" s="6">
        <f>H826*L826/100</f>
      </c>
      <c r="AF826" s="6">
        <f>AA826+AB826+AE826</f>
      </c>
      <c r="AG826" s="6">
        <f>I826+J826+L826</f>
      </c>
      <c r="AH826" s="53">
        <f>$H826*I826</f>
      </c>
      <c r="AI826" s="53">
        <f>$H826*J826</f>
      </c>
      <c r="AJ826" s="53">
        <f>$H826*K826</f>
      </c>
      <c r="AK826" s="53">
        <f>$H826*L826</f>
      </c>
      <c r="AL826" s="53">
        <f>$H826*M826</f>
      </c>
      <c r="AM826" s="3"/>
      <c r="AN826" s="5"/>
      <c r="AO826" s="5"/>
      <c r="AP826" s="5"/>
      <c r="AQ826" s="3"/>
    </row>
    <row x14ac:dyDescent="0.25" r="827" customHeight="1" ht="12.75">
      <c r="A827" s="5" t="s">
        <v>157</v>
      </c>
      <c r="B827" s="3" t="s">
        <v>1154</v>
      </c>
      <c r="C827" s="3" t="s">
        <v>863</v>
      </c>
      <c r="D827" s="3"/>
      <c r="E827" s="38" t="s">
        <v>859</v>
      </c>
      <c r="F827" s="3" t="s">
        <v>1768</v>
      </c>
      <c r="G827" s="3" t="s">
        <v>1769</v>
      </c>
      <c r="H827" s="23">
        <f>0.041605+0.048336+0.1+1.075</f>
      </c>
      <c r="I827" s="6">
        <f>(2.5*0.041605+2.5*0.048336+2.5*0.1+2.5*1.075)/$H827</f>
      </c>
      <c r="J827" s="6">
        <f>(3.5*0.041605+3.5*0.048336+3.5*0.1+3.5*1.075)/$H827</f>
      </c>
      <c r="K827" s="31">
        <f>31.1*(17.35*0.041605+7.56*0.048336+7*0.1+7.5*1.075)/$H827</f>
      </c>
      <c r="L827" s="6"/>
      <c r="M827" s="6">
        <f>31.1*(0.25*0.041605+0.176*0.048336+0.15*0.1+0.17*1.075)/$H827</f>
      </c>
      <c r="N827" s="7"/>
      <c r="O827" s="23"/>
      <c r="P827" s="6"/>
      <c r="Q827" s="6"/>
      <c r="R827" s="31"/>
      <c r="S827" s="6"/>
      <c r="T827" s="31"/>
      <c r="U827" s="6"/>
      <c r="V827" s="23"/>
      <c r="W827" s="6"/>
      <c r="X827" s="6"/>
      <c r="Y827" s="5"/>
      <c r="Z827" s="3"/>
      <c r="AA827" s="6">
        <f>H827*I827/100</f>
      </c>
      <c r="AB827" s="6">
        <f>H827*J827/100</f>
      </c>
      <c r="AC827" s="7">
        <f>H827*K827</f>
      </c>
      <c r="AD827" s="7">
        <f>H827*M827</f>
      </c>
      <c r="AE827" s="6">
        <f>H827*L827/100</f>
      </c>
      <c r="AF827" s="6">
        <f>AA827+AB827+AE827</f>
      </c>
      <c r="AG827" s="6">
        <f>I827+J827+L827</f>
      </c>
      <c r="AH827" s="53">
        <f>$H827*I827</f>
      </c>
      <c r="AI827" s="53">
        <f>$H827*J827</f>
      </c>
      <c r="AJ827" s="53">
        <f>$H827*K827</f>
      </c>
      <c r="AK827" s="53">
        <f>$H827*L827</f>
      </c>
      <c r="AL827" s="53">
        <f>$H827*M827</f>
      </c>
      <c r="AM827" s="3"/>
      <c r="AN827" s="5"/>
      <c r="AO827" s="5"/>
      <c r="AP827" s="5"/>
      <c r="AQ827" s="3"/>
    </row>
    <row x14ac:dyDescent="0.25" r="828" customHeight="1" ht="12.75">
      <c r="A828" s="5" t="s">
        <v>1057</v>
      </c>
      <c r="B828" s="3" t="s">
        <v>1154</v>
      </c>
      <c r="C828" s="3" t="s">
        <v>1087</v>
      </c>
      <c r="D828" s="3"/>
      <c r="E828" s="16" t="s">
        <v>1625</v>
      </c>
      <c r="F828" s="3" t="s">
        <v>1768</v>
      </c>
      <c r="G828" s="3" t="s">
        <v>1769</v>
      </c>
      <c r="H828" s="23">
        <f>0.025+0.021775</f>
      </c>
      <c r="I828" s="6">
        <f>(0.15*0.025+0.38*0.021775)/$H828</f>
      </c>
      <c r="J828" s="6">
        <f>(0.42*0.025+0.91*0.021775)/$H828</f>
      </c>
      <c r="K828" s="7">
        <f>(50.22*0.025+120.22*0.021775)/$H828</f>
      </c>
      <c r="L828" s="6">
        <f>(0.04*0.025+0.1*0.021775)/$H828</f>
      </c>
      <c r="M828" s="6">
        <f>(0.36*0.025+0.79*0.021775)/$H828</f>
      </c>
      <c r="N828" s="7"/>
      <c r="O828" s="23"/>
      <c r="P828" s="6"/>
      <c r="Q828" s="6"/>
      <c r="R828" s="31"/>
      <c r="S828" s="6"/>
      <c r="T828" s="31"/>
      <c r="U828" s="6"/>
      <c r="V828" s="23"/>
      <c r="W828" s="6"/>
      <c r="X828" s="6"/>
      <c r="Y828" s="5"/>
      <c r="Z828" s="3"/>
      <c r="AA828" s="6">
        <f>H828*I828/100</f>
      </c>
      <c r="AB828" s="6">
        <f>H828*J828/100</f>
      </c>
      <c r="AC828" s="7">
        <f>H828*K828</f>
      </c>
      <c r="AD828" s="7">
        <f>H828*M828</f>
      </c>
      <c r="AE828" s="6">
        <f>H828*L828/100</f>
      </c>
      <c r="AF828" s="6">
        <f>AA828+AB828+AE828</f>
      </c>
      <c r="AG828" s="6">
        <f>I828+J828+L828</f>
      </c>
      <c r="AH828" s="53">
        <f>$H828*I828</f>
      </c>
      <c r="AI828" s="53">
        <f>$H828*J828</f>
      </c>
      <c r="AJ828" s="53">
        <f>$H828*K828</f>
      </c>
      <c r="AK828" s="53">
        <f>$H828*L828</f>
      </c>
      <c r="AL828" s="53">
        <f>$H828*M828</f>
      </c>
      <c r="AM828" s="3"/>
      <c r="AN828" s="5"/>
      <c r="AO828" s="5"/>
      <c r="AP828" s="5"/>
      <c r="AQ828" s="3"/>
    </row>
    <row x14ac:dyDescent="0.25" r="829" customHeight="1" ht="12.75">
      <c r="A829" s="5" t="s">
        <v>526</v>
      </c>
      <c r="B829" s="3" t="s">
        <v>1154</v>
      </c>
      <c r="C829" s="3" t="s">
        <v>863</v>
      </c>
      <c r="D829" s="3" t="s">
        <v>973</v>
      </c>
      <c r="E829" s="3" t="s">
        <v>855</v>
      </c>
      <c r="F829" s="3" t="s">
        <v>1770</v>
      </c>
      <c r="G829" s="3" t="s">
        <v>1423</v>
      </c>
      <c r="H829" s="23">
        <f>(0.7636+0.0297+0.7072+0.88)*0.9072</f>
      </c>
      <c r="I829" s="6">
        <f>(6.6*0.7636+7.71*0.0297+5.13*0.7072+8.09*0.88)/(0.7636+0.0297+0.7072+0.88)</f>
      </c>
      <c r="J829" s="6"/>
      <c r="K829" s="7">
        <f>((6.61*0.7636+11.49*0.0297+5.25*0.7072+6.77*0.88)/(0.7636+0.0297+0.7072+0.88))*31.1/0.9072</f>
      </c>
      <c r="L829" s="6"/>
      <c r="M829" s="6"/>
      <c r="N829" s="7"/>
      <c r="O829" s="23"/>
      <c r="P829" s="6"/>
      <c r="Q829" s="6"/>
      <c r="R829" s="31"/>
      <c r="S829" s="6"/>
      <c r="T829" s="31"/>
      <c r="U829" s="6"/>
      <c r="V829" s="23"/>
      <c r="W829" s="6"/>
      <c r="X829" s="6"/>
      <c r="Y829" s="5"/>
      <c r="Z829" s="3"/>
      <c r="AA829" s="6">
        <f>H829*I829/100</f>
      </c>
      <c r="AB829" s="6">
        <f>H829*J829/100</f>
      </c>
      <c r="AC829" s="7">
        <f>H829*K829</f>
      </c>
      <c r="AD829" s="7">
        <f>H829*M829</f>
      </c>
      <c r="AE829" s="6">
        <f>H829*L829/100</f>
      </c>
      <c r="AF829" s="6">
        <f>AA829+AB829+AE829</f>
      </c>
      <c r="AG829" s="6">
        <f>I829+J829+L829</f>
      </c>
      <c r="AH829" s="53">
        <f>$H829*I829</f>
      </c>
      <c r="AI829" s="53">
        <f>$H829*J829</f>
      </c>
      <c r="AJ829" s="53">
        <f>$H829*K829</f>
      </c>
      <c r="AK829" s="53">
        <f>$H829*L829</f>
      </c>
      <c r="AL829" s="53">
        <f>$H829*M829</f>
      </c>
      <c r="AM829" s="3"/>
      <c r="AN829" s="5"/>
      <c r="AO829" s="5"/>
      <c r="AP829" s="5"/>
      <c r="AQ829" s="3"/>
    </row>
    <row x14ac:dyDescent="0.25" r="830" customHeight="1" ht="12.75">
      <c r="A830" s="5" t="s">
        <v>377</v>
      </c>
      <c r="B830" s="3" t="s">
        <v>1154</v>
      </c>
      <c r="C830" s="3" t="s">
        <v>866</v>
      </c>
      <c r="D830" s="3" t="s">
        <v>989</v>
      </c>
      <c r="E830" s="3" t="s">
        <v>855</v>
      </c>
      <c r="F830" s="3" t="s">
        <v>1432</v>
      </c>
      <c r="G830" s="3" t="s">
        <v>1181</v>
      </c>
      <c r="H830" s="6">
        <f>0.57+5.3+24.75</f>
      </c>
      <c r="I830" s="6"/>
      <c r="J830" s="6">
        <f>(2.71*0.57+3.86*5.3+3.86*24.75)/H830</f>
      </c>
      <c r="K830" s="5"/>
      <c r="L830" s="6"/>
      <c r="M830" s="6"/>
      <c r="N830" s="7"/>
      <c r="O830" s="23"/>
      <c r="P830" s="6"/>
      <c r="Q830" s="6"/>
      <c r="R830" s="31"/>
      <c r="S830" s="6"/>
      <c r="T830" s="31"/>
      <c r="U830" s="6"/>
      <c r="V830" s="23"/>
      <c r="W830" s="6"/>
      <c r="X830" s="6"/>
      <c r="Y830" s="5"/>
      <c r="Z830" s="3"/>
      <c r="AA830" s="6">
        <f>H830*I830/100</f>
      </c>
      <c r="AB830" s="6">
        <f>H830*J830/100</f>
      </c>
      <c r="AC830" s="7">
        <f>H830*K830</f>
      </c>
      <c r="AD830" s="7">
        <f>H830*M830</f>
      </c>
      <c r="AE830" s="6">
        <f>H830*L830/100</f>
      </c>
      <c r="AF830" s="6">
        <f>AA830+AB830+AE830</f>
      </c>
      <c r="AG830" s="6">
        <f>I830+J830+L830</f>
      </c>
      <c r="AH830" s="53">
        <f>$H830*I830</f>
      </c>
      <c r="AI830" s="53">
        <f>$H830*J830</f>
      </c>
      <c r="AJ830" s="53">
        <f>$H830*K830</f>
      </c>
      <c r="AK830" s="53">
        <f>$H830*L830</f>
      </c>
      <c r="AL830" s="53">
        <f>$H830*M830</f>
      </c>
      <c r="AM830" s="3"/>
      <c r="AN830" s="5"/>
      <c r="AO830" s="5"/>
      <c r="AP830" s="5"/>
      <c r="AQ830" s="3"/>
    </row>
    <row x14ac:dyDescent="0.25" r="831" customHeight="1" ht="12.75">
      <c r="A831" s="5" t="s">
        <v>649</v>
      </c>
      <c r="B831" s="3" t="s">
        <v>1154</v>
      </c>
      <c r="C831" s="3" t="s">
        <v>869</v>
      </c>
      <c r="D831" s="3"/>
      <c r="E831" s="38" t="s">
        <v>859</v>
      </c>
      <c r="F831" s="3" t="s">
        <v>1771</v>
      </c>
      <c r="G831" s="3" t="s">
        <v>1772</v>
      </c>
      <c r="H831" s="6">
        <f>18.23+9.65</f>
      </c>
      <c r="I831" s="6"/>
      <c r="J831" s="6">
        <f>(0.19*18.23+0.31*9.65)/(18.23+9.65)</f>
      </c>
      <c r="K831" s="6">
        <f>((31.1*0.44*18.23+0*9.65)/(18.23+9.65))</f>
      </c>
      <c r="L831" s="6">
        <f>(0.49*18.23+0.29*9.65)/(18.23+9.65)</f>
      </c>
      <c r="M831" s="6">
        <f>((31.1*0.015*18.23+0*9.65)/(18.23+9.65))</f>
      </c>
      <c r="N831" s="7"/>
      <c r="O831" s="23"/>
      <c r="P831" s="6"/>
      <c r="Q831" s="6"/>
      <c r="R831" s="31"/>
      <c r="S831" s="6"/>
      <c r="T831" s="31"/>
      <c r="U831" s="6"/>
      <c r="V831" s="23"/>
      <c r="W831" s="6"/>
      <c r="X831" s="6"/>
      <c r="Y831" s="5"/>
      <c r="Z831" s="3"/>
      <c r="AA831" s="6">
        <f>H831*I831/100</f>
      </c>
      <c r="AB831" s="6">
        <f>H831*J831/100</f>
      </c>
      <c r="AC831" s="7">
        <f>H831*K831</f>
      </c>
      <c r="AD831" s="7">
        <f>H831*M831</f>
      </c>
      <c r="AE831" s="6">
        <f>H831*L831/100</f>
      </c>
      <c r="AF831" s="6">
        <f>AA831+AB831+AE831</f>
      </c>
      <c r="AG831" s="6">
        <f>I831+J831+L831</f>
      </c>
      <c r="AH831" s="53">
        <f>$H831*I831</f>
      </c>
      <c r="AI831" s="53">
        <f>$H831*J831</f>
      </c>
      <c r="AJ831" s="53">
        <f>$H831*K831</f>
      </c>
      <c r="AK831" s="53">
        <f>$H831*L831</f>
      </c>
      <c r="AL831" s="53">
        <f>$H831*M831</f>
      </c>
      <c r="AM831" s="3"/>
      <c r="AN831" s="5"/>
      <c r="AO831" s="5"/>
      <c r="AP831" s="5"/>
      <c r="AQ831" s="3"/>
    </row>
    <row x14ac:dyDescent="0.25" r="832" customHeight="1" ht="12.75">
      <c r="A832" s="5" t="s">
        <v>70</v>
      </c>
      <c r="B832" s="3" t="s">
        <v>1154</v>
      </c>
      <c r="C832" s="3" t="s">
        <v>870</v>
      </c>
      <c r="D832" s="3"/>
      <c r="E832" s="3" t="s">
        <v>855</v>
      </c>
      <c r="F832" s="3" t="s">
        <v>1650</v>
      </c>
      <c r="G832" s="3" t="s">
        <v>1415</v>
      </c>
      <c r="H832" s="23">
        <f>(0.014+7.783+0.007+0.761+2.385)*0.9072</f>
      </c>
      <c r="I832" s="7">
        <f>(3*0.014+3.3*7.783+4.4*0.007+3.2*0.761+2.7*2.385)/(0.014+7.783+0.007+0.761+2.385)</f>
      </c>
      <c r="J832" s="7">
        <f>(8.1*0.014+8.7*7.783+10.5*0.007+7.3*0.761+6.5*2.385)/(0.014+7.783+0.007+0.761+2.385)</f>
      </c>
      <c r="K832" s="31">
        <f>((12.9*0.014+11.9*7.783+17.6*0.007+12.2*0.761+13.3*2.385)/(0.014+7.783+0.007+0.761+2.385))*31.1/0.9072</f>
      </c>
      <c r="L832" s="6"/>
      <c r="M832" s="7">
        <f>((0.13*0.014+0.09*7.783+0.08*0.007+0.09*0.761+0.09*2.385)/(0.014+7.783+0.007+0.761+2.385))*31.1/0.9072</f>
      </c>
      <c r="N832" s="7"/>
      <c r="O832" s="23"/>
      <c r="P832" s="6"/>
      <c r="Q832" s="6"/>
      <c r="R832" s="31"/>
      <c r="S832" s="6"/>
      <c r="T832" s="31"/>
      <c r="U832" s="6"/>
      <c r="V832" s="23"/>
      <c r="W832" s="6"/>
      <c r="X832" s="6"/>
      <c r="Y832" s="5"/>
      <c r="Z832" s="3"/>
      <c r="AA832" s="6">
        <f>H832*I832/100</f>
      </c>
      <c r="AB832" s="6">
        <f>H832*J832/100</f>
      </c>
      <c r="AC832" s="7">
        <f>H832*K832</f>
      </c>
      <c r="AD832" s="7">
        <f>H832*M832</f>
      </c>
      <c r="AE832" s="6">
        <f>H832*L832/100</f>
      </c>
      <c r="AF832" s="6">
        <f>AA832+AB832+AE832</f>
      </c>
      <c r="AG832" s="6">
        <f>I832+J832+L832</f>
      </c>
      <c r="AH832" s="53">
        <f>$H832*I832</f>
      </c>
      <c r="AI832" s="53">
        <f>$H832*J832</f>
      </c>
      <c r="AJ832" s="53">
        <f>$H832*K832</f>
      </c>
      <c r="AK832" s="53">
        <f>$H832*L832</f>
      </c>
      <c r="AL832" s="53">
        <f>$H832*M832</f>
      </c>
      <c r="AM832" s="3"/>
      <c r="AN832" s="5"/>
      <c r="AO832" s="5"/>
      <c r="AP832" s="5"/>
      <c r="AQ832" s="3"/>
    </row>
    <row x14ac:dyDescent="0.25" r="833" customHeight="1" ht="12.75">
      <c r="A833" s="5" t="s">
        <v>201</v>
      </c>
      <c r="B833" s="3" t="s">
        <v>1154</v>
      </c>
      <c r="C833" s="3" t="s">
        <v>866</v>
      </c>
      <c r="D833" s="3" t="s">
        <v>988</v>
      </c>
      <c r="E833" s="3" t="s">
        <v>855</v>
      </c>
      <c r="F833" s="3" t="s">
        <v>1773</v>
      </c>
      <c r="G833" s="3" t="s">
        <v>1185</v>
      </c>
      <c r="H833" s="6">
        <f>18.11+5.34</f>
      </c>
      <c r="I833" s="6">
        <f>(2.72*18.11+2.69*5.34)/$H833</f>
      </c>
      <c r="J833" s="6">
        <f>(8.1*18.11+8.66*5.34)/$H833</f>
      </c>
      <c r="K833" s="7">
        <f>(50.2*18.11+38*5.34)/$H833</f>
      </c>
      <c r="L833" s="6"/>
      <c r="M833" s="6"/>
      <c r="N833" s="7"/>
      <c r="O833" s="23"/>
      <c r="P833" s="6"/>
      <c r="Q833" s="6"/>
      <c r="R833" s="31"/>
      <c r="S833" s="6"/>
      <c r="T833" s="31"/>
      <c r="U833" s="6"/>
      <c r="V833" s="23"/>
      <c r="W833" s="6"/>
      <c r="X833" s="6"/>
      <c r="Y833" s="5"/>
      <c r="Z833" s="3"/>
      <c r="AA833" s="6">
        <f>H833*I833/100</f>
      </c>
      <c r="AB833" s="6">
        <f>H833*J833/100</f>
      </c>
      <c r="AC833" s="7">
        <f>H833*K833</f>
      </c>
      <c r="AD833" s="7">
        <f>H833*M833</f>
      </c>
      <c r="AE833" s="6">
        <f>H833*L833/100</f>
      </c>
      <c r="AF833" s="6">
        <f>AA833+AB833+AE833</f>
      </c>
      <c r="AG833" s="6">
        <f>I833+J833+L833</f>
      </c>
      <c r="AH833" s="53">
        <f>$H833*I833</f>
      </c>
      <c r="AI833" s="53">
        <f>$H833*J833</f>
      </c>
      <c r="AJ833" s="53">
        <f>$H833*K833</f>
      </c>
      <c r="AK833" s="53">
        <f>$H833*L833</f>
      </c>
      <c r="AL833" s="53">
        <f>$H833*M833</f>
      </c>
      <c r="AM833" s="3"/>
      <c r="AN833" s="5"/>
      <c r="AO833" s="5"/>
      <c r="AP833" s="5"/>
      <c r="AQ833" s="3"/>
    </row>
    <row x14ac:dyDescent="0.25" r="834" customHeight="1" ht="12.75">
      <c r="A834" s="5" t="s">
        <v>415</v>
      </c>
      <c r="B834" s="3" t="s">
        <v>1154</v>
      </c>
      <c r="C834" s="3" t="s">
        <v>869</v>
      </c>
      <c r="D834" s="3"/>
      <c r="E834" s="38" t="s">
        <v>859</v>
      </c>
      <c r="F834" s="3" t="s">
        <v>1774</v>
      </c>
      <c r="G834" s="3" t="s">
        <v>1775</v>
      </c>
      <c r="H834" s="7">
        <f>7.4*0.9072</f>
      </c>
      <c r="I834" s="6"/>
      <c r="J834" s="5">
        <v>5</v>
      </c>
      <c r="K834" s="31">
        <f>1.2*31.1/0.9072</f>
      </c>
      <c r="L834" s="6">
        <v>2.2</v>
      </c>
      <c r="M834" s="7">
        <f>0.006*31.1/0.9072</f>
      </c>
      <c r="N834" s="7"/>
      <c r="O834" s="23"/>
      <c r="P834" s="6"/>
      <c r="Q834" s="6"/>
      <c r="R834" s="31"/>
      <c r="S834" s="6"/>
      <c r="T834" s="31"/>
      <c r="U834" s="6"/>
      <c r="V834" s="23"/>
      <c r="W834" s="6"/>
      <c r="X834" s="6"/>
      <c r="Y834" s="5"/>
      <c r="Z834" s="3"/>
      <c r="AA834" s="6">
        <f>H834*I834/100</f>
      </c>
      <c r="AB834" s="6">
        <f>H834*J834/100</f>
      </c>
      <c r="AC834" s="7">
        <f>H834*K834</f>
      </c>
      <c r="AD834" s="7">
        <f>H834*M834</f>
      </c>
      <c r="AE834" s="6">
        <f>H834*L834/100</f>
      </c>
      <c r="AF834" s="6">
        <f>AA834+AB834+AE834</f>
      </c>
      <c r="AG834" s="6">
        <f>I834+J834+L834</f>
      </c>
      <c r="AH834" s="53">
        <f>$H834*I834</f>
      </c>
      <c r="AI834" s="53">
        <f>$H834*J834</f>
      </c>
      <c r="AJ834" s="53">
        <f>$H834*K834</f>
      </c>
      <c r="AK834" s="53">
        <f>$H834*L834</f>
      </c>
      <c r="AL834" s="53">
        <f>$H834*M834</f>
      </c>
      <c r="AM834" s="3"/>
      <c r="AN834" s="5"/>
      <c r="AO834" s="5"/>
      <c r="AP834" s="5"/>
      <c r="AQ834" s="3"/>
    </row>
    <row x14ac:dyDescent="0.25" r="835" customHeight="1" ht="12.75">
      <c r="A835" s="5" t="s">
        <v>230</v>
      </c>
      <c r="B835" s="3" t="s">
        <v>1154</v>
      </c>
      <c r="C835" s="3" t="s">
        <v>863</v>
      </c>
      <c r="D835" s="3" t="s">
        <v>973</v>
      </c>
      <c r="E835" s="3" t="s">
        <v>855</v>
      </c>
      <c r="F835" s="3" t="s">
        <v>1650</v>
      </c>
      <c r="G835" s="3" t="s">
        <v>1415</v>
      </c>
      <c r="H835" s="23">
        <f>(3.708+2.698+12.279+9.318+7.481)*0.9072</f>
      </c>
      <c r="I835" s="7">
        <f>(7.3*3.708+7.2*2.698+3.6*12.279+3.4*9.318+4.9*7.481)/(3.708+2.698+12.279+9.318+7.481)</f>
      </c>
      <c r="J835" s="7">
        <f>(2.3*3.708+2.6*2.698+2.2*12.279+1.9*9.318+1.9*7.481)/(3.708+2.698+12.279+9.318+4.9*7.481)</f>
      </c>
      <c r="K835" s="31">
        <f>((12.1*3.708+12*2.698+5.5*12.279+5.2*9.318+7.4*7.481)/(3.708+2.698+12.279+9.318+7.481))*31.1/0.9072</f>
      </c>
      <c r="L835" s="6"/>
      <c r="M835" s="6"/>
      <c r="N835" s="7"/>
      <c r="O835" s="23"/>
      <c r="P835" s="6"/>
      <c r="Q835" s="6"/>
      <c r="R835" s="31"/>
      <c r="S835" s="6"/>
      <c r="T835" s="31"/>
      <c r="U835" s="6"/>
      <c r="V835" s="23"/>
      <c r="W835" s="6"/>
      <c r="X835" s="6"/>
      <c r="Y835" s="5"/>
      <c r="Z835" s="3"/>
      <c r="AA835" s="6">
        <f>H835*I835/100</f>
      </c>
      <c r="AB835" s="6">
        <f>H835*J835/100</f>
      </c>
      <c r="AC835" s="7">
        <f>H835*K835</f>
      </c>
      <c r="AD835" s="7">
        <f>H835*M835</f>
      </c>
      <c r="AE835" s="6">
        <f>H835*L835/100</f>
      </c>
      <c r="AF835" s="6">
        <f>AA835+AB835+AE835</f>
      </c>
      <c r="AG835" s="6">
        <f>I835+J835+L835</f>
      </c>
      <c r="AH835" s="53">
        <f>$H835*I835</f>
      </c>
      <c r="AI835" s="53">
        <f>$H835*J835</f>
      </c>
      <c r="AJ835" s="53">
        <f>$H835*K835</f>
      </c>
      <c r="AK835" s="53">
        <f>$H835*L835</f>
      </c>
      <c r="AL835" s="53">
        <f>$H835*M835</f>
      </c>
      <c r="AM835" s="3"/>
      <c r="AN835" s="5"/>
      <c r="AO835" s="5"/>
      <c r="AP835" s="5"/>
      <c r="AQ835" s="3"/>
    </row>
    <row x14ac:dyDescent="0.25" r="836" customHeight="1" ht="12.75">
      <c r="A836" s="5" t="s">
        <v>492</v>
      </c>
      <c r="B836" s="3" t="s">
        <v>1154</v>
      </c>
      <c r="C836" s="3" t="s">
        <v>866</v>
      </c>
      <c r="D836" s="3" t="s">
        <v>989</v>
      </c>
      <c r="E836" s="3" t="s">
        <v>855</v>
      </c>
      <c r="F836" s="3" t="s">
        <v>1432</v>
      </c>
      <c r="G836" s="3" t="s">
        <v>1181</v>
      </c>
      <c r="H836" s="6">
        <f>4.89+15.21</f>
      </c>
      <c r="I836" s="6"/>
      <c r="J836" s="6">
        <f>(3.78*4.89+3.67*15.21)/H836</f>
      </c>
      <c r="K836" s="5"/>
      <c r="L836" s="6"/>
      <c r="M836" s="6"/>
      <c r="N836" s="7"/>
      <c r="O836" s="23"/>
      <c r="P836" s="6"/>
      <c r="Q836" s="6"/>
      <c r="R836" s="31"/>
      <c r="S836" s="6"/>
      <c r="T836" s="31"/>
      <c r="U836" s="6"/>
      <c r="V836" s="23"/>
      <c r="W836" s="6"/>
      <c r="X836" s="6"/>
      <c r="Y836" s="5"/>
      <c r="Z836" s="3"/>
      <c r="AA836" s="6">
        <f>H836*I836/100</f>
      </c>
      <c r="AB836" s="6">
        <f>H836*J836/100</f>
      </c>
      <c r="AC836" s="7">
        <f>H836*K836</f>
      </c>
      <c r="AD836" s="7">
        <f>H836*M836</f>
      </c>
      <c r="AE836" s="6">
        <f>H836*L836/100</f>
      </c>
      <c r="AF836" s="6">
        <f>AA836+AB836+AE836</f>
      </c>
      <c r="AG836" s="6">
        <f>I836+J836+L836</f>
      </c>
      <c r="AH836" s="53">
        <f>$H836*I836</f>
      </c>
      <c r="AI836" s="53">
        <f>$H836*J836</f>
      </c>
      <c r="AJ836" s="53">
        <f>$H836*K836</f>
      </c>
      <c r="AK836" s="53">
        <f>$H836*L836</f>
      </c>
      <c r="AL836" s="53">
        <f>$H836*M836</f>
      </c>
      <c r="AM836" s="3"/>
      <c r="AN836" s="5"/>
      <c r="AO836" s="5"/>
      <c r="AP836" s="5"/>
      <c r="AQ836" s="3"/>
    </row>
    <row x14ac:dyDescent="0.25" r="837" customHeight="1" ht="12.75">
      <c r="A837" s="5" t="s">
        <v>676</v>
      </c>
      <c r="B837" s="3" t="s">
        <v>1154</v>
      </c>
      <c r="C837" s="3" t="s">
        <v>865</v>
      </c>
      <c r="D837" s="3" t="s">
        <v>886</v>
      </c>
      <c r="E837" s="3" t="s">
        <v>855</v>
      </c>
      <c r="F837" s="3" t="s">
        <v>1776</v>
      </c>
      <c r="G837" s="3" t="s">
        <v>1777</v>
      </c>
      <c r="H837" s="23">
        <f>37.778*0.9072</f>
      </c>
      <c r="I837" s="6">
        <v>0.163</v>
      </c>
      <c r="J837" s="6">
        <v>0.476</v>
      </c>
      <c r="K837" s="6">
        <f>0.211*31.1/0.9072</f>
      </c>
      <c r="L837" s="6"/>
      <c r="M837" s="6">
        <f>0.0128*31.1/0.9072</f>
      </c>
      <c r="N837" s="7"/>
      <c r="O837" s="23"/>
      <c r="P837" s="6"/>
      <c r="Q837" s="6"/>
      <c r="R837" s="31"/>
      <c r="S837" s="6"/>
      <c r="T837" s="31"/>
      <c r="U837" s="6"/>
      <c r="V837" s="23"/>
      <c r="W837" s="6"/>
      <c r="X837" s="6"/>
      <c r="Y837" s="5"/>
      <c r="Z837" s="3"/>
      <c r="AA837" s="6">
        <f>H837*I837/100</f>
      </c>
      <c r="AB837" s="6">
        <f>H837*J837/100</f>
      </c>
      <c r="AC837" s="7">
        <f>H837*K837</f>
      </c>
      <c r="AD837" s="7">
        <f>H837*M837</f>
      </c>
      <c r="AE837" s="6">
        <f>H837*L837/100</f>
      </c>
      <c r="AF837" s="6">
        <f>AA837+AB837+AE837</f>
      </c>
      <c r="AG837" s="6">
        <f>I837+J837+L837</f>
      </c>
      <c r="AH837" s="53">
        <f>$H837*I837</f>
      </c>
      <c r="AI837" s="53">
        <f>$H837*J837</f>
      </c>
      <c r="AJ837" s="53">
        <f>$H837*K837</f>
      </c>
      <c r="AK837" s="53">
        <f>$H837*L837</f>
      </c>
      <c r="AL837" s="53">
        <f>$H837*M837</f>
      </c>
      <c r="AM837" s="3"/>
      <c r="AN837" s="5"/>
      <c r="AO837" s="5"/>
      <c r="AP837" s="5"/>
      <c r="AQ837" s="3"/>
    </row>
    <row x14ac:dyDescent="0.25" r="838" customHeight="1" ht="12.75">
      <c r="A838" s="5" t="s">
        <v>628</v>
      </c>
      <c r="B838" s="3" t="s">
        <v>1154</v>
      </c>
      <c r="C838" s="3" t="s">
        <v>870</v>
      </c>
      <c r="D838" s="3"/>
      <c r="E838" s="3" t="s">
        <v>855</v>
      </c>
      <c r="F838" s="3" t="s">
        <v>1778</v>
      </c>
      <c r="G838" s="3" t="s">
        <v>1779</v>
      </c>
      <c r="H838" s="6">
        <f>5.638+1.023+2.37</f>
      </c>
      <c r="I838" s="6"/>
      <c r="J838" s="6">
        <f>(1.73*5.638+1.56*1.023+1.17*2.37)/$H838</f>
      </c>
      <c r="K838" s="7">
        <f>(29.52*5.638+16.56*1.023+21.63*2.37)/$H838</f>
      </c>
      <c r="L838" s="6">
        <f>(0.95*5.638+1*1.023+0.73*2.37)/$H838</f>
      </c>
      <c r="M838" s="6">
        <f>(1.75*5.638+1.11*1.023+1.42*2.37)/$H838</f>
      </c>
      <c r="N838" s="7"/>
      <c r="O838" s="23"/>
      <c r="P838" s="6"/>
      <c r="Q838" s="6"/>
      <c r="R838" s="31"/>
      <c r="S838" s="6"/>
      <c r="T838" s="31"/>
      <c r="U838" s="6"/>
      <c r="V838" s="23"/>
      <c r="W838" s="6"/>
      <c r="X838" s="6"/>
      <c r="Y838" s="5"/>
      <c r="Z838" s="3"/>
      <c r="AA838" s="6">
        <f>H838*I838/100</f>
      </c>
      <c r="AB838" s="6">
        <f>H838*J838/100</f>
      </c>
      <c r="AC838" s="7">
        <f>H838*K838</f>
      </c>
      <c r="AD838" s="7">
        <f>H838*M838</f>
      </c>
      <c r="AE838" s="6">
        <f>H838*L838/100</f>
      </c>
      <c r="AF838" s="6">
        <f>AA838+AB838+AE838</f>
      </c>
      <c r="AG838" s="6">
        <f>I838+J838+L838</f>
      </c>
      <c r="AH838" s="53">
        <f>$H838*I838</f>
      </c>
      <c r="AI838" s="53">
        <f>$H838*J838</f>
      </c>
      <c r="AJ838" s="53">
        <f>$H838*K838</f>
      </c>
      <c r="AK838" s="53">
        <f>$H838*L838</f>
      </c>
      <c r="AL838" s="53">
        <f>$H838*M838</f>
      </c>
      <c r="AM838" s="3"/>
      <c r="AN838" s="5"/>
      <c r="AO838" s="5"/>
      <c r="AP838" s="5"/>
      <c r="AQ838" s="3"/>
    </row>
    <row x14ac:dyDescent="0.25" r="839" customHeight="1" ht="12.75">
      <c r="A839" s="5" t="s">
        <v>498</v>
      </c>
      <c r="B839" s="3" t="s">
        <v>1154</v>
      </c>
      <c r="C839" s="3" t="s">
        <v>866</v>
      </c>
      <c r="D839" s="3" t="s">
        <v>989</v>
      </c>
      <c r="E839" s="3" t="s">
        <v>855</v>
      </c>
      <c r="F839" s="3" t="s">
        <v>1380</v>
      </c>
      <c r="G839" s="3" t="s">
        <v>1185</v>
      </c>
      <c r="H839" s="6">
        <f>3.7+2.9</f>
      </c>
      <c r="I839" s="7">
        <f>(1.1*3.7+1.3*2.9)/$H839</f>
      </c>
      <c r="J839" s="7">
        <f>(6.7*3.7+6.1*2.9)/$H839</f>
      </c>
      <c r="K839" s="5"/>
      <c r="L839" s="6"/>
      <c r="M839" s="6"/>
      <c r="N839" s="7"/>
      <c r="O839" s="23"/>
      <c r="P839" s="6"/>
      <c r="Q839" s="6"/>
      <c r="R839" s="31"/>
      <c r="S839" s="6"/>
      <c r="T839" s="31"/>
      <c r="U839" s="6"/>
      <c r="V839" s="23"/>
      <c r="W839" s="6"/>
      <c r="X839" s="6"/>
      <c r="Y839" s="5"/>
      <c r="Z839" s="3"/>
      <c r="AA839" s="6">
        <f>H839*I839/100</f>
      </c>
      <c r="AB839" s="6">
        <f>H839*J839/100</f>
      </c>
      <c r="AC839" s="7">
        <f>H839*K839</f>
      </c>
      <c r="AD839" s="7">
        <f>H839*M839</f>
      </c>
      <c r="AE839" s="6">
        <f>H839*L839/100</f>
      </c>
      <c r="AF839" s="6">
        <f>AA839+AB839+AE839</f>
      </c>
      <c r="AG839" s="6">
        <f>I839+J839+L839</f>
      </c>
      <c r="AH839" s="53">
        <f>$H839*I839</f>
      </c>
      <c r="AI839" s="53">
        <f>$H839*J839</f>
      </c>
      <c r="AJ839" s="53">
        <f>$H839*K839</f>
      </c>
      <c r="AK839" s="53">
        <f>$H839*L839</f>
      </c>
      <c r="AL839" s="53">
        <f>$H839*M839</f>
      </c>
      <c r="AM839" s="3"/>
      <c r="AN839" s="5"/>
      <c r="AO839" s="5"/>
      <c r="AP839" s="5"/>
      <c r="AQ839" s="3"/>
    </row>
    <row x14ac:dyDescent="0.25" r="840" customHeight="1" ht="12.75">
      <c r="A840" s="5" t="s">
        <v>48</v>
      </c>
      <c r="B840" s="3" t="s">
        <v>1154</v>
      </c>
      <c r="C840" s="3" t="s">
        <v>866</v>
      </c>
      <c r="D840" s="3" t="s">
        <v>988</v>
      </c>
      <c r="E840" s="3" t="s">
        <v>855</v>
      </c>
      <c r="F840" s="3" t="s">
        <v>1380</v>
      </c>
      <c r="G840" s="3" t="s">
        <v>1185</v>
      </c>
      <c r="H840" s="6">
        <f>45.4+7.5+0.2</f>
      </c>
      <c r="I840" s="7">
        <f>(4.1*45.4+6.9*7.5+3.4*0.2)/$H840</f>
      </c>
      <c r="J840" s="7">
        <f>(15.8*45.4+25.7*7.5+10.7*0.2)/$H840</f>
      </c>
      <c r="K840" s="7">
        <f>(72.6*45.4+137*7.5+68.8*0.2)/$H840</f>
      </c>
      <c r="L840" s="6"/>
      <c r="M840" s="6"/>
      <c r="N840" s="7"/>
      <c r="O840" s="23"/>
      <c r="P840" s="6"/>
      <c r="Q840" s="6"/>
      <c r="R840" s="31"/>
      <c r="S840" s="6"/>
      <c r="T840" s="31"/>
      <c r="U840" s="6"/>
      <c r="V840" s="23"/>
      <c r="W840" s="6"/>
      <c r="X840" s="6"/>
      <c r="Y840" s="5"/>
      <c r="Z840" s="3"/>
      <c r="AA840" s="6">
        <f>H840*I840/100</f>
      </c>
      <c r="AB840" s="6">
        <f>H840*J840/100</f>
      </c>
      <c r="AC840" s="7">
        <f>H840*K840</f>
      </c>
      <c r="AD840" s="7">
        <f>H840*M840</f>
      </c>
      <c r="AE840" s="6">
        <f>H840*L840/100</f>
      </c>
      <c r="AF840" s="6">
        <f>AA840+AB840+AE840</f>
      </c>
      <c r="AG840" s="6">
        <f>I840+J840+L840</f>
      </c>
      <c r="AH840" s="53">
        <f>$H840*I840</f>
      </c>
      <c r="AI840" s="53">
        <f>$H840*J840</f>
      </c>
      <c r="AJ840" s="53">
        <f>$H840*K840</f>
      </c>
      <c r="AK840" s="53">
        <f>$H840*L840</f>
      </c>
      <c r="AL840" s="53">
        <f>$H840*M840</f>
      </c>
      <c r="AM840" s="3"/>
      <c r="AN840" s="5"/>
      <c r="AO840" s="5"/>
      <c r="AP840" s="5"/>
      <c r="AQ840" s="3"/>
    </row>
    <row x14ac:dyDescent="0.25" r="841" customHeight="1" ht="12.75">
      <c r="A841" s="5" t="s">
        <v>794</v>
      </c>
      <c r="B841" s="3" t="s">
        <v>1154</v>
      </c>
      <c r="C841" s="3" t="s">
        <v>866</v>
      </c>
      <c r="D841" s="3" t="s">
        <v>989</v>
      </c>
      <c r="E841" s="38" t="s">
        <v>859</v>
      </c>
      <c r="F841" s="3" t="s">
        <v>1780</v>
      </c>
      <c r="G841" s="3" t="s">
        <v>1173</v>
      </c>
      <c r="H841" s="6">
        <v>11.8</v>
      </c>
      <c r="I841" s="6"/>
      <c r="J841" s="6">
        <v>0.99</v>
      </c>
      <c r="K841" s="7"/>
      <c r="L841" s="6"/>
      <c r="M841" s="6"/>
      <c r="N841" s="7"/>
      <c r="O841" s="23"/>
      <c r="P841" s="6"/>
      <c r="Q841" s="6"/>
      <c r="R841" s="31"/>
      <c r="S841" s="6"/>
      <c r="T841" s="31"/>
      <c r="U841" s="6"/>
      <c r="V841" s="23"/>
      <c r="W841" s="6"/>
      <c r="X841" s="6"/>
      <c r="Y841" s="5"/>
      <c r="Z841" s="3"/>
      <c r="AA841" s="6">
        <f>H841*I841/100</f>
      </c>
      <c r="AB841" s="6">
        <f>H841*J841/100</f>
      </c>
      <c r="AC841" s="7">
        <f>H841*K841</f>
      </c>
      <c r="AD841" s="7">
        <f>H841*M841</f>
      </c>
      <c r="AE841" s="6">
        <f>H841*L841/100</f>
      </c>
      <c r="AF841" s="6">
        <f>AA841+AB841+AE841</f>
      </c>
      <c r="AG841" s="6">
        <f>I841+J841+L841</f>
      </c>
      <c r="AH841" s="53">
        <f>$H841*I841</f>
      </c>
      <c r="AI841" s="53">
        <f>$H841*J841</f>
      </c>
      <c r="AJ841" s="53">
        <f>$H841*K841</f>
      </c>
      <c r="AK841" s="53">
        <f>$H841*L841</f>
      </c>
      <c r="AL841" s="53">
        <f>$H841*M841</f>
      </c>
      <c r="AM841" s="3"/>
      <c r="AN841" s="5"/>
      <c r="AO841" s="5"/>
      <c r="AP841" s="5"/>
      <c r="AQ841" s="3"/>
    </row>
    <row x14ac:dyDescent="0.25" r="842" customHeight="1" ht="12.75">
      <c r="A842" s="5" t="s">
        <v>85</v>
      </c>
      <c r="B842" s="3" t="s">
        <v>1154</v>
      </c>
      <c r="C842" s="3" t="s">
        <v>856</v>
      </c>
      <c r="D842" s="3"/>
      <c r="E842" s="3" t="s">
        <v>855</v>
      </c>
      <c r="F842" s="3" t="s">
        <v>1781</v>
      </c>
      <c r="G842" s="3" t="s">
        <v>1530</v>
      </c>
      <c r="H842" s="23">
        <f>(0.4856+0.6461)*0.9072</f>
      </c>
      <c r="I842" s="6">
        <f>(4.3*0.4856+3.04*0.6461)/(0.4856+0.6461)</f>
      </c>
      <c r="J842" s="6">
        <f>(1.37*0.4856+0.99*0.6461)/(0.4856+0.6461)</f>
      </c>
      <c r="K842" s="31">
        <f>((26.95*0.4856+14.93*0.6461)/(0.4856+0.6461))*31.1/0.9072</f>
      </c>
      <c r="L842" s="6">
        <f>(0.25*0.4856+0.13*0.6461)/(0.4856+0.6461)</f>
      </c>
      <c r="M842" s="6">
        <f>((0.044*0.4856+0.038*0.6461)/(0.4856+0.6461))*31.1/0.9072</f>
      </c>
      <c r="N842" s="7"/>
      <c r="O842" s="23"/>
      <c r="P842" s="6"/>
      <c r="Q842" s="6"/>
      <c r="R842" s="31"/>
      <c r="S842" s="6"/>
      <c r="T842" s="31"/>
      <c r="U842" s="6"/>
      <c r="V842" s="23"/>
      <c r="W842" s="6"/>
      <c r="X842" s="6"/>
      <c r="Y842" s="5"/>
      <c r="Z842" s="3"/>
      <c r="AA842" s="6">
        <f>H842*I842/100</f>
      </c>
      <c r="AB842" s="6">
        <f>H842*J842/100</f>
      </c>
      <c r="AC842" s="7">
        <f>H842*K842</f>
      </c>
      <c r="AD842" s="7">
        <f>H842*M842</f>
      </c>
      <c r="AE842" s="6">
        <f>H842*L842/100</f>
      </c>
      <c r="AF842" s="6">
        <f>AA842+AB842+AE842</f>
      </c>
      <c r="AG842" s="6">
        <f>I842+J842+L842</f>
      </c>
      <c r="AH842" s="53">
        <f>$H842*I842</f>
      </c>
      <c r="AI842" s="53">
        <f>$H842*J842</f>
      </c>
      <c r="AJ842" s="53">
        <f>$H842*K842</f>
      </c>
      <c r="AK842" s="53">
        <f>$H842*L842</f>
      </c>
      <c r="AL842" s="53">
        <f>$H842*M842</f>
      </c>
      <c r="AM842" s="3"/>
      <c r="AN842" s="5"/>
      <c r="AO842" s="5"/>
      <c r="AP842" s="5"/>
      <c r="AQ842" s="3"/>
    </row>
    <row x14ac:dyDescent="0.25" r="843" customHeight="1" ht="12.75">
      <c r="A843" s="5" t="s">
        <v>339</v>
      </c>
      <c r="B843" s="3" t="s">
        <v>1154</v>
      </c>
      <c r="C843" s="3" t="s">
        <v>856</v>
      </c>
      <c r="D843" s="3"/>
      <c r="E843" s="3" t="s">
        <v>855</v>
      </c>
      <c r="F843" s="3" t="s">
        <v>1781</v>
      </c>
      <c r="G843" s="3" t="s">
        <v>1530</v>
      </c>
      <c r="H843" s="23">
        <f>(0.2153+0.1007+0.0381)*0.9072</f>
      </c>
      <c r="I843" s="6">
        <f>(1.71*0.2153+1.96*0.1007+1.69*0.0381)/(0.2153+0.1007+0.0381)</f>
      </c>
      <c r="J843" s="6">
        <f>(1.69*0.2153+1.74*0.1007+0.92*0.0381)/(0.2153+0.1007+0.0381)</f>
      </c>
      <c r="K843" s="31">
        <f>((10.08*0.2153+10.92*0.1007+11.01*0.0381)/(0.2153+0.1007+0.0381))*31.1/0.9072</f>
      </c>
      <c r="L843" s="6"/>
      <c r="M843" s="6">
        <f>((0.034*0.2153+0.036*0.1007+0.025*0.0381)/(0.2153+0.1007+0.0381))*31.1/0.9072</f>
      </c>
      <c r="N843" s="7"/>
      <c r="O843" s="23"/>
      <c r="P843" s="6"/>
      <c r="Q843" s="6"/>
      <c r="R843" s="31"/>
      <c r="S843" s="6"/>
      <c r="T843" s="31"/>
      <c r="U843" s="6"/>
      <c r="V843" s="23"/>
      <c r="W843" s="6"/>
      <c r="X843" s="6"/>
      <c r="Y843" s="5"/>
      <c r="Z843" s="3"/>
      <c r="AA843" s="6">
        <f>H843*I843/100</f>
      </c>
      <c r="AB843" s="6">
        <f>H843*J843/100</f>
      </c>
      <c r="AC843" s="7">
        <f>H843*K843</f>
      </c>
      <c r="AD843" s="7">
        <f>H843*M843</f>
      </c>
      <c r="AE843" s="6">
        <f>H843*L843/100</f>
      </c>
      <c r="AF843" s="6">
        <f>AA843+AB843+AE843</f>
      </c>
      <c r="AG843" s="6">
        <f>I843+J843+L843</f>
      </c>
      <c r="AH843" s="53">
        <f>$H843*I843</f>
      </c>
      <c r="AI843" s="53">
        <f>$H843*J843</f>
      </c>
      <c r="AJ843" s="53">
        <f>$H843*K843</f>
      </c>
      <c r="AK843" s="53">
        <f>$H843*L843</f>
      </c>
      <c r="AL843" s="53">
        <f>$H843*M843</f>
      </c>
      <c r="AM843" s="3"/>
      <c r="AN843" s="5"/>
      <c r="AO843" s="5"/>
      <c r="AP843" s="5"/>
      <c r="AQ843" s="3"/>
    </row>
    <row x14ac:dyDescent="0.25" r="844" customHeight="1" ht="12.75">
      <c r="A844" s="5" t="s">
        <v>435</v>
      </c>
      <c r="B844" s="3" t="s">
        <v>1154</v>
      </c>
      <c r="C844" s="3" t="s">
        <v>856</v>
      </c>
      <c r="D844" s="3" t="s">
        <v>928</v>
      </c>
      <c r="E844" s="3" t="s">
        <v>855</v>
      </c>
      <c r="F844" s="3" t="s">
        <v>1650</v>
      </c>
      <c r="G844" s="3" t="s">
        <v>1415</v>
      </c>
      <c r="H844" s="23">
        <f>(0.516+3.078)*0.9072</f>
      </c>
      <c r="I844" s="7">
        <f>(2.1*0.516+1.3*3.078)/(0.516+3.078)</f>
      </c>
      <c r="J844" s="7">
        <f>(1.1*0.516+1.1*3.078)/(0.516+3.078)</f>
      </c>
      <c r="K844" s="31">
        <f>((14.8*0.516+10.7*3.078)/(0.516+3.078))*31.1/0.9072</f>
      </c>
      <c r="L844" s="6"/>
      <c r="M844" s="6"/>
      <c r="N844" s="7"/>
      <c r="O844" s="23"/>
      <c r="P844" s="6"/>
      <c r="Q844" s="6"/>
      <c r="R844" s="31"/>
      <c r="S844" s="6"/>
      <c r="T844" s="31"/>
      <c r="U844" s="6"/>
      <c r="V844" s="23"/>
      <c r="W844" s="6"/>
      <c r="X844" s="6"/>
      <c r="Y844" s="5"/>
      <c r="Z844" s="3"/>
      <c r="AA844" s="6">
        <f>H844*I844/100</f>
      </c>
      <c r="AB844" s="6">
        <f>H844*J844/100</f>
      </c>
      <c r="AC844" s="7">
        <f>H844*K844</f>
      </c>
      <c r="AD844" s="7">
        <f>H844*M844</f>
      </c>
      <c r="AE844" s="6">
        <f>H844*L844/100</f>
      </c>
      <c r="AF844" s="6">
        <f>AA844+AB844+AE844</f>
      </c>
      <c r="AG844" s="6">
        <f>I844+J844+L844</f>
      </c>
      <c r="AH844" s="53">
        <f>$H844*I844</f>
      </c>
      <c r="AI844" s="53">
        <f>$H844*J844</f>
      </c>
      <c r="AJ844" s="53">
        <f>$H844*K844</f>
      </c>
      <c r="AK844" s="53">
        <f>$H844*L844</f>
      </c>
      <c r="AL844" s="53">
        <f>$H844*M844</f>
      </c>
      <c r="AM844" s="3"/>
      <c r="AN844" s="5"/>
      <c r="AO844" s="5"/>
      <c r="AP844" s="5"/>
      <c r="AQ844" s="3"/>
    </row>
    <row x14ac:dyDescent="0.25" r="845" customHeight="1" ht="12.75">
      <c r="A845" s="5" t="s">
        <v>198</v>
      </c>
      <c r="B845" s="3" t="s">
        <v>1154</v>
      </c>
      <c r="C845" s="3" t="s">
        <v>863</v>
      </c>
      <c r="D845" s="3" t="s">
        <v>973</v>
      </c>
      <c r="E845" s="3" t="s">
        <v>855</v>
      </c>
      <c r="F845" s="3" t="s">
        <v>1650</v>
      </c>
      <c r="G845" s="3" t="s">
        <v>1415</v>
      </c>
      <c r="H845" s="23">
        <f>(1.018+2.778)*0.9072</f>
      </c>
      <c r="I845" s="7">
        <f>(6.6*1.018+6.1*2.778)/(1.018+2.778)</f>
      </c>
      <c r="J845" s="7">
        <f>(7.7*1.018+5.7*2.778)/(1.018+2.778)</f>
      </c>
      <c r="K845" s="31">
        <f>((3.1*1.018+3.2*2.778)/(1.018+2.778))*31.1/0.9072</f>
      </c>
      <c r="L845" s="6"/>
      <c r="M845" s="6"/>
      <c r="N845" s="7"/>
      <c r="O845" s="23"/>
      <c r="P845" s="6"/>
      <c r="Q845" s="6"/>
      <c r="R845" s="31"/>
      <c r="S845" s="6"/>
      <c r="T845" s="31"/>
      <c r="U845" s="6"/>
      <c r="V845" s="23"/>
      <c r="W845" s="6"/>
      <c r="X845" s="6"/>
      <c r="Y845" s="5"/>
      <c r="Z845" s="3"/>
      <c r="AA845" s="6">
        <f>H845*I845/100</f>
      </c>
      <c r="AB845" s="6">
        <f>H845*J845/100</f>
      </c>
      <c r="AC845" s="7">
        <f>H845*K845</f>
      </c>
      <c r="AD845" s="7">
        <f>H845*M845</f>
      </c>
      <c r="AE845" s="6">
        <f>H845*L845/100</f>
      </c>
      <c r="AF845" s="6">
        <f>AA845+AB845+AE845</f>
      </c>
      <c r="AG845" s="6">
        <f>I845+J845+L845</f>
      </c>
      <c r="AH845" s="53">
        <f>$H845*I845</f>
      </c>
      <c r="AI845" s="53">
        <f>$H845*J845</f>
      </c>
      <c r="AJ845" s="53">
        <f>$H845*K845</f>
      </c>
      <c r="AK845" s="53">
        <f>$H845*L845</f>
      </c>
      <c r="AL845" s="53">
        <f>$H845*M845</f>
      </c>
      <c r="AM845" s="3"/>
      <c r="AN845" s="5"/>
      <c r="AO845" s="5"/>
      <c r="AP845" s="5"/>
      <c r="AQ845" s="3"/>
    </row>
    <row x14ac:dyDescent="0.25" r="846" customHeight="1" ht="12.75">
      <c r="A846" s="5" t="s">
        <v>1074</v>
      </c>
      <c r="B846" s="3" t="s">
        <v>1154</v>
      </c>
      <c r="C846" s="3" t="s">
        <v>861</v>
      </c>
      <c r="D846" s="3"/>
      <c r="E846" s="3" t="s">
        <v>855</v>
      </c>
      <c r="F846" s="3" t="s">
        <v>1632</v>
      </c>
      <c r="G846" s="3" t="s">
        <v>1633</v>
      </c>
      <c r="H846" s="23">
        <f>9.115*0.9072</f>
      </c>
      <c r="I846" s="6">
        <v>0.35</v>
      </c>
      <c r="J846" s="6">
        <v>0.02</v>
      </c>
      <c r="K846" s="31">
        <f>24.4*31.1/0.9072</f>
      </c>
      <c r="L846" s="6">
        <v>0.26</v>
      </c>
      <c r="M846" s="6"/>
      <c r="N846" s="7"/>
      <c r="O846" s="23"/>
      <c r="P846" s="6"/>
      <c r="Q846" s="6"/>
      <c r="R846" s="31"/>
      <c r="S846" s="6"/>
      <c r="T846" s="31"/>
      <c r="U846" s="6"/>
      <c r="V846" s="23"/>
      <c r="W846" s="6"/>
      <c r="X846" s="6"/>
      <c r="Y846" s="5"/>
      <c r="Z846" s="3"/>
      <c r="AA846" s="6">
        <f>H846*I846/100</f>
      </c>
      <c r="AB846" s="6">
        <f>H846*J846/100</f>
      </c>
      <c r="AC846" s="7">
        <f>H846*K846</f>
      </c>
      <c r="AD846" s="7">
        <f>H846*M846</f>
      </c>
      <c r="AE846" s="6">
        <f>H846*L846/100</f>
      </c>
      <c r="AF846" s="6">
        <f>AA846+AB846+AE846</f>
      </c>
      <c r="AG846" s="6">
        <f>I846+J846+L846</f>
      </c>
      <c r="AH846" s="53">
        <f>$H846*I846</f>
      </c>
      <c r="AI846" s="53">
        <f>$H846*J846</f>
      </c>
      <c r="AJ846" s="53">
        <f>$H846*K846</f>
      </c>
      <c r="AK846" s="53">
        <f>$H846*L846</f>
      </c>
      <c r="AL846" s="53">
        <f>$H846*M846</f>
      </c>
      <c r="AM846" s="3"/>
      <c r="AN846" s="5"/>
      <c r="AO846" s="5"/>
      <c r="AP846" s="5"/>
      <c r="AQ846" s="3"/>
    </row>
    <row x14ac:dyDescent="0.25" r="847" customHeight="1" ht="12.75">
      <c r="A847" s="5" t="s">
        <v>158</v>
      </c>
      <c r="B847" s="3" t="s">
        <v>1154</v>
      </c>
      <c r="C847" s="3" t="s">
        <v>866</v>
      </c>
      <c r="D847" s="3"/>
      <c r="E847" s="38" t="s">
        <v>859</v>
      </c>
      <c r="F847" s="3" t="s">
        <v>1171</v>
      </c>
      <c r="G847" s="3" t="s">
        <v>1350</v>
      </c>
      <c r="H847" s="5">
        <v>34</v>
      </c>
      <c r="I847" s="7">
        <v>2</v>
      </c>
      <c r="J847" s="7">
        <v>8</v>
      </c>
      <c r="K847" s="31">
        <v>30</v>
      </c>
      <c r="L847" s="6"/>
      <c r="M847" s="6"/>
      <c r="N847" s="7"/>
      <c r="O847" s="23"/>
      <c r="P847" s="6"/>
      <c r="Q847" s="6"/>
      <c r="R847" s="31"/>
      <c r="S847" s="6"/>
      <c r="T847" s="31"/>
      <c r="U847" s="6"/>
      <c r="V847" s="23"/>
      <c r="W847" s="6"/>
      <c r="X847" s="6"/>
      <c r="Y847" s="5"/>
      <c r="Z847" s="3"/>
      <c r="AA847" s="6">
        <f>H847*I847/100</f>
      </c>
      <c r="AB847" s="6">
        <f>H847*J847/100</f>
      </c>
      <c r="AC847" s="7">
        <f>H847*K847</f>
      </c>
      <c r="AD847" s="7">
        <f>H847*M847</f>
      </c>
      <c r="AE847" s="6">
        <f>H847*L847/100</f>
      </c>
      <c r="AF847" s="6">
        <f>AA847+AB847+AE847</f>
      </c>
      <c r="AG847" s="6">
        <f>I847+J847+L847</f>
      </c>
      <c r="AH847" s="53">
        <f>$H847*I847</f>
      </c>
      <c r="AI847" s="53">
        <f>$H847*J847</f>
      </c>
      <c r="AJ847" s="53">
        <f>$H847*K847</f>
      </c>
      <c r="AK847" s="53">
        <f>$H847*L847</f>
      </c>
      <c r="AL847" s="53">
        <f>$H847*M847</f>
      </c>
      <c r="AM847" s="3"/>
      <c r="AN847" s="5"/>
      <c r="AO847" s="5"/>
      <c r="AP847" s="5"/>
      <c r="AQ847" s="3"/>
    </row>
    <row x14ac:dyDescent="0.25" r="848" customHeight="1" ht="12.75">
      <c r="A848" s="5" t="s">
        <v>190</v>
      </c>
      <c r="B848" s="3" t="s">
        <v>1154</v>
      </c>
      <c r="C848" s="3" t="s">
        <v>870</v>
      </c>
      <c r="D848" s="3"/>
      <c r="E848" s="3" t="s">
        <v>855</v>
      </c>
      <c r="F848" s="3" t="s">
        <v>1782</v>
      </c>
      <c r="G848" s="3" t="s">
        <v>1330</v>
      </c>
      <c r="H848" s="6">
        <f>23.848+3.363</f>
      </c>
      <c r="I848" s="6">
        <f>(0.76*23.848+0.58*3.363)/$H848</f>
      </c>
      <c r="J848" s="6">
        <f>(4.45*23.848+3.84*3.363)/$H848</f>
      </c>
      <c r="K848" s="7">
        <f>(53.2*23.848+41.5*3.363)/$H848</f>
      </c>
      <c r="L848" s="6">
        <f>(3.26*23.848+3.22*3.363)/$H848</f>
      </c>
      <c r="M848" s="6">
        <f>(0.71*23.848+0.59*3.363)/$H848</f>
      </c>
      <c r="N848" s="7"/>
      <c r="O848" s="23"/>
      <c r="P848" s="6"/>
      <c r="Q848" s="6"/>
      <c r="R848" s="31"/>
      <c r="S848" s="6"/>
      <c r="T848" s="31"/>
      <c r="U848" s="6"/>
      <c r="V848" s="23"/>
      <c r="W848" s="6"/>
      <c r="X848" s="6"/>
      <c r="Y848" s="5"/>
      <c r="Z848" s="3"/>
      <c r="AA848" s="6">
        <f>H848*I848/100</f>
      </c>
      <c r="AB848" s="6">
        <f>H848*J848/100</f>
      </c>
      <c r="AC848" s="7">
        <f>H848*K848</f>
      </c>
      <c r="AD848" s="7">
        <f>H848*M848</f>
      </c>
      <c r="AE848" s="6">
        <f>H848*L848/100</f>
      </c>
      <c r="AF848" s="6">
        <f>AA848+AB848+AE848</f>
      </c>
      <c r="AG848" s="6">
        <f>I848+J848+L848</f>
      </c>
      <c r="AH848" s="53">
        <f>$H848*I848</f>
      </c>
      <c r="AI848" s="53">
        <f>$H848*J848</f>
      </c>
      <c r="AJ848" s="53">
        <f>$H848*K848</f>
      </c>
      <c r="AK848" s="53">
        <f>$H848*L848</f>
      </c>
      <c r="AL848" s="53">
        <f>$H848*M848</f>
      </c>
      <c r="AM848" s="3"/>
      <c r="AN848" s="5"/>
      <c r="AO848" s="5"/>
      <c r="AP848" s="5"/>
      <c r="AQ848" s="3"/>
    </row>
    <row x14ac:dyDescent="0.25" r="849" customHeight="1" ht="12.75">
      <c r="A849" s="5" t="s">
        <v>233</v>
      </c>
      <c r="B849" s="3" t="s">
        <v>1154</v>
      </c>
      <c r="C849" s="3" t="s">
        <v>869</v>
      </c>
      <c r="D849" s="3"/>
      <c r="E849" s="3" t="s">
        <v>855</v>
      </c>
      <c r="F849" s="3" t="s">
        <v>1783</v>
      </c>
      <c r="G849" s="3" t="s">
        <v>1400</v>
      </c>
      <c r="H849" s="6">
        <f>1.764+7.493+13.519+48.337</f>
      </c>
      <c r="I849" s="6"/>
      <c r="J849" s="6">
        <f>(2.81*1.764+2.5*7.493+2.09*13.519+1.69*48.337)/$H849</f>
      </c>
      <c r="K849" s="5"/>
      <c r="L849" s="6">
        <f>(0.16*1.764+0.13*7.493+0.22*13.519+0.22*48.337)/$H849</f>
      </c>
      <c r="M849" s="6"/>
      <c r="N849" s="7"/>
      <c r="O849" s="23"/>
      <c r="P849" s="6"/>
      <c r="Q849" s="6"/>
      <c r="R849" s="31">
        <f>(7*1.764+8*7.493+33*13.519+23*48.337)/$H849</f>
      </c>
      <c r="S849" s="6"/>
      <c r="T849" s="31">
        <f>(8*1.764+12*7.493+47*13.519+47*48.337)/$H849</f>
      </c>
      <c r="U849" s="6"/>
      <c r="V849" s="23"/>
      <c r="W849" s="6"/>
      <c r="X849" s="6"/>
      <c r="Y849" s="5"/>
      <c r="Z849" s="3"/>
      <c r="AA849" s="6">
        <f>H849*I849/100</f>
      </c>
      <c r="AB849" s="6">
        <f>H849*J849/100</f>
      </c>
      <c r="AC849" s="7">
        <f>H849*K849</f>
      </c>
      <c r="AD849" s="7">
        <f>H849*M849</f>
      </c>
      <c r="AE849" s="6">
        <f>H849*L849/100</f>
      </c>
      <c r="AF849" s="6">
        <f>AA849+AB849+AE849</f>
      </c>
      <c r="AG849" s="6">
        <f>I849+J849+L849</f>
      </c>
      <c r="AH849" s="53">
        <f>$H849*I849</f>
      </c>
      <c r="AI849" s="53">
        <f>$H849*J849</f>
      </c>
      <c r="AJ849" s="53">
        <f>$H849*K849</f>
      </c>
      <c r="AK849" s="53">
        <f>$H849*L849</f>
      </c>
      <c r="AL849" s="53">
        <f>$H849*M849</f>
      </c>
      <c r="AM849" s="3"/>
      <c r="AN849" s="5"/>
      <c r="AO849" s="5"/>
      <c r="AP849" s="5"/>
      <c r="AQ849" s="3"/>
    </row>
    <row x14ac:dyDescent="0.25" r="850" customHeight="1" ht="12.75">
      <c r="A850" s="5" t="s">
        <v>237</v>
      </c>
      <c r="B850" s="3" t="s">
        <v>1155</v>
      </c>
      <c r="C850" s="3" t="s">
        <v>870</v>
      </c>
      <c r="D850" s="3"/>
      <c r="E850" s="3" t="s">
        <v>855</v>
      </c>
      <c r="F850" s="3" t="s">
        <v>1784</v>
      </c>
      <c r="G850" s="3" t="s">
        <v>1785</v>
      </c>
      <c r="H850" s="6">
        <v>14.411999999999999</v>
      </c>
      <c r="I850" s="6">
        <v>3.5</v>
      </c>
      <c r="J850" s="6">
        <v>7.24</v>
      </c>
      <c r="K850" s="5">
        <v>134</v>
      </c>
      <c r="L850" s="6">
        <v>0.86</v>
      </c>
      <c r="M850" s="6">
        <v>0.38</v>
      </c>
      <c r="N850" s="7"/>
      <c r="O850" s="23"/>
      <c r="P850" s="6"/>
      <c r="Q850" s="6"/>
      <c r="R850" s="31"/>
      <c r="S850" s="6"/>
      <c r="T850" s="31"/>
      <c r="U850" s="6"/>
      <c r="V850" s="23"/>
      <c r="W850" s="6"/>
      <c r="X850" s="6"/>
      <c r="Y850" s="5"/>
      <c r="Z850" s="3"/>
      <c r="AA850" s="6">
        <f>H850*I850/100</f>
      </c>
      <c r="AB850" s="6">
        <f>H850*J850/100</f>
      </c>
      <c r="AC850" s="7">
        <f>H850*K850</f>
      </c>
      <c r="AD850" s="7">
        <f>H850*M850</f>
      </c>
      <c r="AE850" s="6">
        <f>H850*L850/100</f>
      </c>
      <c r="AF850" s="6">
        <f>AA850+AB850+AE850</f>
      </c>
      <c r="AG850" s="6">
        <f>I850+J850+L850</f>
      </c>
      <c r="AH850" s="53">
        <f>$H850*I850</f>
      </c>
      <c r="AI850" s="53">
        <f>$H850*J850</f>
      </c>
      <c r="AJ850" s="53">
        <f>$H850*K850</f>
      </c>
      <c r="AK850" s="53">
        <f>$H850*L850</f>
      </c>
      <c r="AL850" s="53">
        <f>$H850*M850</f>
      </c>
      <c r="AM850" s="3"/>
      <c r="AN850" s="5"/>
      <c r="AO850" s="5"/>
      <c r="AP850" s="5"/>
      <c r="AQ850" s="3"/>
    </row>
    <row x14ac:dyDescent="0.25" r="851" customHeight="1" ht="12.75">
      <c r="A851" s="5" t="s">
        <v>505</v>
      </c>
      <c r="B851" s="3" t="s">
        <v>1156</v>
      </c>
      <c r="C851" s="3" t="s">
        <v>870</v>
      </c>
      <c r="D851" s="3"/>
      <c r="E851" s="3" t="s">
        <v>855</v>
      </c>
      <c r="F851" s="3" t="s">
        <v>1786</v>
      </c>
      <c r="G851" s="3" t="s">
        <v>1620</v>
      </c>
      <c r="H851" s="23">
        <f>8.408+0.620856+0.620321+0.418935+15.707214</f>
      </c>
      <c r="I851" s="6">
        <f>(0.99*8.408+2.73*0.620856+1.9*0.620321+2.25*0.418935+0.17*15.707214)/$H851</f>
      </c>
      <c r="J851" s="6">
        <f>(1.9*8.408+5.26*0.620856+4.21*0.620321+4.72*0.418935+0.28*15.707214)/$H851</f>
      </c>
      <c r="K851" s="7">
        <f>(21.02*8.408+87.06*0.620856+22.55*0.620321+53.92*0.418935+4.86*15.707214)/$H851</f>
      </c>
      <c r="L851" s="6">
        <f>(0.23*8.408+1.43*0.620856+1.95*0.620321+1.63*0.418935+1.1*15.707214)/$H851</f>
      </c>
      <c r="M851" s="6">
        <f>(0.24*8.408+0.52*0.620856+0.19*0.620321+0.12*0.418935+0.09*15.707214)/$H851</f>
      </c>
      <c r="N851" s="7"/>
      <c r="O851" s="23"/>
      <c r="P851" s="6"/>
      <c r="Q851" s="6"/>
      <c r="R851" s="31"/>
      <c r="S851" s="6"/>
      <c r="T851" s="31"/>
      <c r="U851" s="6"/>
      <c r="V851" s="23"/>
      <c r="W851" s="6"/>
      <c r="X851" s="6"/>
      <c r="Y851" s="5"/>
      <c r="Z851" s="3"/>
      <c r="AA851" s="6">
        <f>H851*I851/100</f>
      </c>
      <c r="AB851" s="6">
        <f>H851*J851/100</f>
      </c>
      <c r="AC851" s="7">
        <f>H851*K851</f>
      </c>
      <c r="AD851" s="7">
        <f>H851*M851</f>
      </c>
      <c r="AE851" s="6">
        <f>H851*L851/100</f>
      </c>
      <c r="AF851" s="6">
        <f>AA851+AB851+AE851</f>
      </c>
      <c r="AG851" s="6">
        <f>I851+J851+L851</f>
      </c>
      <c r="AH851" s="53">
        <f>$H851*I851</f>
      </c>
      <c r="AI851" s="53">
        <f>$H851*J851</f>
      </c>
      <c r="AJ851" s="53">
        <f>$H851*K851</f>
      </c>
      <c r="AK851" s="53">
        <f>$H851*L851</f>
      </c>
      <c r="AL851" s="53">
        <f>$H851*M851</f>
      </c>
      <c r="AM851" s="3"/>
      <c r="AN851" s="5"/>
      <c r="AO851" s="5"/>
      <c r="AP851" s="5"/>
      <c r="AQ851" s="3"/>
    </row>
    <row x14ac:dyDescent="0.25" r="852" customHeight="1" ht="12.75">
      <c r="A852" s="5" t="s">
        <v>325</v>
      </c>
      <c r="B852" s="3" t="s">
        <v>1157</v>
      </c>
      <c r="C852" s="3" t="s">
        <v>866</v>
      </c>
      <c r="D852" s="3" t="s">
        <v>992</v>
      </c>
      <c r="E852" s="3" t="s">
        <v>855</v>
      </c>
      <c r="F852" s="3" t="s">
        <v>1787</v>
      </c>
      <c r="G852" s="3" t="s">
        <v>1788</v>
      </c>
      <c r="H852" s="6">
        <v>12.6</v>
      </c>
      <c r="I852" s="6">
        <v>1.2</v>
      </c>
      <c r="J852" s="6">
        <v>8.9</v>
      </c>
      <c r="K852" s="5">
        <v>68</v>
      </c>
      <c r="L852" s="6"/>
      <c r="M852" s="6"/>
      <c r="N852" s="7"/>
      <c r="O852" s="23"/>
      <c r="P852" s="6"/>
      <c r="Q852" s="6"/>
      <c r="R852" s="31"/>
      <c r="S852" s="6"/>
      <c r="T852" s="31"/>
      <c r="U852" s="6"/>
      <c r="V852" s="23"/>
      <c r="W852" s="6"/>
      <c r="X852" s="6"/>
      <c r="Y852" s="5"/>
      <c r="Z852" s="3"/>
      <c r="AA852" s="6">
        <f>H852*I852/100</f>
      </c>
      <c r="AB852" s="6">
        <f>H852*J852/100</f>
      </c>
      <c r="AC852" s="7">
        <f>H852*K852</f>
      </c>
      <c r="AD852" s="7">
        <f>H852*M852</f>
      </c>
      <c r="AE852" s="6">
        <f>H852*L852/100</f>
      </c>
      <c r="AF852" s="6">
        <f>AA852+AB852+AE852</f>
      </c>
      <c r="AG852" s="6">
        <f>I852+J852+L852</f>
      </c>
      <c r="AH852" s="53">
        <f>$H852*I852</f>
      </c>
      <c r="AI852" s="53">
        <f>$H852*J852</f>
      </c>
      <c r="AJ852" s="53">
        <f>$H852*K852</f>
      </c>
      <c r="AK852" s="53">
        <f>$H852*L852</f>
      </c>
      <c r="AL852" s="53">
        <f>$H852*M852</f>
      </c>
      <c r="AM852" s="3"/>
      <c r="AN852" s="5"/>
      <c r="AO852" s="5"/>
      <c r="AP852" s="5"/>
      <c r="AQ852" s="3"/>
    </row>
    <row x14ac:dyDescent="0.25" r="853" customHeight="1" ht="12.75">
      <c r="A853" s="5" t="s">
        <v>1789</v>
      </c>
      <c r="B853" s="3" t="s">
        <v>1157</v>
      </c>
      <c r="C853" s="3" t="s">
        <v>866</v>
      </c>
      <c r="D853" s="3" t="s">
        <v>992</v>
      </c>
      <c r="E853" s="16" t="s">
        <v>1790</v>
      </c>
      <c r="F853" s="3" t="s">
        <v>1787</v>
      </c>
      <c r="G853" s="3" t="s">
        <v>1788</v>
      </c>
      <c r="H853" s="6">
        <v>0.12</v>
      </c>
      <c r="I853" s="6">
        <v>3.5</v>
      </c>
      <c r="J853" s="5">
        <v>24</v>
      </c>
      <c r="K853" s="5">
        <v>160</v>
      </c>
      <c r="L853" s="6"/>
      <c r="M853" s="6"/>
      <c r="N853" s="7"/>
      <c r="O853" s="23"/>
      <c r="P853" s="6"/>
      <c r="Q853" s="6"/>
      <c r="R853" s="31"/>
      <c r="S853" s="6"/>
      <c r="T853" s="31"/>
      <c r="U853" s="6"/>
      <c r="V853" s="23"/>
      <c r="W853" s="6"/>
      <c r="X853" s="6"/>
      <c r="Y853" s="5"/>
      <c r="Z853" s="3"/>
      <c r="AA853" s="6">
        <f>H853*I853/100</f>
      </c>
      <c r="AB853" s="6">
        <f>H853*J853/100</f>
      </c>
      <c r="AC853" s="7">
        <f>H853*K853</f>
      </c>
      <c r="AD853" s="7">
        <f>H853*M853</f>
      </c>
      <c r="AE853" s="6">
        <f>H853*L853/100</f>
      </c>
      <c r="AF853" s="6">
        <f>AA853+AB853+AE853</f>
      </c>
      <c r="AG853" s="6">
        <f>I853+J853+L853</f>
      </c>
      <c r="AH853" s="53">
        <f>$H853*I853</f>
      </c>
      <c r="AI853" s="53">
        <f>$H853*J853</f>
      </c>
      <c r="AJ853" s="53">
        <f>$H853*K853</f>
      </c>
      <c r="AK853" s="53">
        <f>$H853*L853</f>
      </c>
      <c r="AL853" s="53">
        <f>$H853*M853</f>
      </c>
      <c r="AM853" s="3"/>
      <c r="AN853" s="5"/>
      <c r="AO853" s="5"/>
      <c r="AP853" s="5"/>
      <c r="AQ853" s="3"/>
    </row>
    <row x14ac:dyDescent="0.25" r="854" customHeight="1" ht="12.75">
      <c r="A854" s="5" t="s">
        <v>88</v>
      </c>
      <c r="B854" s="3" t="s">
        <v>1158</v>
      </c>
      <c r="C854" s="3" t="s">
        <v>866</v>
      </c>
      <c r="D854" s="3" t="s">
        <v>989</v>
      </c>
      <c r="E854" s="38" t="s">
        <v>859</v>
      </c>
      <c r="F854" s="3" t="s">
        <v>1791</v>
      </c>
      <c r="G854" s="3" t="s">
        <v>1519</v>
      </c>
      <c r="H854" s="6">
        <v>1.1</v>
      </c>
      <c r="I854" s="6">
        <v>2.8</v>
      </c>
      <c r="J854" s="5">
        <v>15</v>
      </c>
      <c r="K854" s="5"/>
      <c r="L854" s="6"/>
      <c r="M854" s="6"/>
      <c r="N854" s="7"/>
      <c r="O854" s="23"/>
      <c r="P854" s="6"/>
      <c r="Q854" s="6"/>
      <c r="R854" s="31"/>
      <c r="S854" s="6"/>
      <c r="T854" s="31"/>
      <c r="U854" s="6"/>
      <c r="V854" s="23"/>
      <c r="W854" s="6"/>
      <c r="X854" s="6"/>
      <c r="Y854" s="5"/>
      <c r="Z854" s="3"/>
      <c r="AA854" s="6">
        <f>H854*I854/100</f>
      </c>
      <c r="AB854" s="6">
        <f>H854*J854/100</f>
      </c>
      <c r="AC854" s="7">
        <f>H854*K854</f>
      </c>
      <c r="AD854" s="7">
        <f>H854*M854</f>
      </c>
      <c r="AE854" s="6">
        <f>H854*L854/100</f>
      </c>
      <c r="AF854" s="6">
        <f>AA854+AB854+AE854</f>
      </c>
      <c r="AG854" s="6">
        <f>I854+J854+L854</f>
      </c>
      <c r="AH854" s="53">
        <f>$H854*I854</f>
      </c>
      <c r="AI854" s="53">
        <f>$H854*J854</f>
      </c>
      <c r="AJ854" s="53">
        <f>$H854*K854</f>
      </c>
      <c r="AK854" s="53">
        <f>$H854*L854</f>
      </c>
      <c r="AL854" s="53">
        <f>$H854*M854</f>
      </c>
      <c r="AM854" s="3"/>
      <c r="AN854" s="5"/>
      <c r="AO854" s="5"/>
      <c r="AP854" s="5"/>
      <c r="AQ854" s="3"/>
    </row>
    <row x14ac:dyDescent="0.25" r="855" customHeight="1" ht="12.75">
      <c r="A855" s="5" t="s">
        <v>1056</v>
      </c>
      <c r="B855" s="3" t="s">
        <v>1158</v>
      </c>
      <c r="C855" s="3" t="s">
        <v>866</v>
      </c>
      <c r="D855" s="3" t="s">
        <v>989</v>
      </c>
      <c r="E855" s="38" t="s">
        <v>859</v>
      </c>
      <c r="F855" s="3" t="s">
        <v>1791</v>
      </c>
      <c r="G855" s="3" t="s">
        <v>1519</v>
      </c>
      <c r="H855" s="6">
        <v>0.6</v>
      </c>
      <c r="I855" s="6">
        <v>7.3</v>
      </c>
      <c r="J855" s="6">
        <v>10.5</v>
      </c>
      <c r="K855" s="5"/>
      <c r="L855" s="6"/>
      <c r="M855" s="6"/>
      <c r="N855" s="7"/>
      <c r="O855" s="23"/>
      <c r="P855" s="6"/>
      <c r="Q855" s="6"/>
      <c r="R855" s="31"/>
      <c r="S855" s="6"/>
      <c r="T855" s="31"/>
      <c r="U855" s="6"/>
      <c r="V855" s="23"/>
      <c r="W855" s="6"/>
      <c r="X855" s="6"/>
      <c r="Y855" s="5"/>
      <c r="Z855" s="3"/>
      <c r="AA855" s="6">
        <f>H855*I855/100</f>
      </c>
      <c r="AB855" s="6">
        <f>H855*J855/100</f>
      </c>
      <c r="AC855" s="7">
        <f>H855*K855</f>
      </c>
      <c r="AD855" s="7">
        <f>H855*M855</f>
      </c>
      <c r="AE855" s="6">
        <f>H855*L855/100</f>
      </c>
      <c r="AF855" s="6">
        <f>AA855+AB855+AE855</f>
      </c>
      <c r="AG855" s="6">
        <f>I855+J855+L855</f>
      </c>
      <c r="AH855" s="53">
        <f>$H855*I855</f>
      </c>
      <c r="AI855" s="53">
        <f>$H855*J855</f>
      </c>
      <c r="AJ855" s="53">
        <f>$H855*K855</f>
      </c>
      <c r="AK855" s="53">
        <f>$H855*L855</f>
      </c>
      <c r="AL855" s="53">
        <f>$H855*M855</f>
      </c>
      <c r="AM855" s="3"/>
      <c r="AN855" s="5"/>
      <c r="AO855" s="5"/>
      <c r="AP855" s="5"/>
      <c r="AQ8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0" width="14.576428571428572" customWidth="1" bestFit="1"/>
    <col min="2" max="2" style="8" width="8.576428571428572" customWidth="1" bestFit="1"/>
    <col min="3" max="3" style="11" width="8.576428571428572" customWidth="1" bestFit="1"/>
    <col min="4" max="4" style="9" width="7.576428571428571" customWidth="1" bestFit="1"/>
    <col min="5" max="5" style="9" width="7.576428571428571" customWidth="1" bestFit="1"/>
    <col min="6" max="6" style="11" width="7.576428571428571" customWidth="1" bestFit="1"/>
    <col min="7" max="7" style="9" width="7.576428571428571" customWidth="1" bestFit="1"/>
    <col min="8" max="8" style="9" width="7.576428571428571" customWidth="1" bestFit="1"/>
    <col min="9" max="9" style="9" width="7.576428571428571" customWidth="1" bestFit="1"/>
    <col min="10" max="10" style="9" width="7.576428571428571" customWidth="1" bestFit="1"/>
    <col min="11" max="11" style="8" width="9.576428571428572" customWidth="1" bestFit="1"/>
    <col min="12" max="12" style="11" width="8.862142857142858" customWidth="1" bestFit="1"/>
    <col min="13" max="13" style="9" width="9.576428571428572" customWidth="1" bestFit="1"/>
    <col min="14" max="14" style="9" width="12.576428571428572" customWidth="1" bestFit="1"/>
    <col min="15" max="15" style="10" width="8.005" customWidth="1" bestFit="1"/>
    <col min="16" max="16" style="10" width="8.005" customWidth="1" bestFit="1"/>
    <col min="17" max="17" style="10" width="8.005" customWidth="1" bestFit="1"/>
    <col min="18" max="18" style="10" width="8.005" customWidth="1" bestFit="1"/>
    <col min="19" max="19" style="10" width="8.005" customWidth="1" bestFit="1"/>
    <col min="20" max="20" style="10" width="8.005" customWidth="1" bestFit="1"/>
    <col min="21" max="21" style="10" width="8.005" customWidth="1" bestFit="1"/>
    <col min="22" max="22" style="10" width="8.005" customWidth="1" bestFit="1"/>
    <col min="23" max="23" style="10" width="8.005" customWidth="1" bestFit="1"/>
    <col min="24" max="24" style="10" width="8.005" customWidth="1" bestFit="1"/>
    <col min="25" max="25" style="10" width="8.005" customWidth="1" bestFit="1"/>
    <col min="26" max="26" style="10" width="8.005" customWidth="1" bestFit="1"/>
  </cols>
  <sheetData>
    <row x14ac:dyDescent="0.25" r="1" customHeight="1" ht="12.75">
      <c r="A1" s="28" t="s">
        <v>1088</v>
      </c>
      <c r="B1" s="29" t="s">
        <v>1089</v>
      </c>
      <c r="C1" s="4" t="s">
        <v>888</v>
      </c>
      <c r="D1" s="2" t="s">
        <v>889</v>
      </c>
      <c r="E1" s="2" t="s">
        <v>890</v>
      </c>
      <c r="F1" s="4" t="s">
        <v>891</v>
      </c>
      <c r="G1" s="2" t="s">
        <v>892</v>
      </c>
      <c r="H1" s="2" t="s">
        <v>893</v>
      </c>
      <c r="I1" s="2" t="s">
        <v>905</v>
      </c>
      <c r="J1" s="2" t="s">
        <v>906</v>
      </c>
      <c r="K1" s="29" t="s">
        <v>907</v>
      </c>
      <c r="L1" s="4" t="s">
        <v>909</v>
      </c>
      <c r="M1" s="2" t="s">
        <v>908</v>
      </c>
      <c r="N1" s="2" t="s">
        <v>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12.75">
      <c r="A2" s="3"/>
      <c r="B2" s="36">
        <f>SUM(B4:B71)</f>
      </c>
      <c r="C2" s="18">
        <f>SUM(C4:C71)</f>
      </c>
      <c r="D2" s="17">
        <f>100*I2/$C2</f>
      </c>
      <c r="E2" s="17">
        <f>100*J2/$C2</f>
      </c>
      <c r="F2" s="18">
        <f>K2/$C2</f>
      </c>
      <c r="G2" s="17">
        <f>100*M2/$C2</f>
      </c>
      <c r="H2" s="17">
        <f>L2/$C2</f>
      </c>
      <c r="I2" s="18">
        <f>SUM(I4:I71)</f>
      </c>
      <c r="J2" s="18">
        <f>SUM(J4:J71)</f>
      </c>
      <c r="K2" s="36">
        <f>SUM(K4:K71)</f>
      </c>
      <c r="L2" s="36">
        <f>SUM(L4:L71)</f>
      </c>
      <c r="M2" s="17">
        <f>SUM(M4:M71)</f>
      </c>
      <c r="N2" s="18">
        <f>SUM(N4:N71)</f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x14ac:dyDescent="0.25" r="3" customHeight="1" ht="12.75">
      <c r="A3" s="28" t="s">
        <v>1090</v>
      </c>
      <c r="B3" s="29" t="s">
        <v>1089</v>
      </c>
      <c r="C3" s="4" t="s">
        <v>888</v>
      </c>
      <c r="D3" s="2" t="s">
        <v>889</v>
      </c>
      <c r="E3" s="2" t="s">
        <v>890</v>
      </c>
      <c r="F3" s="4" t="s">
        <v>891</v>
      </c>
      <c r="G3" s="2" t="s">
        <v>892</v>
      </c>
      <c r="H3" s="2" t="s">
        <v>893</v>
      </c>
      <c r="I3" s="2" t="s">
        <v>905</v>
      </c>
      <c r="J3" s="2" t="s">
        <v>906</v>
      </c>
      <c r="K3" s="29" t="s">
        <v>907</v>
      </c>
      <c r="L3" s="4" t="s">
        <v>909</v>
      </c>
      <c r="M3" s="2" t="s">
        <v>908</v>
      </c>
      <c r="N3" s="2" t="s"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x14ac:dyDescent="0.25" r="4" customHeight="1" ht="12.75">
      <c r="A4" s="3" t="s">
        <v>1091</v>
      </c>
      <c r="B4" s="5">
        <f>COUNT(MasterData!H5:H11)</f>
      </c>
      <c r="C4" s="7">
        <f>SUM(MasterData!H5:H11)</f>
      </c>
      <c r="D4" s="6">
        <f>100*I4/$C4</f>
      </c>
      <c r="E4" s="6">
        <f>100*J4/$C4</f>
      </c>
      <c r="F4" s="7">
        <f>K4/$C4</f>
      </c>
      <c r="G4" s="6">
        <f>100*M4/$C4</f>
      </c>
      <c r="H4" s="6">
        <f>L4/$C4</f>
      </c>
      <c r="I4" s="6">
        <f>SUM(MasterData!AA5:AA11)</f>
      </c>
      <c r="J4" s="6">
        <f>SUM(MasterData!AB5:AB11)</f>
      </c>
      <c r="K4" s="5">
        <f>SUM(MasterData!AC5:AC11)</f>
      </c>
      <c r="L4" s="7">
        <f>SUM(MasterData!AD5:AD11)</f>
      </c>
      <c r="M4" s="6">
        <f>SUM(MasterData!AE5:AE11)</f>
      </c>
      <c r="N4" s="6">
        <f>SUM(MasterData!AF5:AF11)</f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x14ac:dyDescent="0.25" r="5" customHeight="1" ht="12.75">
      <c r="A5" s="3" t="s">
        <v>1092</v>
      </c>
      <c r="B5" s="5">
        <f>COUNT(MasterData!H12:H16)</f>
      </c>
      <c r="C5" s="7">
        <f>SUM(MasterData!H12:H16)</f>
      </c>
      <c r="D5" s="6">
        <f>100*I5/$C5</f>
      </c>
      <c r="E5" s="6">
        <f>100*J5/$C5</f>
      </c>
      <c r="F5" s="7">
        <f>K5/$C5</f>
      </c>
      <c r="G5" s="6">
        <f>100*M5/$C5</f>
      </c>
      <c r="H5" s="6">
        <f>L5/$C5</f>
      </c>
      <c r="I5" s="6">
        <f>SUM(MasterData!AA12:AA16)</f>
      </c>
      <c r="J5" s="6">
        <f>SUM(MasterData!AB12:AB16)</f>
      </c>
      <c r="K5" s="5">
        <f>SUM(MasterData!AC12:AC16)</f>
      </c>
      <c r="L5" s="7">
        <f>SUM(MasterData!AD12:AD16)</f>
      </c>
      <c r="M5" s="6">
        <f>SUM(MasterData!AE12:AE16)</f>
      </c>
      <c r="N5" s="6">
        <f>SUM(MasterData!AF12:AF16)</f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x14ac:dyDescent="0.25" r="6" customHeight="1" ht="12.75">
      <c r="A6" s="3" t="s">
        <v>1093</v>
      </c>
      <c r="B6" s="5">
        <f>COUNT(MasterData!H17:H21)</f>
      </c>
      <c r="C6" s="7">
        <f>SUM(MasterData!H17:H21)</f>
      </c>
      <c r="D6" s="6">
        <f>100*I6/$C6</f>
      </c>
      <c r="E6" s="6">
        <f>100*J6/$C6</f>
      </c>
      <c r="F6" s="7">
        <f>K6/$C6</f>
      </c>
      <c r="G6" s="6">
        <f>100*M6/$C6</f>
      </c>
      <c r="H6" s="6">
        <f>L6/$C6</f>
      </c>
      <c r="I6" s="6">
        <f>SUM(MasterData!AA17:AA21)</f>
      </c>
      <c r="J6" s="6">
        <f>SUM(MasterData!AB17:AB21)</f>
      </c>
      <c r="K6" s="5">
        <f>SUM(MasterData!AC17:AC21)</f>
      </c>
      <c r="L6" s="7">
        <f>SUM(MasterData!AD17:AD21)</f>
      </c>
      <c r="M6" s="6">
        <f>SUM(MasterData!AE17:AE21)</f>
      </c>
      <c r="N6" s="6">
        <f>SUM(MasterData!AF17:AF21)</f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x14ac:dyDescent="0.25" r="7" customHeight="1" ht="12.75">
      <c r="A7" s="3" t="s">
        <v>1094</v>
      </c>
      <c r="B7" s="5">
        <f>COUNT(MasterData!H22:H153)</f>
      </c>
      <c r="C7" s="7">
        <f>SUM(MasterData!H22:H153)</f>
      </c>
      <c r="D7" s="6">
        <f>100*I7/$C7</f>
      </c>
      <c r="E7" s="6">
        <f>100*J7/$C7</f>
      </c>
      <c r="F7" s="7">
        <f>K7/$C7</f>
      </c>
      <c r="G7" s="6">
        <f>100*M7/$C7</f>
      </c>
      <c r="H7" s="6">
        <f>L7/$C7</f>
      </c>
      <c r="I7" s="6">
        <f>SUM(MasterData!AA22:AA153)</f>
      </c>
      <c r="J7" s="6">
        <f>SUM(MasterData!AB22:AB153)</f>
      </c>
      <c r="K7" s="5">
        <f>SUM(MasterData!AC22:AC153)</f>
      </c>
      <c r="L7" s="7">
        <f>SUM(MasterData!AD22:AD153)</f>
      </c>
      <c r="M7" s="6">
        <f>SUM(MasterData!AE22:AE153)</f>
      </c>
      <c r="N7" s="6">
        <f>SUM(MasterData!AF22:AF153)</f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x14ac:dyDescent="0.25" r="8" customHeight="1" ht="12.75">
      <c r="A8" s="3" t="s">
        <v>1095</v>
      </c>
      <c r="B8" s="5">
        <f>COUNT(MasterData!H154)</f>
      </c>
      <c r="C8" s="7">
        <f>SUM(MasterData!H154)</f>
      </c>
      <c r="D8" s="6">
        <f>100*I8/$C8</f>
      </c>
      <c r="E8" s="6">
        <f>100*J8/$C8</f>
      </c>
      <c r="F8" s="7">
        <f>K8/$C8</f>
      </c>
      <c r="G8" s="6">
        <f>100*M8/$C8</f>
      </c>
      <c r="H8" s="6">
        <f>L8/$C8</f>
      </c>
      <c r="I8" s="6">
        <f>SUM(MasterData!AA154)</f>
      </c>
      <c r="J8" s="6">
        <f>SUM(MasterData!AB154)</f>
      </c>
      <c r="K8" s="5">
        <f>SUM(MasterData!AC154)</f>
      </c>
      <c r="L8" s="7">
        <f>SUM(MasterData!AD154)</f>
      </c>
      <c r="M8" s="6">
        <f>SUM(MasterData!AE154)</f>
      </c>
      <c r="N8" s="6">
        <f>SUM(MasterData!AF154)</f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x14ac:dyDescent="0.25" r="9" customHeight="1" ht="12.75">
      <c r="A9" s="3" t="s">
        <v>1096</v>
      </c>
      <c r="B9" s="5">
        <f>COUNT(MasterData!H155:H164)</f>
      </c>
      <c r="C9" s="7">
        <f>SUM(MasterData!H155:H164)</f>
      </c>
      <c r="D9" s="6">
        <f>100*I9/$C9</f>
      </c>
      <c r="E9" s="6">
        <f>100*J9/$C9</f>
      </c>
      <c r="F9" s="7">
        <f>K9/$C9</f>
      </c>
      <c r="G9" s="6">
        <f>100*M9/$C9</f>
      </c>
      <c r="H9" s="6">
        <f>L9/$C9</f>
      </c>
      <c r="I9" s="6">
        <f>SUM(MasterData!AA155:AA164)</f>
      </c>
      <c r="J9" s="6">
        <f>SUM(MasterData!AB155:AB164)</f>
      </c>
      <c r="K9" s="5">
        <f>SUM(MasterData!AC155:AC164)</f>
      </c>
      <c r="L9" s="7">
        <f>SUM(MasterData!AD155:AD164)</f>
      </c>
      <c r="M9" s="6">
        <f>SUM(MasterData!AE155:AE164)</f>
      </c>
      <c r="N9" s="6">
        <f>SUM(MasterData!AF155:AF164)</f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x14ac:dyDescent="0.25" r="10" customHeight="1" ht="12.75">
      <c r="A10" s="3" t="s">
        <v>1097</v>
      </c>
      <c r="B10" s="5">
        <f>COUNT(MasterData!H165:H166)</f>
      </c>
      <c r="C10" s="7">
        <f>SUM(MasterData!H165:H166)</f>
      </c>
      <c r="D10" s="6">
        <f>100*I10/$C10</f>
      </c>
      <c r="E10" s="6">
        <f>100*J10/$C10</f>
      </c>
      <c r="F10" s="7">
        <f>K10/$C10</f>
      </c>
      <c r="G10" s="6">
        <f>100*M10/$C10</f>
      </c>
      <c r="H10" s="6">
        <f>L10/$C10</f>
      </c>
      <c r="I10" s="6">
        <f>SUM(MasterData!AA165:AA166)</f>
      </c>
      <c r="J10" s="6">
        <f>SUM(MasterData!AB165:AB166)</f>
      </c>
      <c r="K10" s="5">
        <f>SUM(MasterData!AC165:AC166)</f>
      </c>
      <c r="L10" s="7">
        <f>SUM(MasterData!AD165:AD166)</f>
      </c>
      <c r="M10" s="6">
        <f>SUM(MasterData!AE165:AE166)</f>
      </c>
      <c r="N10" s="6">
        <f>SUM(MasterData!AF165:AF166)</f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x14ac:dyDescent="0.25" r="11" customHeight="1" ht="12.75">
      <c r="A11" s="3" t="s">
        <v>1098</v>
      </c>
      <c r="B11" s="5">
        <f>COUNT(MasterData!H167:H179)</f>
      </c>
      <c r="C11" s="7">
        <f>SUM(MasterData!H167:H179)</f>
      </c>
      <c r="D11" s="6">
        <f>100*I11/$C11</f>
      </c>
      <c r="E11" s="6">
        <f>100*J11/$C11</f>
      </c>
      <c r="F11" s="7">
        <f>K11/$C11</f>
      </c>
      <c r="G11" s="6">
        <f>100*M11/$C11</f>
      </c>
      <c r="H11" s="6">
        <f>L11/$C11</f>
      </c>
      <c r="I11" s="6">
        <f>SUM(MasterData!AA167:AA179)</f>
      </c>
      <c r="J11" s="6">
        <f>SUM(MasterData!AB167:AB179)</f>
      </c>
      <c r="K11" s="5">
        <f>SUM(MasterData!AC167:AC179)</f>
      </c>
      <c r="L11" s="7">
        <f>SUM(MasterData!AD167:AD179)</f>
      </c>
      <c r="M11" s="6">
        <f>SUM(MasterData!AE167:AE179)</f>
      </c>
      <c r="N11" s="6">
        <f>SUM(MasterData!AF167:AF179)</f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x14ac:dyDescent="0.25" r="12" customHeight="1" ht="12.75">
      <c r="A12" s="3" t="s">
        <v>1099</v>
      </c>
      <c r="B12" s="5">
        <f>COUNT(MasterData!H180)</f>
      </c>
      <c r="C12" s="7">
        <f>SUM(MasterData!H180)</f>
      </c>
      <c r="D12" s="6">
        <f>100*I12/$C12</f>
      </c>
      <c r="E12" s="6">
        <f>100*J12/$C12</f>
      </c>
      <c r="F12" s="7">
        <f>K12/$C12</f>
      </c>
      <c r="G12" s="6">
        <f>100*M12/$C12</f>
      </c>
      <c r="H12" s="6">
        <f>L12/$C12</f>
      </c>
      <c r="I12" s="6">
        <f>SUM(MasterData!AA180)</f>
      </c>
      <c r="J12" s="6">
        <f>SUM(MasterData!AB180)</f>
      </c>
      <c r="K12" s="5">
        <f>SUM(MasterData!AC180)</f>
      </c>
      <c r="L12" s="7">
        <f>SUM(MasterData!AD180)</f>
      </c>
      <c r="M12" s="6">
        <f>SUM(MasterData!AE180)</f>
      </c>
      <c r="N12" s="6">
        <f>SUM(MasterData!AF180)</f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x14ac:dyDescent="0.25" r="13" customHeight="1" ht="12.75">
      <c r="A13" s="3" t="s">
        <v>1100</v>
      </c>
      <c r="B13" s="5">
        <f>COUNT(MasterData!H181:H409)</f>
      </c>
      <c r="C13" s="7">
        <f>SUM(MasterData!H181:H409)</f>
      </c>
      <c r="D13" s="6">
        <f>100*I13/$C13</f>
      </c>
      <c r="E13" s="6">
        <f>100*J13/$C13</f>
      </c>
      <c r="F13" s="7">
        <f>K13/$C13</f>
      </c>
      <c r="G13" s="6">
        <f>100*M13/$C13</f>
      </c>
      <c r="H13" s="6">
        <f>L13/$C13</f>
      </c>
      <c r="I13" s="6">
        <f>SUM(MasterData!AA181:AA409)</f>
      </c>
      <c r="J13" s="6">
        <f>SUM(MasterData!AB181:AB409)</f>
      </c>
      <c r="K13" s="5">
        <f>SUM(MasterData!AC181:AC409)</f>
      </c>
      <c r="L13" s="7">
        <f>SUM(MasterData!AD181:AD409)</f>
      </c>
      <c r="M13" s="6">
        <f>SUM(MasterData!AE181:AE409)</f>
      </c>
      <c r="N13" s="6">
        <f>SUM(MasterData!AF181:AF409)</f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x14ac:dyDescent="0.25" r="14" customHeight="1" ht="12.75">
      <c r="A14" s="3" t="s">
        <v>1101</v>
      </c>
      <c r="B14" s="5">
        <f>COUNT(MasterData!H410:H414)</f>
      </c>
      <c r="C14" s="7">
        <f>SUM(MasterData!H410:H414)</f>
      </c>
      <c r="D14" s="6">
        <f>100*I14/$C14</f>
      </c>
      <c r="E14" s="6">
        <f>100*J14/$C14</f>
      </c>
      <c r="F14" s="7">
        <f>K14/$C14</f>
      </c>
      <c r="G14" s="6">
        <f>100*M14/$C14</f>
      </c>
      <c r="H14" s="6">
        <f>L14/$C14</f>
      </c>
      <c r="I14" s="6">
        <f>SUM(MasterData!AA410:AA414)</f>
      </c>
      <c r="J14" s="6">
        <f>SUM(MasterData!AB410:AB414)</f>
      </c>
      <c r="K14" s="5">
        <f>SUM(MasterData!AC410:AC414)</f>
      </c>
      <c r="L14" s="7">
        <f>SUM(MasterData!AD410:AD414)</f>
      </c>
      <c r="M14" s="6">
        <f>SUM(MasterData!AE410:AE414)</f>
      </c>
      <c r="N14" s="6">
        <f>SUM(MasterData!AF410:AF414)</f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2.75">
      <c r="A15" s="3" t="s">
        <v>1102</v>
      </c>
      <c r="B15" s="5">
        <f>COUNT(MasterData!H415:H438)</f>
      </c>
      <c r="C15" s="7">
        <f>SUM(MasterData!H415:H438)</f>
      </c>
      <c r="D15" s="6">
        <f>100*I15/$C15</f>
      </c>
      <c r="E15" s="6">
        <f>100*J15/$C15</f>
      </c>
      <c r="F15" s="7">
        <f>K15/$C15</f>
      </c>
      <c r="G15" s="6">
        <f>100*M15/$C15</f>
      </c>
      <c r="H15" s="6">
        <f>L15/$C15</f>
      </c>
      <c r="I15" s="6">
        <f>SUM(MasterData!AA415:AA438)</f>
      </c>
      <c r="J15" s="6">
        <f>SUM(MasterData!AB415:AB438)</f>
      </c>
      <c r="K15" s="5">
        <f>SUM(MasterData!AC415:AC438)</f>
      </c>
      <c r="L15" s="7">
        <f>SUM(MasterData!AD415:AD438)</f>
      </c>
      <c r="M15" s="6">
        <f>SUM(MasterData!AE415:AE438)</f>
      </c>
      <c r="N15" s="6">
        <f>SUM(MasterData!AF415:AF438)</f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12.75">
      <c r="A16" s="3" t="s">
        <v>1103</v>
      </c>
      <c r="B16" s="5">
        <f>COUNT(MasterData!H439)</f>
      </c>
      <c r="C16" s="7">
        <f>SUM(MasterData!H439)</f>
      </c>
      <c r="D16" s="6">
        <f>100*I16/$C16</f>
      </c>
      <c r="E16" s="6">
        <f>100*J16/$C16</f>
      </c>
      <c r="F16" s="7">
        <f>K16/$C16</f>
      </c>
      <c r="G16" s="6">
        <f>100*M16/$C16</f>
      </c>
      <c r="H16" s="6">
        <f>L16/$C16</f>
      </c>
      <c r="I16" s="6">
        <f>SUM(MasterData!AA439)</f>
      </c>
      <c r="J16" s="6">
        <f>SUM(MasterData!AB439)</f>
      </c>
      <c r="K16" s="5">
        <f>SUM(MasterData!AC439)</f>
      </c>
      <c r="L16" s="7">
        <f>SUM(MasterData!AD439)</f>
      </c>
      <c r="M16" s="6">
        <f>SUM(MasterData!AE439)</f>
      </c>
      <c r="N16" s="6">
        <f>SUM(MasterData!AF439)</f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x14ac:dyDescent="0.25" r="17" customHeight="1" ht="12.75">
      <c r="A17" s="3" t="s">
        <v>1104</v>
      </c>
      <c r="B17" s="5">
        <f>COUNT(MasterData!H440:H442)</f>
      </c>
      <c r="C17" s="7">
        <f>SUM(MasterData!H440:H442)</f>
      </c>
      <c r="D17" s="6">
        <f>100*I17/$C17</f>
      </c>
      <c r="E17" s="6">
        <f>100*J17/$C17</f>
      </c>
      <c r="F17" s="7">
        <f>K17/$C17</f>
      </c>
      <c r="G17" s="6">
        <f>100*M17/$C17</f>
      </c>
      <c r="H17" s="6">
        <f>L17/$C17</f>
      </c>
      <c r="I17" s="6">
        <f>SUM(MasterData!AA440:AA442)</f>
      </c>
      <c r="J17" s="6">
        <f>SUM(MasterData!AB440:AB442)</f>
      </c>
      <c r="K17" s="5">
        <f>SUM(MasterData!AC440:AC442)</f>
      </c>
      <c r="L17" s="7">
        <f>SUM(MasterData!AD440:AD442)</f>
      </c>
      <c r="M17" s="6">
        <f>SUM(MasterData!AE440:AE442)</f>
      </c>
      <c r="N17" s="6">
        <f>SUM(MasterData!AF440:AF442)</f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x14ac:dyDescent="0.25" r="18" customHeight="1" ht="12.75">
      <c r="A18" s="3" t="s">
        <v>1105</v>
      </c>
      <c r="B18" s="5">
        <f>COUNT(MasterData!H443:H444)</f>
      </c>
      <c r="C18" s="7">
        <f>SUM(MasterData!H443:H444)</f>
      </c>
      <c r="D18" s="6">
        <f>100*I18/$C18</f>
      </c>
      <c r="E18" s="6">
        <f>100*J18/$C18</f>
      </c>
      <c r="F18" s="7">
        <f>K18/$C18</f>
      </c>
      <c r="G18" s="6">
        <f>100*M18/$C18</f>
      </c>
      <c r="H18" s="6">
        <f>L18/$C18</f>
      </c>
      <c r="I18" s="6">
        <f>SUM(MasterData!AA443:AA444)</f>
      </c>
      <c r="J18" s="6">
        <f>SUM(MasterData!AB443:AB444)</f>
      </c>
      <c r="K18" s="5">
        <f>SUM(MasterData!AC443:AC444)</f>
      </c>
      <c r="L18" s="7">
        <f>SUM(MasterData!AD443:AD444)</f>
      </c>
      <c r="M18" s="6">
        <f>SUM(MasterData!AE443:AE444)</f>
      </c>
      <c r="N18" s="6">
        <f>SUM(MasterData!AF443:AF444)</f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12.75">
      <c r="A19" s="3" t="s">
        <v>1106</v>
      </c>
      <c r="B19" s="5">
        <f>COUNT(MasterData!H445:H448)</f>
      </c>
      <c r="C19" s="7">
        <f>SUM(MasterData!H445:H448)</f>
      </c>
      <c r="D19" s="6">
        <f>100*I19/$C19</f>
      </c>
      <c r="E19" s="6">
        <f>100*J19/$C19</f>
      </c>
      <c r="F19" s="7">
        <f>K19/$C19</f>
      </c>
      <c r="G19" s="6">
        <f>100*M19/$C19</f>
      </c>
      <c r="H19" s="6">
        <f>L19/$C19</f>
      </c>
      <c r="I19" s="6">
        <f>SUM(MasterData!AA445:AA448)</f>
      </c>
      <c r="J19" s="6">
        <f>SUM(MasterData!AB445:AB448)</f>
      </c>
      <c r="K19" s="5">
        <f>SUM(MasterData!AC445:AC448)</f>
      </c>
      <c r="L19" s="7">
        <f>SUM(MasterData!AD445:AD448)</f>
      </c>
      <c r="M19" s="6">
        <f>SUM(MasterData!AE445:AE448)</f>
      </c>
      <c r="N19" s="6">
        <f>SUM(MasterData!AF445:AF448)</f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12.75">
      <c r="A20" s="3" t="s">
        <v>1107</v>
      </c>
      <c r="B20" s="5">
        <f>COUNT(MasterData!H449)</f>
      </c>
      <c r="C20" s="7">
        <f>SUM(MasterData!H449)</f>
      </c>
      <c r="D20" s="6">
        <f>100*I20/$C20</f>
      </c>
      <c r="E20" s="6">
        <f>100*J20/$C20</f>
      </c>
      <c r="F20" s="7">
        <f>K20/$C20</f>
      </c>
      <c r="G20" s="6">
        <f>100*M20/$C20</f>
      </c>
      <c r="H20" s="6">
        <f>L20/$C20</f>
      </c>
      <c r="I20" s="6">
        <f>SUM(MasterData!AA449)</f>
      </c>
      <c r="J20" s="6">
        <f>SUM(MasterData!AB449)</f>
      </c>
      <c r="K20" s="5">
        <f>SUM(MasterData!AC449)</f>
      </c>
      <c r="L20" s="7">
        <f>SUM(MasterData!AD449)</f>
      </c>
      <c r="M20" s="6">
        <f>SUM(MasterData!AE449)</f>
      </c>
      <c r="N20" s="6">
        <f>SUM(MasterData!AF449)</f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x14ac:dyDescent="0.25" r="21" customHeight="1" ht="12.75">
      <c r="A21" s="3" t="s">
        <v>1108</v>
      </c>
      <c r="B21" s="5">
        <f>COUNT(MasterData!H450:H451)</f>
      </c>
      <c r="C21" s="7">
        <f>SUM(MasterData!H450:H451)</f>
      </c>
      <c r="D21" s="6">
        <f>100*I21/$C21</f>
      </c>
      <c r="E21" s="6">
        <f>100*J21/$C21</f>
      </c>
      <c r="F21" s="7">
        <f>K21/$C21</f>
      </c>
      <c r="G21" s="6">
        <f>100*M21/$C21</f>
      </c>
      <c r="H21" s="6">
        <f>L21/$C21</f>
      </c>
      <c r="I21" s="6">
        <f>SUM(MasterData!AA450:AA451)</f>
      </c>
      <c r="J21" s="6">
        <f>SUM(MasterData!AB450:AB451)</f>
      </c>
      <c r="K21" s="5">
        <f>SUM(MasterData!AC450:AC451)</f>
      </c>
      <c r="L21" s="7">
        <f>SUM(MasterData!AD450:AD451)</f>
      </c>
      <c r="M21" s="6">
        <f>SUM(MasterData!AE450:AE451)</f>
      </c>
      <c r="N21" s="6">
        <f>SUM(MasterData!AF450:AF451)</f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x14ac:dyDescent="0.25" r="22" customHeight="1" ht="12.75">
      <c r="A22" s="3" t="s">
        <v>1109</v>
      </c>
      <c r="B22" s="5">
        <f>COUNT(MasterData!H452:H458)</f>
      </c>
      <c r="C22" s="7">
        <f>SUM(MasterData!H452:H458)</f>
      </c>
      <c r="D22" s="6">
        <f>100*I22/$C22</f>
      </c>
      <c r="E22" s="6">
        <f>100*J22/$C22</f>
      </c>
      <c r="F22" s="7">
        <f>K22/$C22</f>
      </c>
      <c r="G22" s="6">
        <f>100*M22/$C22</f>
      </c>
      <c r="H22" s="6">
        <f>L22/$C22</f>
      </c>
      <c r="I22" s="6">
        <f>SUM(MasterData!AA452:AA458)</f>
      </c>
      <c r="J22" s="6">
        <f>SUM(MasterData!AB452:AB458)</f>
      </c>
      <c r="K22" s="5">
        <f>SUM(MasterData!AC452:AC458)</f>
      </c>
      <c r="L22" s="7">
        <f>SUM(MasterData!AD452:AD458)</f>
      </c>
      <c r="M22" s="6">
        <f>SUM(MasterData!AE452:AE458)</f>
      </c>
      <c r="N22" s="6">
        <f>SUM(MasterData!AF452:AF458)</f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x14ac:dyDescent="0.25" r="23" customHeight="1" ht="12.75">
      <c r="A23" s="3" t="s">
        <v>1110</v>
      </c>
      <c r="B23" s="5">
        <f>COUNT(MasterData!H459:H471)</f>
      </c>
      <c r="C23" s="7">
        <f>SUM(MasterData!H459:H471)</f>
      </c>
      <c r="D23" s="6">
        <f>100*I23/$C23</f>
      </c>
      <c r="E23" s="6">
        <f>100*J23/$C23</f>
      </c>
      <c r="F23" s="7">
        <f>K23/$C23</f>
      </c>
      <c r="G23" s="6">
        <f>100*M23/$C23</f>
      </c>
      <c r="H23" s="6">
        <f>L23/$C23</f>
      </c>
      <c r="I23" s="6">
        <f>SUM(MasterData!AA459:AA471)</f>
      </c>
      <c r="J23" s="6">
        <f>SUM(MasterData!AB459:AB471)</f>
      </c>
      <c r="K23" s="5">
        <f>SUM(MasterData!AC459:AC471)</f>
      </c>
      <c r="L23" s="7">
        <f>SUM(MasterData!AD459:AD471)</f>
      </c>
      <c r="M23" s="6">
        <f>SUM(MasterData!AE459:AE471)</f>
      </c>
      <c r="N23" s="6">
        <f>SUM(MasterData!AF459:AF471)</f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12.75">
      <c r="A24" s="3" t="s">
        <v>1111</v>
      </c>
      <c r="B24" s="5">
        <f>COUNT(MasterData!H472:H473)</f>
      </c>
      <c r="C24" s="7">
        <f>SUM(MasterData!H472:H473)</f>
      </c>
      <c r="D24" s="6">
        <f>100*I24/$C24</f>
      </c>
      <c r="E24" s="6">
        <f>100*J24/$C24</f>
      </c>
      <c r="F24" s="7">
        <f>K24/$C24</f>
      </c>
      <c r="G24" s="6">
        <f>100*M24/$C24</f>
      </c>
      <c r="H24" s="6">
        <f>L24/$C24</f>
      </c>
      <c r="I24" s="6">
        <f>SUM(MasterData!AA472:AA473)</f>
      </c>
      <c r="J24" s="6">
        <f>SUM(MasterData!AB472:AB473)</f>
      </c>
      <c r="K24" s="5">
        <f>SUM(MasterData!AC472:AC473)</f>
      </c>
      <c r="L24" s="7">
        <f>SUM(MasterData!AD472:AD473)</f>
      </c>
      <c r="M24" s="6">
        <f>SUM(MasterData!AE472:AE473)</f>
      </c>
      <c r="N24" s="6">
        <f>SUM(MasterData!AF472:AF473)</f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12.75">
      <c r="A25" s="3" t="s">
        <v>1112</v>
      </c>
      <c r="B25" s="5">
        <f>COUNT(MasterData!H474:H484)</f>
      </c>
      <c r="C25" s="7">
        <f>SUM(MasterData!H474:H484)</f>
      </c>
      <c r="D25" s="6">
        <f>100*I25/$C25</f>
      </c>
      <c r="E25" s="6">
        <f>100*J25/$C25</f>
      </c>
      <c r="F25" s="7">
        <f>K25/$C25</f>
      </c>
      <c r="G25" s="6">
        <f>100*M25/$C25</f>
      </c>
      <c r="H25" s="6">
        <f>L25/$C25</f>
      </c>
      <c r="I25" s="6">
        <f>SUM(MasterData!AA474:AA484)</f>
      </c>
      <c r="J25" s="6">
        <f>SUM(MasterData!AB474:AB484)</f>
      </c>
      <c r="K25" s="5">
        <f>SUM(MasterData!AC474:AC484)</f>
      </c>
      <c r="L25" s="7">
        <f>SUM(MasterData!AD474:AD484)</f>
      </c>
      <c r="M25" s="6">
        <f>SUM(MasterData!AE474:AE484)</f>
      </c>
      <c r="N25" s="6">
        <f>SUM(MasterData!AF474:AF484)</f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12.75">
      <c r="A26" s="3" t="s">
        <v>1113</v>
      </c>
      <c r="B26" s="5">
        <f>COUNT(MasterData!H485:H486)</f>
      </c>
      <c r="C26" s="7">
        <f>SUM(MasterData!H485:H486)</f>
      </c>
      <c r="D26" s="6">
        <f>100*I26/$C26</f>
      </c>
      <c r="E26" s="6">
        <f>100*J26/$C26</f>
      </c>
      <c r="F26" s="7">
        <f>K26/$C26</f>
      </c>
      <c r="G26" s="6">
        <f>100*M26/$C26</f>
      </c>
      <c r="H26" s="6">
        <f>L26/$C26</f>
      </c>
      <c r="I26" s="6">
        <f>SUM(MasterData!AA485:AA486)</f>
      </c>
      <c r="J26" s="6">
        <f>SUM(MasterData!AB485:AB486)</f>
      </c>
      <c r="K26" s="5">
        <f>SUM(MasterData!AC485:AC486)</f>
      </c>
      <c r="L26" s="7">
        <f>SUM(MasterData!AD485:AD486)</f>
      </c>
      <c r="M26" s="6">
        <f>SUM(MasterData!AE485:AE486)</f>
      </c>
      <c r="N26" s="6">
        <f>SUM(MasterData!AF485:AF486)</f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x14ac:dyDescent="0.25" r="27" customHeight="1" ht="12.75">
      <c r="A27" s="3" t="s">
        <v>1114</v>
      </c>
      <c r="B27" s="5">
        <f>COUNT(MasterData!H487:H488)</f>
      </c>
      <c r="C27" s="7">
        <f>SUM(MasterData!H487:H488)</f>
      </c>
      <c r="D27" s="6">
        <f>100*I27/$C27</f>
      </c>
      <c r="E27" s="6">
        <f>100*J27/$C27</f>
      </c>
      <c r="F27" s="7">
        <f>K27/$C27</f>
      </c>
      <c r="G27" s="6">
        <f>100*M27/$C27</f>
      </c>
      <c r="H27" s="6">
        <f>L27/$C27</f>
      </c>
      <c r="I27" s="6">
        <f>SUM(MasterData!AA487:AA488)</f>
      </c>
      <c r="J27" s="6">
        <f>SUM(MasterData!AB487:AB488)</f>
      </c>
      <c r="K27" s="5">
        <f>SUM(MasterData!AC487:AC488)</f>
      </c>
      <c r="L27" s="7">
        <f>SUM(MasterData!AD487:AD488)</f>
      </c>
      <c r="M27" s="6">
        <f>SUM(MasterData!AE487:AE488)</f>
      </c>
      <c r="N27" s="6">
        <f>SUM(MasterData!AF487:AF488)</f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12.75">
      <c r="A28" s="3" t="s">
        <v>1115</v>
      </c>
      <c r="B28" s="5">
        <f>COUNT(MasterData!H489:H495)</f>
      </c>
      <c r="C28" s="7">
        <f>SUM(MasterData!H489:H495)</f>
      </c>
      <c r="D28" s="6">
        <f>100*I28/$C28</f>
      </c>
      <c r="E28" s="6">
        <f>100*J28/$C28</f>
      </c>
      <c r="F28" s="7">
        <f>K28/$C28</f>
      </c>
      <c r="G28" s="6">
        <f>100*M28/$C28</f>
      </c>
      <c r="H28" s="6">
        <f>L28/$C28</f>
      </c>
      <c r="I28" s="6">
        <f>SUM(MasterData!AA489:AA495)</f>
      </c>
      <c r="J28" s="6">
        <f>SUM(MasterData!AB489:AB495)</f>
      </c>
      <c r="K28" s="5">
        <f>SUM(MasterData!AC489:AC495)</f>
      </c>
      <c r="L28" s="7">
        <f>SUM(MasterData!AD489:AD495)</f>
      </c>
      <c r="M28" s="6">
        <f>SUM(MasterData!AE489:AE495)</f>
      </c>
      <c r="N28" s="6">
        <f>SUM(MasterData!AF489:AF495)</f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12.75">
      <c r="A29" s="3" t="s">
        <v>1116</v>
      </c>
      <c r="B29" s="5">
        <f>COUNT(MasterData!H496:H497)</f>
      </c>
      <c r="C29" s="7">
        <f>SUM(MasterData!H496:H497)</f>
      </c>
      <c r="D29" s="6">
        <f>100*I29/$C29</f>
      </c>
      <c r="E29" s="6">
        <f>100*J29/$C29</f>
      </c>
      <c r="F29" s="7">
        <f>K29/$C29</f>
      </c>
      <c r="G29" s="6">
        <f>100*M29/$C29</f>
      </c>
      <c r="H29" s="6">
        <f>L29/$C29</f>
      </c>
      <c r="I29" s="6">
        <f>SUM(MasterData!AA496:AA497)</f>
      </c>
      <c r="J29" s="6">
        <f>SUM(MasterData!AB496:AB497)</f>
      </c>
      <c r="K29" s="5">
        <f>SUM(MasterData!AC496:AC497)</f>
      </c>
      <c r="L29" s="7">
        <f>SUM(MasterData!AD496:AD497)</f>
      </c>
      <c r="M29" s="6">
        <f>SUM(MasterData!AE496:AE497)</f>
      </c>
      <c r="N29" s="6">
        <f>SUM(MasterData!AF496:AF497)</f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12.75">
      <c r="A30" s="3" t="s">
        <v>1117</v>
      </c>
      <c r="B30" s="5">
        <f>COUNT(MasterData!H498)</f>
      </c>
      <c r="C30" s="7">
        <f>SUM(MasterData!H498)</f>
      </c>
      <c r="D30" s="6">
        <f>100*I30/$C30</f>
      </c>
      <c r="E30" s="6">
        <f>100*J30/$C30</f>
      </c>
      <c r="F30" s="7">
        <f>K30/$C30</f>
      </c>
      <c r="G30" s="6">
        <f>100*M30/$C30</f>
      </c>
      <c r="H30" s="6">
        <f>L30/$C30</f>
      </c>
      <c r="I30" s="6">
        <f>SUM(MasterData!AA498)</f>
      </c>
      <c r="J30" s="6">
        <f>SUM(MasterData!AB498)</f>
      </c>
      <c r="K30" s="5">
        <f>SUM(MasterData!AC498)</f>
      </c>
      <c r="L30" s="7">
        <f>SUM(MasterData!AD498)</f>
      </c>
      <c r="M30" s="6">
        <f>SUM(MasterData!AE498)</f>
      </c>
      <c r="N30" s="6">
        <f>SUM(MasterData!AF498)</f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2.75">
      <c r="A31" s="3" t="s">
        <v>1118</v>
      </c>
      <c r="B31" s="5">
        <f>COUNT(MasterData!H499:H536)</f>
      </c>
      <c r="C31" s="7">
        <f>SUM(MasterData!H499:H536)</f>
      </c>
      <c r="D31" s="6">
        <f>100*I31/$C31</f>
      </c>
      <c r="E31" s="6">
        <f>100*J31/$C31</f>
      </c>
      <c r="F31" s="7">
        <f>K31/$C31</f>
      </c>
      <c r="G31" s="6">
        <f>100*M31/$C31</f>
      </c>
      <c r="H31" s="6">
        <f>L31/$C31</f>
      </c>
      <c r="I31" s="6">
        <f>SUM(MasterData!AA499:AA536)</f>
      </c>
      <c r="J31" s="6">
        <f>SUM(MasterData!AB499:AB536)</f>
      </c>
      <c r="K31" s="5">
        <f>SUM(MasterData!AC499:AC536)</f>
      </c>
      <c r="L31" s="7">
        <f>SUM(MasterData!AD499:AD536)</f>
      </c>
      <c r="M31" s="6">
        <f>SUM(MasterData!AE499:AE536)</f>
      </c>
      <c r="N31" s="6">
        <f>SUM(MasterData!AF499:AF536)</f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12.75">
      <c r="A32" s="3" t="s">
        <v>1119</v>
      </c>
      <c r="B32" s="5">
        <f>COUNT(MasterData!H537:H539)</f>
      </c>
      <c r="C32" s="7">
        <f>SUM(MasterData!H537:H539)</f>
      </c>
      <c r="D32" s="6">
        <f>100*I32/$C32</f>
      </c>
      <c r="E32" s="6">
        <f>100*J32/$C32</f>
      </c>
      <c r="F32" s="7">
        <f>K32/$C32</f>
      </c>
      <c r="G32" s="6">
        <f>100*M32/$C32</f>
      </c>
      <c r="H32" s="6">
        <f>L32/$C32</f>
      </c>
      <c r="I32" s="6">
        <f>SUM(MasterData!AA537:AA539)</f>
      </c>
      <c r="J32" s="6">
        <f>SUM(MasterData!AB537:AB539)</f>
      </c>
      <c r="K32" s="5">
        <f>SUM(MasterData!AC537:AC539)</f>
      </c>
      <c r="L32" s="7">
        <f>SUM(MasterData!AD537:AD539)</f>
      </c>
      <c r="M32" s="6">
        <f>SUM(MasterData!AE537:AE539)</f>
      </c>
      <c r="N32" s="6">
        <f>SUM(MasterData!AF537:AF539)</f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12.75">
      <c r="A33" s="3" t="s">
        <v>1120</v>
      </c>
      <c r="B33" s="5">
        <f>COUNT(MasterData!H540)</f>
      </c>
      <c r="C33" s="7">
        <f>SUM(MasterData!H540)</f>
      </c>
      <c r="D33" s="6">
        <f>100*I33/$C33</f>
      </c>
      <c r="E33" s="6">
        <f>100*J33/$C33</f>
      </c>
      <c r="F33" s="7">
        <f>K33/$C33</f>
      </c>
      <c r="G33" s="6">
        <f>100*M33/$C33</f>
      </c>
      <c r="H33" s="6">
        <f>L33/$C33</f>
      </c>
      <c r="I33" s="6">
        <f>SUM(MasterData!AA540)</f>
      </c>
      <c r="J33" s="6">
        <f>SUM(MasterData!AB540)</f>
      </c>
      <c r="K33" s="5">
        <f>SUM(MasterData!AC540)</f>
      </c>
      <c r="L33" s="7">
        <f>SUM(MasterData!AD540)</f>
      </c>
      <c r="M33" s="6">
        <f>SUM(MasterData!AE540)</f>
      </c>
      <c r="N33" s="6">
        <f>SUM(MasterData!AF540)</f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2.75">
      <c r="A34" s="3" t="s">
        <v>1121</v>
      </c>
      <c r="B34" s="5">
        <f>COUNT(MasterData!H541:H550)</f>
      </c>
      <c r="C34" s="7">
        <f>SUM(MasterData!H541:H550)</f>
      </c>
      <c r="D34" s="6">
        <f>100*I34/$C34</f>
      </c>
      <c r="E34" s="6">
        <f>100*J34/$C34</f>
      </c>
      <c r="F34" s="7">
        <f>K34/$C34</f>
      </c>
      <c r="G34" s="6">
        <f>100*M34/$C34</f>
      </c>
      <c r="H34" s="6">
        <f>L34/$C34</f>
      </c>
      <c r="I34" s="6">
        <f>SUM(MasterData!AA541:AA550)</f>
      </c>
      <c r="J34" s="6">
        <f>SUM(MasterData!AB541:AB550)</f>
      </c>
      <c r="K34" s="5">
        <f>SUM(MasterData!AC541:AC550)</f>
      </c>
      <c r="L34" s="7">
        <f>SUM(MasterData!AD541:AD550)</f>
      </c>
      <c r="M34" s="6">
        <f>SUM(MasterData!AE541:AE550)</f>
      </c>
      <c r="N34" s="6">
        <f>SUM(MasterData!AF541:AF550)</f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2.75">
      <c r="A35" s="3" t="s">
        <v>1122</v>
      </c>
      <c r="B35" s="5">
        <f>COUNT(MasterData!H551:H564)</f>
      </c>
      <c r="C35" s="7">
        <f>SUM(MasterData!H551:H564)</f>
      </c>
      <c r="D35" s="6">
        <f>100*I35/$C35</f>
      </c>
      <c r="E35" s="6">
        <f>100*J35/$C35</f>
      </c>
      <c r="F35" s="7">
        <f>K35/$C35</f>
      </c>
      <c r="G35" s="6">
        <f>100*M35/$C35</f>
      </c>
      <c r="H35" s="6">
        <f>L35/$C35</f>
      </c>
      <c r="I35" s="6">
        <f>SUM(MasterData!AA551:AA564)</f>
      </c>
      <c r="J35" s="6">
        <f>SUM(MasterData!AB551:AB564)</f>
      </c>
      <c r="K35" s="5">
        <f>SUM(MasterData!AC551:AC564)</f>
      </c>
      <c r="L35" s="7">
        <f>SUM(MasterData!AD551:AD564)</f>
      </c>
      <c r="M35" s="6">
        <f>SUM(MasterData!AE551:AE564)</f>
      </c>
      <c r="N35" s="6">
        <f>SUM(MasterData!AF551:AF564)</f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2.75">
      <c r="A36" s="3" t="s">
        <v>1123</v>
      </c>
      <c r="B36" s="5">
        <f>COUNT(MasterData!H565:H581)</f>
      </c>
      <c r="C36" s="7">
        <f>SUM(MasterData!H565:H581)</f>
      </c>
      <c r="D36" s="6">
        <f>100*I36/$C36</f>
      </c>
      <c r="E36" s="6">
        <f>100*J36/$C36</f>
      </c>
      <c r="F36" s="7">
        <f>K36/$C36</f>
      </c>
      <c r="G36" s="6">
        <f>100*M36/$C36</f>
      </c>
      <c r="H36" s="6">
        <f>L36/$C36</f>
      </c>
      <c r="I36" s="6">
        <f>SUM(MasterData!AA565:AA581)</f>
      </c>
      <c r="J36" s="6">
        <f>SUM(MasterData!AB565:AB581)</f>
      </c>
      <c r="K36" s="5">
        <f>SUM(MasterData!AC565:AC581)</f>
      </c>
      <c r="L36" s="7">
        <f>SUM(MasterData!AD565:AD581)</f>
      </c>
      <c r="M36" s="6">
        <f>SUM(MasterData!AE565:AE581)</f>
      </c>
      <c r="N36" s="6">
        <f>SUM(MasterData!AF565:AF581)</f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2.75">
      <c r="A37" s="3" t="s">
        <v>1124</v>
      </c>
      <c r="B37" s="5">
        <f>COUNT(MasterData!H582)</f>
      </c>
      <c r="C37" s="7">
        <f>SUM(MasterData!H582)</f>
      </c>
      <c r="D37" s="6">
        <f>100*I37/$C37</f>
      </c>
      <c r="E37" s="6">
        <f>100*J37/$C37</f>
      </c>
      <c r="F37" s="7">
        <f>K37/$C37</f>
      </c>
      <c r="G37" s="6">
        <f>100*M37/$C37</f>
      </c>
      <c r="H37" s="6">
        <f>L37/$C37</f>
      </c>
      <c r="I37" s="6">
        <f>SUM(MasterData!AA582)</f>
      </c>
      <c r="J37" s="6">
        <f>SUM(MasterData!AB582)</f>
      </c>
      <c r="K37" s="5">
        <f>SUM(MasterData!AC582)</f>
      </c>
      <c r="L37" s="7">
        <f>SUM(MasterData!AD582)</f>
      </c>
      <c r="M37" s="6">
        <f>SUM(MasterData!AE582)</f>
      </c>
      <c r="N37" s="6">
        <f>SUM(MasterData!AF582)</f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12.75">
      <c r="A38" s="3" t="s">
        <v>1125</v>
      </c>
      <c r="B38" s="5">
        <f>COUNT(MasterData!H583:H584)</f>
      </c>
      <c r="C38" s="7">
        <f>SUM(MasterData!H583:H584)</f>
      </c>
      <c r="D38" s="6">
        <f>100*I38/$C38</f>
      </c>
      <c r="E38" s="6">
        <f>100*J38/$C38</f>
      </c>
      <c r="F38" s="7">
        <f>K38/$C38</f>
      </c>
      <c r="G38" s="6">
        <f>100*M38/$C38</f>
      </c>
      <c r="H38" s="6">
        <f>L38/$C38</f>
      </c>
      <c r="I38" s="6">
        <f>SUM(MasterData!AA583:AA584)</f>
      </c>
      <c r="J38" s="6">
        <f>SUM(MasterData!AB583:AB584)</f>
      </c>
      <c r="K38" s="5">
        <f>SUM(MasterData!AC583:AC584)</f>
      </c>
      <c r="L38" s="7">
        <f>SUM(MasterData!AD583:AD584)</f>
      </c>
      <c r="M38" s="6">
        <f>SUM(MasterData!AE583:AE584)</f>
      </c>
      <c r="N38" s="6">
        <f>SUM(MasterData!AF583:AF584)</f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12.75">
      <c r="A39" s="3" t="s">
        <v>1126</v>
      </c>
      <c r="B39" s="5">
        <f>COUNT(MasterData!H585:H586)</f>
      </c>
      <c r="C39" s="7">
        <f>SUM(MasterData!H585:H586)</f>
      </c>
      <c r="D39" s="6">
        <f>100*I39/$C39</f>
      </c>
      <c r="E39" s="6">
        <f>100*J39/$C39</f>
      </c>
      <c r="F39" s="7">
        <f>K39/$C39</f>
      </c>
      <c r="G39" s="6">
        <f>100*M39/$C39</f>
      </c>
      <c r="H39" s="6">
        <f>L39/$C39</f>
      </c>
      <c r="I39" s="6">
        <f>SUM(MasterData!AA585:AA586)</f>
      </c>
      <c r="J39" s="6">
        <f>SUM(MasterData!AB585:AB586)</f>
      </c>
      <c r="K39" s="5">
        <f>SUM(MasterData!AC585:AC586)</f>
      </c>
      <c r="L39" s="7">
        <f>SUM(MasterData!AD585:AD586)</f>
      </c>
      <c r="M39" s="6">
        <f>SUM(MasterData!AE585:AE586)</f>
      </c>
      <c r="N39" s="6">
        <f>SUM(MasterData!AF585:AF586)</f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12.75">
      <c r="A40" s="3" t="s">
        <v>1127</v>
      </c>
      <c r="B40" s="5">
        <f>COUNT(MasterData!H587:H651)</f>
      </c>
      <c r="C40" s="7">
        <f>SUM(MasterData!H587:H651)</f>
      </c>
      <c r="D40" s="6">
        <f>100*I40/$C40</f>
      </c>
      <c r="E40" s="6">
        <f>100*J40/$C40</f>
      </c>
      <c r="F40" s="7">
        <f>K40/$C40</f>
      </c>
      <c r="G40" s="6">
        <f>100*M40/$C40</f>
      </c>
      <c r="H40" s="6">
        <f>L40/$C40</f>
      </c>
      <c r="I40" s="6">
        <f>SUM(MasterData!AA587:AA651)</f>
      </c>
      <c r="J40" s="6">
        <f>SUM(MasterData!AB587:AB651)</f>
      </c>
      <c r="K40" s="5">
        <f>SUM(MasterData!AC587:AC651)</f>
      </c>
      <c r="L40" s="7">
        <f>SUM(MasterData!AD587:AD651)</f>
      </c>
      <c r="M40" s="6">
        <f>SUM(MasterData!AE587:AE651)</f>
      </c>
      <c r="N40" s="6">
        <f>SUM(MasterData!AF587:AF651)</f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12.75">
      <c r="A41" s="3" t="s">
        <v>1128</v>
      </c>
      <c r="B41" s="5">
        <f>COUNT(MasterData!H652:H654)</f>
      </c>
      <c r="C41" s="7">
        <f>SUM(MasterData!H652:H654)</f>
      </c>
      <c r="D41" s="6">
        <f>100*I41/$C41</f>
      </c>
      <c r="E41" s="6">
        <f>100*J41/$C41</f>
      </c>
      <c r="F41" s="7">
        <f>K41/$C41</f>
      </c>
      <c r="G41" s="6">
        <f>100*M41/$C41</f>
      </c>
      <c r="H41" s="6">
        <f>L41/$C41</f>
      </c>
      <c r="I41" s="6">
        <f>SUM(MasterData!AA652:AA654)</f>
      </c>
      <c r="J41" s="6">
        <f>SUM(MasterData!AB652:AB654)</f>
      </c>
      <c r="K41" s="5">
        <f>SUM(MasterData!AC652:AC654)</f>
      </c>
      <c r="L41" s="7">
        <f>SUM(MasterData!AD652:AD654)</f>
      </c>
      <c r="M41" s="6">
        <f>SUM(MasterData!AE652:AE654)</f>
      </c>
      <c r="N41" s="6">
        <f>SUM(MasterData!AF652:AF654)</f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12.75">
      <c r="A42" s="3" t="s">
        <v>1129</v>
      </c>
      <c r="B42" s="5">
        <f>COUNT(MasterData!H655:H657)</f>
      </c>
      <c r="C42" s="7">
        <f>SUM(MasterData!H655:H657)</f>
      </c>
      <c r="D42" s="6">
        <f>100*I42/$C42</f>
      </c>
      <c r="E42" s="6">
        <f>100*J42/$C42</f>
      </c>
      <c r="F42" s="7">
        <f>K42/$C42</f>
      </c>
      <c r="G42" s="6">
        <f>100*M42/$C42</f>
      </c>
      <c r="H42" s="6">
        <f>L42/$C42</f>
      </c>
      <c r="I42" s="6">
        <f>SUM(MasterData!AA655:AA657)</f>
      </c>
      <c r="J42" s="6">
        <f>SUM(MasterData!AB655:AB657)</f>
      </c>
      <c r="K42" s="5">
        <f>SUM(MasterData!AC655:AC657)</f>
      </c>
      <c r="L42" s="7">
        <f>SUM(MasterData!AD655:AD657)</f>
      </c>
      <c r="M42" s="6">
        <f>SUM(MasterData!AE655:AE657)</f>
      </c>
      <c r="N42" s="6">
        <f>SUM(MasterData!AF655:AF657)</f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12.75">
      <c r="A43" s="3" t="s">
        <v>1130</v>
      </c>
      <c r="B43" s="5">
        <f>COUNT(MasterData!H658:H665)</f>
      </c>
      <c r="C43" s="7">
        <f>SUM(MasterData!H658:H665)</f>
      </c>
      <c r="D43" s="6">
        <f>100*I43/$C43</f>
      </c>
      <c r="E43" s="6">
        <f>100*J43/$C43</f>
      </c>
      <c r="F43" s="7">
        <f>K43/$C43</f>
      </c>
      <c r="G43" s="6">
        <f>100*M43/$C43</f>
      </c>
      <c r="H43" s="6">
        <f>L43/$C43</f>
      </c>
      <c r="I43" s="6">
        <f>SUM(MasterData!AA658:AA665)</f>
      </c>
      <c r="J43" s="6">
        <f>SUM(MasterData!AB658:AB665)</f>
      </c>
      <c r="K43" s="5">
        <f>SUM(MasterData!AC658:AC665)</f>
      </c>
      <c r="L43" s="7">
        <f>SUM(MasterData!AD658:AD665)</f>
      </c>
      <c r="M43" s="6">
        <f>SUM(MasterData!AE658:AE665)</f>
      </c>
      <c r="N43" s="6">
        <f>SUM(MasterData!AF658:AF665)</f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12.75">
      <c r="A44" s="3" t="s">
        <v>1131</v>
      </c>
      <c r="B44" s="5">
        <f>COUNT(MasterData!H666:H667)</f>
      </c>
      <c r="C44" s="7">
        <f>SUM(MasterData!H666:H667)</f>
      </c>
      <c r="D44" s="6">
        <f>100*I44/$C44</f>
      </c>
      <c r="E44" s="6">
        <f>100*J44/$C44</f>
      </c>
      <c r="F44" s="7">
        <f>K44/$C44</f>
      </c>
      <c r="G44" s="6">
        <f>100*M44/$C44</f>
      </c>
      <c r="H44" s="6">
        <f>L44/$C44</f>
      </c>
      <c r="I44" s="6">
        <f>SUM(MasterData!AA666:AA667)</f>
      </c>
      <c r="J44" s="6">
        <f>SUM(MasterData!AB666:AB667)</f>
      </c>
      <c r="K44" s="5">
        <f>SUM(MasterData!AC666:AC667)</f>
      </c>
      <c r="L44" s="7">
        <f>SUM(MasterData!AD666:AD667)</f>
      </c>
      <c r="M44" s="6">
        <f>SUM(MasterData!AE666:AE667)</f>
      </c>
      <c r="N44" s="6">
        <f>SUM(MasterData!AF666:AF667)</f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12.75">
      <c r="A45" s="3" t="s">
        <v>1132</v>
      </c>
      <c r="B45" s="5">
        <f>COUNT(MasterData!H668:H669)</f>
      </c>
      <c r="C45" s="7">
        <f>SUM(MasterData!H668:H669)</f>
      </c>
      <c r="D45" s="6">
        <f>100*I45/$C45</f>
      </c>
      <c r="E45" s="6">
        <f>100*J45/$C45</f>
      </c>
      <c r="F45" s="7">
        <f>K45/$C45</f>
      </c>
      <c r="G45" s="6">
        <f>100*M45/$C45</f>
      </c>
      <c r="H45" s="6">
        <f>L45/$C45</f>
      </c>
      <c r="I45" s="6">
        <f>SUM(MasterData!AA668:AA669)</f>
      </c>
      <c r="J45" s="6">
        <f>SUM(MasterData!AB668:AB669)</f>
      </c>
      <c r="K45" s="5">
        <f>SUM(MasterData!AC668:AC669)</f>
      </c>
      <c r="L45" s="7">
        <f>SUM(MasterData!AD668:AD669)</f>
      </c>
      <c r="M45" s="6">
        <f>SUM(MasterData!AE668:AE669)</f>
      </c>
      <c r="N45" s="6">
        <f>SUM(MasterData!AF668:AF669)</f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12.75">
      <c r="A46" s="3" t="s">
        <v>1133</v>
      </c>
      <c r="B46" s="5">
        <f>COUNT(MasterData!H670:H671)</f>
      </c>
      <c r="C46" s="7">
        <f>SUM(MasterData!H670:H671)</f>
      </c>
      <c r="D46" s="6">
        <f>100*I46/$C46</f>
      </c>
      <c r="E46" s="6">
        <f>100*J46/$C46</f>
      </c>
      <c r="F46" s="7">
        <f>K46/$C46</f>
      </c>
      <c r="G46" s="6">
        <f>100*M46/$C46</f>
      </c>
      <c r="H46" s="6">
        <f>L46/$C46</f>
      </c>
      <c r="I46" s="6">
        <f>SUM(MasterData!AA670:AA671)</f>
      </c>
      <c r="J46" s="6">
        <f>SUM(MasterData!AB670:AB671)</f>
      </c>
      <c r="K46" s="5">
        <f>SUM(MasterData!AC670:AC671)</f>
      </c>
      <c r="L46" s="7">
        <f>SUM(MasterData!AD670:AD671)</f>
      </c>
      <c r="M46" s="6">
        <f>SUM(MasterData!AE670:AE671)</f>
      </c>
      <c r="N46" s="6">
        <f>SUM(MasterData!AF670:AF671)</f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12.75">
      <c r="A47" s="3" t="s">
        <v>1134</v>
      </c>
      <c r="B47" s="5">
        <f>COUNT(MasterData!H672:H719)</f>
      </c>
      <c r="C47" s="7">
        <f>SUM(MasterData!H672:H719)</f>
      </c>
      <c r="D47" s="6">
        <f>100*I47/$C47</f>
      </c>
      <c r="E47" s="6">
        <f>100*J47/$C47</f>
      </c>
      <c r="F47" s="7">
        <f>K47/$C47</f>
      </c>
      <c r="G47" s="6">
        <f>100*M47/$C47</f>
      </c>
      <c r="H47" s="6">
        <f>L47/$C47</f>
      </c>
      <c r="I47" s="6">
        <f>SUM(MasterData!AA672:AA719)</f>
      </c>
      <c r="J47" s="6">
        <f>SUM(MasterData!AB672:AB719)</f>
      </c>
      <c r="K47" s="5">
        <f>SUM(MasterData!AC672:AC719)</f>
      </c>
      <c r="L47" s="7">
        <f>SUM(MasterData!AD672:AD719)</f>
      </c>
      <c r="M47" s="6">
        <f>SUM(MasterData!AE672:AE719)</f>
      </c>
      <c r="N47" s="6">
        <f>SUM(MasterData!AF672:AF719)</f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12.75">
      <c r="A48" s="3" t="s">
        <v>1135</v>
      </c>
      <c r="B48" s="5">
        <f>COUNT(MasterData!H720:H722)</f>
      </c>
      <c r="C48" s="7">
        <f>SUM(MasterData!H720:H722)</f>
      </c>
      <c r="D48" s="6">
        <f>100*I48/$C48</f>
      </c>
      <c r="E48" s="6">
        <f>100*J48/$C48</f>
      </c>
      <c r="F48" s="7">
        <f>K48/$C48</f>
      </c>
      <c r="G48" s="6">
        <f>100*M48/$C48</f>
      </c>
      <c r="H48" s="6">
        <f>L48/$C48</f>
      </c>
      <c r="I48" s="6">
        <f>SUM(MasterData!AA720:AA722)</f>
      </c>
      <c r="J48" s="6">
        <f>SUM(MasterData!AB720:AB722)</f>
      </c>
      <c r="K48" s="5">
        <f>SUM(MasterData!AC720:AC722)</f>
      </c>
      <c r="L48" s="7">
        <f>SUM(MasterData!AD720:AD722)</f>
      </c>
      <c r="M48" s="6">
        <f>SUM(MasterData!AE720:AE722)</f>
      </c>
      <c r="N48" s="6">
        <f>SUM(MasterData!AF720:AF722)</f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12.75">
      <c r="A49" s="3" t="s">
        <v>1136</v>
      </c>
      <c r="B49" s="5">
        <f>COUNT(MasterData!H723:H725)</f>
      </c>
      <c r="C49" s="7">
        <f>SUM(MasterData!H723:H725)</f>
      </c>
      <c r="D49" s="6">
        <f>100*I49/$C49</f>
      </c>
      <c r="E49" s="6">
        <f>100*J49/$C49</f>
      </c>
      <c r="F49" s="7">
        <f>K49/$C49</f>
      </c>
      <c r="G49" s="6">
        <f>100*M49/$C49</f>
      </c>
      <c r="H49" s="6">
        <f>L49/$C49</f>
      </c>
      <c r="I49" s="6">
        <f>SUM(MasterData!AA723:AA725)</f>
      </c>
      <c r="J49" s="6">
        <f>SUM(MasterData!AB723:AB725)</f>
      </c>
      <c r="K49" s="5">
        <f>SUM(MasterData!AC723:AC725)</f>
      </c>
      <c r="L49" s="7">
        <f>SUM(MasterData!AD723:AD725)</f>
      </c>
      <c r="M49" s="6">
        <f>SUM(MasterData!AE723:AE725)</f>
      </c>
      <c r="N49" s="6">
        <f>SUM(MasterData!AF723:AF725)</f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12.75">
      <c r="A50" s="3" t="s">
        <v>1137</v>
      </c>
      <c r="B50" s="5">
        <f>COUNT(MasterData!H726)</f>
      </c>
      <c r="C50" s="7">
        <f>SUM(MasterData!H726)</f>
      </c>
      <c r="D50" s="6">
        <f>100*I50/$C50</f>
      </c>
      <c r="E50" s="6">
        <f>100*J50/$C50</f>
      </c>
      <c r="F50" s="7">
        <f>K50/$C50</f>
      </c>
      <c r="G50" s="6">
        <f>100*M50/$C50</f>
      </c>
      <c r="H50" s="6">
        <f>L50/$C50</f>
      </c>
      <c r="I50" s="6">
        <f>SUM(MasterData!AA726)</f>
      </c>
      <c r="J50" s="6">
        <f>SUM(MasterData!AB726)</f>
      </c>
      <c r="K50" s="5">
        <f>SUM(MasterData!AC726)</f>
      </c>
      <c r="L50" s="7">
        <f>SUM(MasterData!AD726)</f>
      </c>
      <c r="M50" s="6">
        <f>SUM(MasterData!AE726)</f>
      </c>
      <c r="N50" s="6">
        <f>SUM(MasterData!AF726)</f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12.75">
      <c r="A51" s="3" t="s">
        <v>1138</v>
      </c>
      <c r="B51" s="5">
        <f>COUNT(MasterData!H727:H729)</f>
      </c>
      <c r="C51" s="7">
        <f>SUM(MasterData!H727:H729)</f>
      </c>
      <c r="D51" s="6">
        <f>100*I51/$C51</f>
      </c>
      <c r="E51" s="6">
        <f>100*J51/$C51</f>
      </c>
      <c r="F51" s="7">
        <f>K51/$C51</f>
      </c>
      <c r="G51" s="6">
        <f>100*M51/$C51</f>
      </c>
      <c r="H51" s="6">
        <f>L51/$C51</f>
      </c>
      <c r="I51" s="6">
        <f>SUM(MasterData!AA727:AA729)</f>
      </c>
      <c r="J51" s="6">
        <f>SUM(MasterData!AB727:AB729)</f>
      </c>
      <c r="K51" s="5">
        <f>SUM(MasterData!AC727:AC729)</f>
      </c>
      <c r="L51" s="7">
        <f>SUM(MasterData!AD727:AD729)</f>
      </c>
      <c r="M51" s="6">
        <f>SUM(MasterData!AE727:AE729)</f>
      </c>
      <c r="N51" s="6">
        <f>SUM(MasterData!AF727:AF729)</f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x14ac:dyDescent="0.25" r="52" customHeight="1" ht="12.75">
      <c r="A52" s="3" t="s">
        <v>1139</v>
      </c>
      <c r="B52" s="5">
        <f>COUNT(MasterData!H730:H731)</f>
      </c>
      <c r="C52" s="7">
        <f>SUM(MasterData!H730:H731)</f>
      </c>
      <c r="D52" s="6">
        <f>100*I52/$C52</f>
      </c>
      <c r="E52" s="6">
        <f>100*J52/$C52</f>
      </c>
      <c r="F52" s="7">
        <f>K52/$C52</f>
      </c>
      <c r="G52" s="6">
        <f>100*M52/$C52</f>
      </c>
      <c r="H52" s="6">
        <f>L52/$C52</f>
      </c>
      <c r="I52" s="6">
        <f>SUM(MasterData!AA730:AA731)</f>
      </c>
      <c r="J52" s="6">
        <f>SUM(MasterData!AB730:AB731)</f>
      </c>
      <c r="K52" s="5">
        <f>SUM(MasterData!AC730:AC731)</f>
      </c>
      <c r="L52" s="7">
        <f>SUM(MasterData!AD730:AD731)</f>
      </c>
      <c r="M52" s="6">
        <f>SUM(MasterData!AE730:AE731)</f>
      </c>
      <c r="N52" s="6">
        <f>SUM(MasterData!AF730:AF731)</f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x14ac:dyDescent="0.25" r="53" customHeight="1" ht="12.75">
      <c r="A53" s="3" t="s">
        <v>1140</v>
      </c>
      <c r="B53" s="5">
        <f>COUNT(MasterData!H732:H771)</f>
      </c>
      <c r="C53" s="7">
        <f>SUM(MasterData!H732:H771)</f>
      </c>
      <c r="D53" s="6">
        <f>100*I53/$C53</f>
      </c>
      <c r="E53" s="6">
        <f>100*J53/$C53</f>
      </c>
      <c r="F53" s="7">
        <f>K53/$C53</f>
      </c>
      <c r="G53" s="6">
        <f>100*M53/$C53</f>
      </c>
      <c r="H53" s="6">
        <f>L53/$C53</f>
      </c>
      <c r="I53" s="6">
        <f>SUM(MasterData!AA732:AA771)</f>
      </c>
      <c r="J53" s="6">
        <f>SUM(MasterData!AB732:AB771)</f>
      </c>
      <c r="K53" s="5">
        <f>SUM(MasterData!AC732:AC771)</f>
      </c>
      <c r="L53" s="7">
        <f>SUM(MasterData!AD732:AD771)</f>
      </c>
      <c r="M53" s="6">
        <f>SUM(MasterData!AE732:AE771)</f>
      </c>
      <c r="N53" s="6">
        <f>SUM(MasterData!AF732:AF771)</f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x14ac:dyDescent="0.25" r="54" customHeight="1" ht="12.75">
      <c r="A54" s="3" t="s">
        <v>1141</v>
      </c>
      <c r="B54" s="5">
        <f>COUNT(MasterData!H772:H775)</f>
      </c>
      <c r="C54" s="7">
        <f>SUM(MasterData!H772:H775)</f>
      </c>
      <c r="D54" s="6">
        <f>100*I54/$C54</f>
      </c>
      <c r="E54" s="6">
        <f>100*J54/$C54</f>
      </c>
      <c r="F54" s="7">
        <f>K54/$C54</f>
      </c>
      <c r="G54" s="6">
        <f>100*M54/$C54</f>
      </c>
      <c r="H54" s="6">
        <f>L54/$C54</f>
      </c>
      <c r="I54" s="6">
        <f>SUM(MasterData!AA772:AA775)</f>
      </c>
      <c r="J54" s="6">
        <f>SUM(MasterData!AB772:AB775)</f>
      </c>
      <c r="K54" s="5">
        <f>SUM(MasterData!AC772:AC775)</f>
      </c>
      <c r="L54" s="7">
        <f>SUM(MasterData!AD772:AD775)</f>
      </c>
      <c r="M54" s="6">
        <f>SUM(MasterData!AE772:AE775)</f>
      </c>
      <c r="N54" s="6">
        <f>SUM(MasterData!AF772:AF775)</f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x14ac:dyDescent="0.25" r="55" customHeight="1" ht="12.75">
      <c r="A55" s="3" t="s">
        <v>1142</v>
      </c>
      <c r="B55" s="5">
        <f>COUNT(MasterData!H776:H778)</f>
      </c>
      <c r="C55" s="7">
        <f>SUM(MasterData!H776:H778)</f>
      </c>
      <c r="D55" s="6">
        <f>100*I55/$C55</f>
      </c>
      <c r="E55" s="6">
        <f>100*J55/$C55</f>
      </c>
      <c r="F55" s="7">
        <f>K55/$C55</f>
      </c>
      <c r="G55" s="6">
        <f>100*M55/$C55</f>
      </c>
      <c r="H55" s="6">
        <f>L55/$C55</f>
      </c>
      <c r="I55" s="6">
        <f>SUM(MasterData!AA776:AA778)</f>
      </c>
      <c r="J55" s="6">
        <f>SUM(MasterData!AB776:AB778)</f>
      </c>
      <c r="K55" s="5">
        <f>SUM(MasterData!AC776:AC778)</f>
      </c>
      <c r="L55" s="7">
        <f>SUM(MasterData!AD776:AD778)</f>
      </c>
      <c r="M55" s="6">
        <f>SUM(MasterData!AE776:AE778)</f>
      </c>
      <c r="N55" s="6">
        <f>SUM(MasterData!AF776:AF778)</f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x14ac:dyDescent="0.25" r="56" customHeight="1" ht="12.75">
      <c r="A56" s="3" t="s">
        <v>1143</v>
      </c>
      <c r="B56" s="5">
        <f>COUNT(MasterData!H779:H786)</f>
      </c>
      <c r="C56" s="7">
        <f>SUM(MasterData!H779:H786)</f>
      </c>
      <c r="D56" s="6">
        <f>100*I56/$C56</f>
      </c>
      <c r="E56" s="6">
        <f>100*J56/$C56</f>
      </c>
      <c r="F56" s="7">
        <f>K56/$C56</f>
      </c>
      <c r="G56" s="6">
        <f>100*M56/$C56</f>
      </c>
      <c r="H56" s="6">
        <f>L56/$C56</f>
      </c>
      <c r="I56" s="6">
        <f>SUM(MasterData!AA779:AA786)</f>
      </c>
      <c r="J56" s="6">
        <f>SUM(MasterData!AB779:AB786)</f>
      </c>
      <c r="K56" s="5">
        <f>SUM(MasterData!AC779:AC786)</f>
      </c>
      <c r="L56" s="7">
        <f>SUM(MasterData!AD779:AD786)</f>
      </c>
      <c r="M56" s="6">
        <f>SUM(MasterData!AE779:AE786)</f>
      </c>
      <c r="N56" s="6">
        <f>SUM(MasterData!AF779:AF786)</f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x14ac:dyDescent="0.25" r="57" customHeight="1" ht="12.75">
      <c r="A57" s="3" t="s">
        <v>1144</v>
      </c>
      <c r="B57" s="5">
        <f>COUNT(MasterData!H787)</f>
      </c>
      <c r="C57" s="7">
        <f>SUM(MasterData!H787)</f>
      </c>
      <c r="D57" s="6">
        <f>100*I57/$C57</f>
      </c>
      <c r="E57" s="6">
        <f>100*J57/$C57</f>
      </c>
      <c r="F57" s="7">
        <f>K57/$C57</f>
      </c>
      <c r="G57" s="6">
        <f>100*M57/$C57</f>
      </c>
      <c r="H57" s="6">
        <f>L57/$C57</f>
      </c>
      <c r="I57" s="6">
        <f>SUM(MasterData!AA787)</f>
      </c>
      <c r="J57" s="6">
        <f>SUM(MasterData!AB787)</f>
      </c>
      <c r="K57" s="5">
        <f>SUM(MasterData!AC787)</f>
      </c>
      <c r="L57" s="7">
        <f>SUM(MasterData!AD787)</f>
      </c>
      <c r="M57" s="6">
        <f>SUM(MasterData!AE787)</f>
      </c>
      <c r="N57" s="6">
        <f>SUM(MasterData!AF787)</f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x14ac:dyDescent="0.25" r="58" customHeight="1" ht="12.75">
      <c r="A58" s="3" t="s">
        <v>1145</v>
      </c>
      <c r="B58" s="5">
        <f>COUNT(MasterData!H788:H793)</f>
      </c>
      <c r="C58" s="7">
        <f>SUM(MasterData!H788:H793)</f>
      </c>
      <c r="D58" s="6">
        <f>100*I58/$C58</f>
      </c>
      <c r="E58" s="6">
        <f>100*J58/$C58</f>
      </c>
      <c r="F58" s="7">
        <f>K58/$C58</f>
      </c>
      <c r="G58" s="6">
        <f>100*M58/$C58</f>
      </c>
      <c r="H58" s="6">
        <f>L58/$C58</f>
      </c>
      <c r="I58" s="6">
        <f>SUM(MasterData!AA788:AA793)</f>
      </c>
      <c r="J58" s="6">
        <f>SUM(MasterData!AB788:AB793)</f>
      </c>
      <c r="K58" s="5">
        <f>SUM(MasterData!AC788:AC793)</f>
      </c>
      <c r="L58" s="7">
        <f>SUM(MasterData!AD788:AD793)</f>
      </c>
      <c r="M58" s="6">
        <f>SUM(MasterData!AE788:AE793)</f>
      </c>
      <c r="N58" s="6">
        <f>SUM(MasterData!AF788:AF793)</f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x14ac:dyDescent="0.25" r="59" customHeight="1" ht="12.75">
      <c r="A59" s="3" t="s">
        <v>1146</v>
      </c>
      <c r="B59" s="5">
        <f>COUNT(MasterData!H794:H795)</f>
      </c>
      <c r="C59" s="7">
        <f>SUM(MasterData!H794:H795)</f>
      </c>
      <c r="D59" s="6">
        <f>100*I59/$C59</f>
      </c>
      <c r="E59" s="6">
        <f>100*J59/$C59</f>
      </c>
      <c r="F59" s="7">
        <f>K59/$C59</f>
      </c>
      <c r="G59" s="6">
        <f>100*M59/$C59</f>
      </c>
      <c r="H59" s="6">
        <f>L59/$C59</f>
      </c>
      <c r="I59" s="6">
        <f>SUM(MasterData!AA794:AA795)</f>
      </c>
      <c r="J59" s="6">
        <f>SUM(MasterData!AB794:AB795)</f>
      </c>
      <c r="K59" s="5">
        <f>SUM(MasterData!AC794:AC795)</f>
      </c>
      <c r="L59" s="7">
        <f>SUM(MasterData!AD794:AD795)</f>
      </c>
      <c r="M59" s="6">
        <f>SUM(MasterData!AE794:AE795)</f>
      </c>
      <c r="N59" s="6">
        <f>SUM(MasterData!AF794:AF795)</f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x14ac:dyDescent="0.25" r="60" customHeight="1" ht="12.75">
      <c r="A60" s="3" t="s">
        <v>1147</v>
      </c>
      <c r="B60" s="5">
        <f>COUNT(MasterData!H796:H808)</f>
      </c>
      <c r="C60" s="7">
        <f>SUM(MasterData!H796:H808)</f>
      </c>
      <c r="D60" s="6">
        <f>100*I60/$C60</f>
      </c>
      <c r="E60" s="6">
        <f>100*J60/$C60</f>
      </c>
      <c r="F60" s="7">
        <f>K60/$C60</f>
      </c>
      <c r="G60" s="6">
        <f>100*M60/$C60</f>
      </c>
      <c r="H60" s="6">
        <f>L60/$C60</f>
      </c>
      <c r="I60" s="6">
        <f>SUM(MasterData!AA796:AA808)</f>
      </c>
      <c r="J60" s="6">
        <f>SUM(MasterData!AB796:AB808)</f>
      </c>
      <c r="K60" s="5">
        <f>SUM(MasterData!AC796:AC808)</f>
      </c>
      <c r="L60" s="7">
        <f>SUM(MasterData!AD796:AD808)</f>
      </c>
      <c r="M60" s="6">
        <f>SUM(MasterData!AE796:AE808)</f>
      </c>
      <c r="N60" s="6">
        <f>SUM(MasterData!AF796:AF808)</f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x14ac:dyDescent="0.25" r="61" customHeight="1" ht="12.75">
      <c r="A61" s="3" t="s">
        <v>1148</v>
      </c>
      <c r="B61" s="5">
        <f>COUNT(MasterData!H809)</f>
      </c>
      <c r="C61" s="7">
        <f>SUM(MasterData!H809)</f>
      </c>
      <c r="D61" s="6">
        <f>100*I61/$C61</f>
      </c>
      <c r="E61" s="6">
        <f>100*J61/$C61</f>
      </c>
      <c r="F61" s="7">
        <f>K61/$C61</f>
      </c>
      <c r="G61" s="6">
        <f>100*M61/$C61</f>
      </c>
      <c r="H61" s="6">
        <f>L61/$C61</f>
      </c>
      <c r="I61" s="6">
        <f>SUM(MasterData!AA809)</f>
      </c>
      <c r="J61" s="6">
        <f>SUM(MasterData!AB809)</f>
      </c>
      <c r="K61" s="5">
        <f>SUM(MasterData!AC809)</f>
      </c>
      <c r="L61" s="7">
        <f>SUM(MasterData!AD809)</f>
      </c>
      <c r="M61" s="6">
        <f>SUM(MasterData!AE809)</f>
      </c>
      <c r="N61" s="6">
        <f>SUM(MasterData!AF809)</f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x14ac:dyDescent="0.25" r="62" customHeight="1" ht="12.75">
      <c r="A62" s="3" t="s">
        <v>1149</v>
      </c>
      <c r="B62" s="5">
        <f>COUNT(MasterData!H810)</f>
      </c>
      <c r="C62" s="7">
        <f>SUM(MasterData!H810)</f>
      </c>
      <c r="D62" s="6">
        <f>100*I62/$C62</f>
      </c>
      <c r="E62" s="6">
        <f>100*J62/$C62</f>
      </c>
      <c r="F62" s="7">
        <f>K62/$C62</f>
      </c>
      <c r="G62" s="6">
        <f>100*M62/$C62</f>
      </c>
      <c r="H62" s="6">
        <f>L62/$C62</f>
      </c>
      <c r="I62" s="6">
        <f>SUM(MasterData!AA810)</f>
      </c>
      <c r="J62" s="6">
        <f>SUM(MasterData!AB810)</f>
      </c>
      <c r="K62" s="5">
        <f>SUM(MasterData!AC810)</f>
      </c>
      <c r="L62" s="7">
        <f>SUM(MasterData!AD810)</f>
      </c>
      <c r="M62" s="6">
        <f>SUM(MasterData!AE810)</f>
      </c>
      <c r="N62" s="6">
        <f>SUM(MasterData!AF810)</f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x14ac:dyDescent="0.25" r="63" customHeight="1" ht="12.75">
      <c r="A63" s="3" t="s">
        <v>1150</v>
      </c>
      <c r="B63" s="5">
        <f>COUNT(MasterData!H811)</f>
      </c>
      <c r="C63" s="7">
        <f>SUM(MasterData!H811)</f>
      </c>
      <c r="D63" s="6">
        <f>100*I63/$C63</f>
      </c>
      <c r="E63" s="6">
        <f>100*J63/$C63</f>
      </c>
      <c r="F63" s="7">
        <f>K63/$C63</f>
      </c>
      <c r="G63" s="6">
        <f>100*M63/$C63</f>
      </c>
      <c r="H63" s="6">
        <f>L63/$C63</f>
      </c>
      <c r="I63" s="6">
        <f>SUM(MasterData!AA811)</f>
      </c>
      <c r="J63" s="6">
        <f>SUM(MasterData!AB811)</f>
      </c>
      <c r="K63" s="5">
        <f>SUM(MasterData!AC811)</f>
      </c>
      <c r="L63" s="7">
        <f>SUM(MasterData!AD811)</f>
      </c>
      <c r="M63" s="6">
        <f>SUM(MasterData!AE811)</f>
      </c>
      <c r="N63" s="6">
        <f>SUM(MasterData!AF811)</f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x14ac:dyDescent="0.25" r="64" customHeight="1" ht="12.75">
      <c r="A64" s="3" t="s">
        <v>1151</v>
      </c>
      <c r="B64" s="5">
        <f>COUNT(MasterData!H812:H817)</f>
      </c>
      <c r="C64" s="7">
        <f>SUM(MasterData!H812:H817)</f>
      </c>
      <c r="D64" s="6">
        <f>100*I64/$C64</f>
      </c>
      <c r="E64" s="6">
        <f>100*J64/$C64</f>
      </c>
      <c r="F64" s="7">
        <f>K64/$C64</f>
      </c>
      <c r="G64" s="6">
        <f>100*M64/$C64</f>
      </c>
      <c r="H64" s="6">
        <f>L64/$C64</f>
      </c>
      <c r="I64" s="6">
        <f>SUM(MasterData!AA812:AA817)</f>
      </c>
      <c r="J64" s="6">
        <f>SUM(MasterData!AB812:AB817)</f>
      </c>
      <c r="K64" s="5">
        <f>SUM(MasterData!AC812:AC817)</f>
      </c>
      <c r="L64" s="7">
        <f>SUM(MasterData!AD812:AD817)</f>
      </c>
      <c r="M64" s="6">
        <f>SUM(MasterData!AE812:AE817)</f>
      </c>
      <c r="N64" s="6">
        <f>SUM(MasterData!AF812:AF817)</f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x14ac:dyDescent="0.25" r="65" customHeight="1" ht="12.75">
      <c r="A65" s="3" t="s">
        <v>1152</v>
      </c>
      <c r="B65" s="5">
        <f>COUNT(MasterData!H818:H823)</f>
      </c>
      <c r="C65" s="7">
        <f>SUM(MasterData!H818:H823)</f>
      </c>
      <c r="D65" s="6">
        <f>100*I65/$C65</f>
      </c>
      <c r="E65" s="6">
        <f>100*J65/$C65</f>
      </c>
      <c r="F65" s="7">
        <f>K65/$C65</f>
      </c>
      <c r="G65" s="6">
        <f>100*M65/$C65</f>
      </c>
      <c r="H65" s="6">
        <f>L65/$C65</f>
      </c>
      <c r="I65" s="6">
        <f>SUM(MasterData!AA818:AA823)</f>
      </c>
      <c r="J65" s="6">
        <f>SUM(MasterData!AB818:AB823)</f>
      </c>
      <c r="K65" s="5">
        <f>SUM(MasterData!AC818:AC823)</f>
      </c>
      <c r="L65" s="7">
        <f>SUM(MasterData!AD818:AD823)</f>
      </c>
      <c r="M65" s="6">
        <f>SUM(MasterData!AE818:AE823)</f>
      </c>
      <c r="N65" s="6">
        <f>SUM(MasterData!AF818:AF823)</f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x14ac:dyDescent="0.25" r="66" customHeight="1" ht="12.75">
      <c r="A66" s="3" t="s">
        <v>1153</v>
      </c>
      <c r="B66" s="5">
        <f>COUNT(MasterData!H824)</f>
      </c>
      <c r="C66" s="7">
        <f>SUM(MasterData!H824)</f>
      </c>
      <c r="D66" s="6">
        <f>100*I66/$C66</f>
      </c>
      <c r="E66" s="6">
        <f>100*J66/$C66</f>
      </c>
      <c r="F66" s="7">
        <f>K66/$C66</f>
      </c>
      <c r="G66" s="6">
        <f>100*M66/$C66</f>
      </c>
      <c r="H66" s="6">
        <f>L66/$C66</f>
      </c>
      <c r="I66" s="6">
        <f>SUM(MasterData!AA824)</f>
      </c>
      <c r="J66" s="6">
        <f>SUM(MasterData!AB824)</f>
      </c>
      <c r="K66" s="5">
        <f>SUM(MasterData!AC824)</f>
      </c>
      <c r="L66" s="7">
        <f>SUM(MasterData!AD824)</f>
      </c>
      <c r="M66" s="6">
        <f>SUM(MasterData!AE824)</f>
      </c>
      <c r="N66" s="6">
        <f>SUM(MasterData!AF824)</f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x14ac:dyDescent="0.25" r="67" customHeight="1" ht="12.75">
      <c r="A67" s="3" t="s">
        <v>1154</v>
      </c>
      <c r="B67" s="5">
        <f>COUNT(MasterData!H825:H849)</f>
      </c>
      <c r="C67" s="7">
        <f>SUM(MasterData!H825:H849)</f>
      </c>
      <c r="D67" s="6">
        <f>100*I67/$C67</f>
      </c>
      <c r="E67" s="6">
        <f>100*J67/$C67</f>
      </c>
      <c r="F67" s="7">
        <f>K67/$C67</f>
      </c>
      <c r="G67" s="6">
        <f>100*M67/$C67</f>
      </c>
      <c r="H67" s="6">
        <f>L67/$C67</f>
      </c>
      <c r="I67" s="6">
        <f>SUM(MasterData!AA825:AA849)</f>
      </c>
      <c r="J67" s="6">
        <f>SUM(MasterData!AB825:AB849)</f>
      </c>
      <c r="K67" s="5">
        <f>SUM(MasterData!AC825:AC849)</f>
      </c>
      <c r="L67" s="7">
        <f>SUM(MasterData!AD825:AD849)</f>
      </c>
      <c r="M67" s="6">
        <f>SUM(MasterData!AE825:AE849)</f>
      </c>
      <c r="N67" s="6">
        <f>SUM(MasterData!AF825:AF849)</f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x14ac:dyDescent="0.25" r="68" customHeight="1" ht="12.75">
      <c r="A68" s="3" t="s">
        <v>1155</v>
      </c>
      <c r="B68" s="5">
        <f>COUNT(MasterData!H850)</f>
      </c>
      <c r="C68" s="7">
        <f>SUM(MasterData!H850)</f>
      </c>
      <c r="D68" s="6">
        <f>100*I68/$C68</f>
      </c>
      <c r="E68" s="6">
        <f>100*J68/$C68</f>
      </c>
      <c r="F68" s="7">
        <f>K68/$C68</f>
      </c>
      <c r="G68" s="6">
        <f>100*M68/$C68</f>
      </c>
      <c r="H68" s="6">
        <f>L68/$C68</f>
      </c>
      <c r="I68" s="6">
        <f>SUM(MasterData!AA850)</f>
      </c>
      <c r="J68" s="6">
        <f>SUM(MasterData!AB850)</f>
      </c>
      <c r="K68" s="5">
        <f>SUM(MasterData!AC850)</f>
      </c>
      <c r="L68" s="7">
        <f>SUM(MasterData!AD850)</f>
      </c>
      <c r="M68" s="6">
        <f>SUM(MasterData!AE850)</f>
      </c>
      <c r="N68" s="6">
        <f>SUM(MasterData!AF850)</f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x14ac:dyDescent="0.25" r="69" customHeight="1" ht="12.75">
      <c r="A69" s="3" t="s">
        <v>1156</v>
      </c>
      <c r="B69" s="5">
        <f>COUNT(MasterData!H851)</f>
      </c>
      <c r="C69" s="7">
        <f>SUM(MasterData!H851)</f>
      </c>
      <c r="D69" s="6">
        <f>100*I69/$C69</f>
      </c>
      <c r="E69" s="6">
        <f>100*J69/$C69</f>
      </c>
      <c r="F69" s="7">
        <f>K69/$C69</f>
      </c>
      <c r="G69" s="6">
        <f>100*M69/$C69</f>
      </c>
      <c r="H69" s="6">
        <f>L69/$C69</f>
      </c>
      <c r="I69" s="6">
        <f>SUM(MasterData!AA851)</f>
      </c>
      <c r="J69" s="6">
        <f>SUM(MasterData!AB851)</f>
      </c>
      <c r="K69" s="5">
        <f>SUM(MasterData!AC851)</f>
      </c>
      <c r="L69" s="7">
        <f>SUM(MasterData!AD851)</f>
      </c>
      <c r="M69" s="6">
        <f>SUM(MasterData!AE851)</f>
      </c>
      <c r="N69" s="6">
        <f>SUM(MasterData!AF851)</f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x14ac:dyDescent="0.25" r="70" customHeight="1" ht="12.75">
      <c r="A70" s="3" t="s">
        <v>1157</v>
      </c>
      <c r="B70" s="5">
        <f>COUNT(MasterData!H852:H853)</f>
      </c>
      <c r="C70" s="7">
        <f>SUM(MasterData!H852:H853)</f>
      </c>
      <c r="D70" s="6">
        <f>100*I70/$C70</f>
      </c>
      <c r="E70" s="6">
        <f>100*J70/$C70</f>
      </c>
      <c r="F70" s="7">
        <f>K70/$C70</f>
      </c>
      <c r="G70" s="6">
        <f>100*M70/$C70</f>
      </c>
      <c r="H70" s="6">
        <f>L70/$C70</f>
      </c>
      <c r="I70" s="6">
        <f>SUM(MasterData!AA852:AA853)</f>
      </c>
      <c r="J70" s="6">
        <f>SUM(MasterData!AB852:AB853)</f>
      </c>
      <c r="K70" s="5">
        <f>SUM(MasterData!AC852:AC853)</f>
      </c>
      <c r="L70" s="7">
        <f>SUM(MasterData!AD852:AD853)</f>
      </c>
      <c r="M70" s="6">
        <f>SUM(MasterData!AE852:AE853)</f>
      </c>
      <c r="N70" s="6">
        <f>SUM(MasterData!AF852:AF853)</f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x14ac:dyDescent="0.25" r="71" customHeight="1" ht="12.75">
      <c r="A71" s="3" t="s">
        <v>1158</v>
      </c>
      <c r="B71" s="5">
        <f>COUNT(MasterData!H854:H855)</f>
      </c>
      <c r="C71" s="7">
        <f>SUM(MasterData!H854:H855)</f>
      </c>
      <c r="D71" s="6">
        <f>100*I71/$C71</f>
      </c>
      <c r="E71" s="6">
        <f>100*J71/$C71</f>
      </c>
      <c r="F71" s="7">
        <f>K71/$C71</f>
      </c>
      <c r="G71" s="6">
        <f>100*M71/$C71</f>
      </c>
      <c r="H71" s="6">
        <f>L71/$C71</f>
      </c>
      <c r="I71" s="6">
        <f>SUM(MasterData!AA854:AA855)</f>
      </c>
      <c r="J71" s="6">
        <f>SUM(MasterData!AB854:AB855)</f>
      </c>
      <c r="K71" s="5">
        <f>SUM(MasterData!AC854:AC855)</f>
      </c>
      <c r="L71" s="7">
        <f>SUM(MasterData!AD854:AD855)</f>
      </c>
      <c r="M71" s="6">
        <f>SUM(MasterData!AE854:AE855)</f>
      </c>
      <c r="N71" s="6">
        <f>SUM(MasterData!AF854:AF855)</f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x14ac:dyDescent="0.25" r="72" customHeight="1" ht="12.75">
      <c r="A72" s="3"/>
      <c r="B72" s="5"/>
      <c r="C72" s="7"/>
      <c r="D72" s="6"/>
      <c r="E72" s="6"/>
      <c r="F72" s="7"/>
      <c r="G72" s="6"/>
      <c r="H72" s="6"/>
      <c r="I72" s="6"/>
      <c r="J72" s="6"/>
      <c r="K72" s="5"/>
      <c r="L72" s="7"/>
      <c r="M72" s="6"/>
      <c r="N72" s="6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x14ac:dyDescent="0.25" r="73" customHeight="1" ht="12.75">
      <c r="A73" s="3"/>
      <c r="B73" s="5"/>
      <c r="C73" s="7"/>
      <c r="D73" s="6"/>
      <c r="E73" s="6"/>
      <c r="F73" s="7"/>
      <c r="G73" s="6"/>
      <c r="H73" s="6"/>
      <c r="I73" s="6"/>
      <c r="J73" s="6"/>
      <c r="K73" s="5"/>
      <c r="L73" s="7"/>
      <c r="M73" s="6"/>
      <c r="N73" s="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x14ac:dyDescent="0.25" r="74" customHeight="1" ht="12.75">
      <c r="A74" s="3"/>
      <c r="B74" s="5"/>
      <c r="C74" s="7"/>
      <c r="D74" s="6"/>
      <c r="E74" s="6"/>
      <c r="F74" s="7"/>
      <c r="G74" s="6"/>
      <c r="H74" s="6"/>
      <c r="I74" s="6"/>
      <c r="J74" s="6"/>
      <c r="K74" s="5"/>
      <c r="L74" s="7"/>
      <c r="M74" s="6"/>
      <c r="N74" s="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x14ac:dyDescent="0.25" r="75" customHeight="1" ht="12.75">
      <c r="A75" s="3"/>
      <c r="B75" s="5"/>
      <c r="C75" s="7"/>
      <c r="D75" s="6"/>
      <c r="E75" s="6"/>
      <c r="F75" s="7"/>
      <c r="G75" s="6"/>
      <c r="H75" s="6"/>
      <c r="I75" s="6"/>
      <c r="J75" s="6"/>
      <c r="K75" s="5"/>
      <c r="L75" s="7"/>
      <c r="M75" s="6"/>
      <c r="N75" s="6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x14ac:dyDescent="0.25" r="76" customHeight="1" ht="12.75">
      <c r="A76" s="3"/>
      <c r="B76" s="5"/>
      <c r="C76" s="7"/>
      <c r="D76" s="6"/>
      <c r="E76" s="6"/>
      <c r="F76" s="7"/>
      <c r="G76" s="6"/>
      <c r="H76" s="6"/>
      <c r="I76" s="6"/>
      <c r="J76" s="6"/>
      <c r="K76" s="5"/>
      <c r="L76" s="7"/>
      <c r="M76" s="6"/>
      <c r="N76" s="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x14ac:dyDescent="0.25" r="77" customHeight="1" ht="12.75">
      <c r="A77" s="3"/>
      <c r="B77" s="5"/>
      <c r="C77" s="7"/>
      <c r="D77" s="6"/>
      <c r="E77" s="6"/>
      <c r="F77" s="7"/>
      <c r="G77" s="6"/>
      <c r="H77" s="6"/>
      <c r="I77" s="6"/>
      <c r="J77" s="6"/>
      <c r="K77" s="5"/>
      <c r="L77" s="7"/>
      <c r="M77" s="6"/>
      <c r="N77" s="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x14ac:dyDescent="0.25" r="78" customHeight="1" ht="12.75">
      <c r="A78" s="3"/>
      <c r="B78" s="5"/>
      <c r="C78" s="7"/>
      <c r="D78" s="6"/>
      <c r="E78" s="6"/>
      <c r="F78" s="7"/>
      <c r="G78" s="6"/>
      <c r="H78" s="6"/>
      <c r="I78" s="6"/>
      <c r="J78" s="6"/>
      <c r="K78" s="5"/>
      <c r="L78" s="7"/>
      <c r="M78" s="6"/>
      <c r="N78" s="6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x14ac:dyDescent="0.25" r="79" customHeight="1" ht="12.75">
      <c r="A79" s="3"/>
      <c r="B79" s="5"/>
      <c r="C79" s="7"/>
      <c r="D79" s="6"/>
      <c r="E79" s="6"/>
      <c r="F79" s="7"/>
      <c r="G79" s="6"/>
      <c r="H79" s="6"/>
      <c r="I79" s="6"/>
      <c r="J79" s="6"/>
      <c r="K79" s="5"/>
      <c r="L79" s="7"/>
      <c r="M79" s="6"/>
      <c r="N79" s="6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x14ac:dyDescent="0.25" r="80" customHeight="1" ht="12.75">
      <c r="A80" s="3"/>
      <c r="B80" s="5"/>
      <c r="C80" s="7"/>
      <c r="D80" s="6"/>
      <c r="E80" s="6"/>
      <c r="F80" s="7"/>
      <c r="G80" s="6"/>
      <c r="H80" s="6"/>
      <c r="I80" s="6"/>
      <c r="J80" s="6"/>
      <c r="K80" s="5"/>
      <c r="L80" s="7"/>
      <c r="M80" s="6"/>
      <c r="N80" s="6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x14ac:dyDescent="0.25" r="81" customHeight="1" ht="12.75">
      <c r="A81" s="3"/>
      <c r="B81" s="5"/>
      <c r="C81" s="7"/>
      <c r="D81" s="6"/>
      <c r="E81" s="6"/>
      <c r="F81" s="7"/>
      <c r="G81" s="6"/>
      <c r="H81" s="6"/>
      <c r="I81" s="6"/>
      <c r="J81" s="6"/>
      <c r="K81" s="5"/>
      <c r="L81" s="7"/>
      <c r="M81" s="6"/>
      <c r="N81" s="6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x14ac:dyDescent="0.25" r="82" customHeight="1" ht="12.75">
      <c r="A82" s="3"/>
      <c r="B82" s="5"/>
      <c r="C82" s="7"/>
      <c r="D82" s="6"/>
      <c r="E82" s="6"/>
      <c r="F82" s="7"/>
      <c r="G82" s="6"/>
      <c r="H82" s="6"/>
      <c r="I82" s="6"/>
      <c r="J82" s="6"/>
      <c r="K82" s="5"/>
      <c r="L82" s="7"/>
      <c r="M82" s="6"/>
      <c r="N82" s="6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x14ac:dyDescent="0.25" r="83" customHeight="1" ht="12.75">
      <c r="A83" s="3"/>
      <c r="B83" s="5"/>
      <c r="C83" s="7"/>
      <c r="D83" s="6"/>
      <c r="E83" s="6"/>
      <c r="F83" s="7"/>
      <c r="G83" s="6"/>
      <c r="H83" s="6"/>
      <c r="I83" s="6"/>
      <c r="J83" s="6"/>
      <c r="K83" s="5"/>
      <c r="L83" s="7"/>
      <c r="M83" s="6"/>
      <c r="N83" s="6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x14ac:dyDescent="0.25" r="84" customHeight="1" ht="12.75">
      <c r="A84" s="3"/>
      <c r="B84" s="5"/>
      <c r="C84" s="7"/>
      <c r="D84" s="6"/>
      <c r="E84" s="6"/>
      <c r="F84" s="7"/>
      <c r="G84" s="6"/>
      <c r="H84" s="6"/>
      <c r="I84" s="6"/>
      <c r="J84" s="6"/>
      <c r="K84" s="5"/>
      <c r="L84" s="7"/>
      <c r="M84" s="6"/>
      <c r="N84" s="6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x14ac:dyDescent="0.25" r="85" customHeight="1" ht="12.75">
      <c r="A85" s="3"/>
      <c r="B85" s="5"/>
      <c r="C85" s="7"/>
      <c r="D85" s="6"/>
      <c r="E85" s="6"/>
      <c r="F85" s="7"/>
      <c r="G85" s="6"/>
      <c r="H85" s="6"/>
      <c r="I85" s="6"/>
      <c r="J85" s="6"/>
      <c r="K85" s="5"/>
      <c r="L85" s="7"/>
      <c r="M85" s="6"/>
      <c r="N85" s="6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x14ac:dyDescent="0.25" r="86" customHeight="1" ht="12.75">
      <c r="A86" s="3"/>
      <c r="B86" s="5"/>
      <c r="C86" s="7"/>
      <c r="D86" s="6"/>
      <c r="E86" s="6"/>
      <c r="F86" s="7"/>
      <c r="G86" s="6"/>
      <c r="H86" s="6"/>
      <c r="I86" s="6"/>
      <c r="J86" s="6"/>
      <c r="K86" s="5"/>
      <c r="L86" s="7"/>
      <c r="M86" s="6"/>
      <c r="N86" s="6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x14ac:dyDescent="0.25" r="87" customHeight="1" ht="12.75">
      <c r="A87" s="3"/>
      <c r="B87" s="5"/>
      <c r="C87" s="7"/>
      <c r="D87" s="6"/>
      <c r="E87" s="6"/>
      <c r="F87" s="7"/>
      <c r="G87" s="6"/>
      <c r="H87" s="6"/>
      <c r="I87" s="6"/>
      <c r="J87" s="6"/>
      <c r="K87" s="5"/>
      <c r="L87" s="7"/>
      <c r="M87" s="6"/>
      <c r="N87" s="6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x14ac:dyDescent="0.25" r="88" customHeight="1" ht="12.75">
      <c r="A88" s="3"/>
      <c r="B88" s="5"/>
      <c r="C88" s="7"/>
      <c r="D88" s="6"/>
      <c r="E88" s="6"/>
      <c r="F88" s="7"/>
      <c r="G88" s="6"/>
      <c r="H88" s="6"/>
      <c r="I88" s="6"/>
      <c r="J88" s="6"/>
      <c r="K88" s="5"/>
      <c r="L88" s="7"/>
      <c r="M88" s="6"/>
      <c r="N88" s="6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x14ac:dyDescent="0.25" r="89" customHeight="1" ht="12.75">
      <c r="A89" s="3"/>
      <c r="B89" s="5"/>
      <c r="C89" s="7"/>
      <c r="D89" s="6"/>
      <c r="E89" s="6"/>
      <c r="F89" s="7"/>
      <c r="G89" s="6"/>
      <c r="H89" s="6"/>
      <c r="I89" s="6"/>
      <c r="J89" s="6"/>
      <c r="K89" s="5"/>
      <c r="L89" s="7"/>
      <c r="M89" s="6"/>
      <c r="N89" s="6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x14ac:dyDescent="0.25" r="90" customHeight="1" ht="12.75">
      <c r="A90" s="3"/>
      <c r="B90" s="5"/>
      <c r="C90" s="7"/>
      <c r="D90" s="6"/>
      <c r="E90" s="6"/>
      <c r="F90" s="7"/>
      <c r="G90" s="6"/>
      <c r="H90" s="6"/>
      <c r="I90" s="6"/>
      <c r="J90" s="6"/>
      <c r="K90" s="5"/>
      <c r="L90" s="7"/>
      <c r="M90" s="6"/>
      <c r="N90" s="6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x14ac:dyDescent="0.25" r="91" customHeight="1" ht="12.75">
      <c r="A91" s="3"/>
      <c r="B91" s="5"/>
      <c r="C91" s="7"/>
      <c r="D91" s="6"/>
      <c r="E91" s="6"/>
      <c r="F91" s="7"/>
      <c r="G91" s="6"/>
      <c r="H91" s="6"/>
      <c r="I91" s="6"/>
      <c r="J91" s="6"/>
      <c r="K91" s="5"/>
      <c r="L91" s="7"/>
      <c r="M91" s="6"/>
      <c r="N91" s="6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x14ac:dyDescent="0.25" r="92" customHeight="1" ht="12.75">
      <c r="A92" s="3"/>
      <c r="B92" s="5"/>
      <c r="C92" s="7"/>
      <c r="D92" s="6"/>
      <c r="E92" s="6"/>
      <c r="F92" s="7"/>
      <c r="G92" s="6"/>
      <c r="H92" s="6"/>
      <c r="I92" s="6"/>
      <c r="J92" s="6"/>
      <c r="K92" s="5"/>
      <c r="L92" s="7"/>
      <c r="M92" s="6"/>
      <c r="N92" s="6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x14ac:dyDescent="0.25" r="93" customHeight="1" ht="12.75">
      <c r="A93" s="3"/>
      <c r="B93" s="5"/>
      <c r="C93" s="7"/>
      <c r="D93" s="6"/>
      <c r="E93" s="6"/>
      <c r="F93" s="7"/>
      <c r="G93" s="6"/>
      <c r="H93" s="6"/>
      <c r="I93" s="6"/>
      <c r="J93" s="6"/>
      <c r="K93" s="5"/>
      <c r="L93" s="7"/>
      <c r="M93" s="6"/>
      <c r="N93" s="6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x14ac:dyDescent="0.25" r="94" customHeight="1" ht="12.75">
      <c r="A94" s="3"/>
      <c r="B94" s="5"/>
      <c r="C94" s="7"/>
      <c r="D94" s="6"/>
      <c r="E94" s="6"/>
      <c r="F94" s="7"/>
      <c r="G94" s="6"/>
      <c r="H94" s="6"/>
      <c r="I94" s="6"/>
      <c r="J94" s="6"/>
      <c r="K94" s="5"/>
      <c r="L94" s="7"/>
      <c r="M94" s="6"/>
      <c r="N94" s="6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x14ac:dyDescent="0.25" r="95" customHeight="1" ht="12.75">
      <c r="A95" s="3"/>
      <c r="B95" s="5"/>
      <c r="C95" s="7"/>
      <c r="D95" s="6"/>
      <c r="E95" s="6"/>
      <c r="F95" s="7"/>
      <c r="G95" s="6"/>
      <c r="H95" s="6"/>
      <c r="I95" s="6"/>
      <c r="J95" s="6"/>
      <c r="K95" s="5"/>
      <c r="L95" s="7"/>
      <c r="M95" s="6"/>
      <c r="N95" s="6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x14ac:dyDescent="0.25" r="96" customHeight="1" ht="12.75">
      <c r="A96" s="3"/>
      <c r="B96" s="5"/>
      <c r="C96" s="7"/>
      <c r="D96" s="6"/>
      <c r="E96" s="6"/>
      <c r="F96" s="7"/>
      <c r="G96" s="6"/>
      <c r="H96" s="6"/>
      <c r="I96" s="6"/>
      <c r="J96" s="6"/>
      <c r="K96" s="5"/>
      <c r="L96" s="7"/>
      <c r="M96" s="6"/>
      <c r="N96" s="6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x14ac:dyDescent="0.25" r="97" customHeight="1" ht="12.75">
      <c r="A97" s="3"/>
      <c r="B97" s="5"/>
      <c r="C97" s="7"/>
      <c r="D97" s="6"/>
      <c r="E97" s="6"/>
      <c r="F97" s="7"/>
      <c r="G97" s="6"/>
      <c r="H97" s="6"/>
      <c r="I97" s="6"/>
      <c r="J97" s="6"/>
      <c r="K97" s="5"/>
      <c r="L97" s="7"/>
      <c r="M97" s="6"/>
      <c r="N97" s="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x14ac:dyDescent="0.25" r="98" customHeight="1" ht="12.75">
      <c r="A98" s="3"/>
      <c r="B98" s="5"/>
      <c r="C98" s="7"/>
      <c r="D98" s="6"/>
      <c r="E98" s="6"/>
      <c r="F98" s="7"/>
      <c r="G98" s="6"/>
      <c r="H98" s="6"/>
      <c r="I98" s="6"/>
      <c r="J98" s="6"/>
      <c r="K98" s="5"/>
      <c r="L98" s="7"/>
      <c r="M98" s="6"/>
      <c r="N98" s="6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x14ac:dyDescent="0.25" r="99" customHeight="1" ht="12.75">
      <c r="A99" s="3"/>
      <c r="B99" s="5"/>
      <c r="C99" s="7"/>
      <c r="D99" s="6"/>
      <c r="E99" s="6"/>
      <c r="F99" s="7"/>
      <c r="G99" s="6"/>
      <c r="H99" s="6"/>
      <c r="I99" s="6"/>
      <c r="J99" s="6"/>
      <c r="K99" s="5"/>
      <c r="L99" s="7"/>
      <c r="M99" s="6"/>
      <c r="N99" s="6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x14ac:dyDescent="0.25" r="100" customHeight="1" ht="12.75">
      <c r="A100" s="3"/>
      <c r="B100" s="5"/>
      <c r="C100" s="7"/>
      <c r="D100" s="6"/>
      <c r="E100" s="6"/>
      <c r="F100" s="7"/>
      <c r="G100" s="6"/>
      <c r="H100" s="6"/>
      <c r="I100" s="6"/>
      <c r="J100" s="6"/>
      <c r="K100" s="5"/>
      <c r="L100" s="7"/>
      <c r="M100" s="6"/>
      <c r="N100" s="6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x14ac:dyDescent="0.25" r="101" customHeight="1" ht="12.75">
      <c r="A101" s="3"/>
      <c r="B101" s="5"/>
      <c r="C101" s="7"/>
      <c r="D101" s="6"/>
      <c r="E101" s="6"/>
      <c r="F101" s="7"/>
      <c r="G101" s="6"/>
      <c r="H101" s="6"/>
      <c r="I101" s="6"/>
      <c r="J101" s="6"/>
      <c r="K101" s="5"/>
      <c r="L101" s="7"/>
      <c r="M101" s="6"/>
      <c r="N101" s="6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x14ac:dyDescent="0.25" r="102" customHeight="1" ht="12.75">
      <c r="A102" s="3"/>
      <c r="B102" s="5"/>
      <c r="C102" s="7"/>
      <c r="D102" s="6"/>
      <c r="E102" s="6"/>
      <c r="F102" s="7"/>
      <c r="G102" s="6"/>
      <c r="H102" s="6"/>
      <c r="I102" s="6"/>
      <c r="J102" s="6"/>
      <c r="K102" s="5"/>
      <c r="L102" s="7"/>
      <c r="M102" s="6"/>
      <c r="N102" s="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x14ac:dyDescent="0.25" r="103" customHeight="1" ht="12.75">
      <c r="A103" s="3"/>
      <c r="B103" s="5"/>
      <c r="C103" s="7"/>
      <c r="D103" s="6"/>
      <c r="E103" s="6"/>
      <c r="F103" s="7"/>
      <c r="G103" s="6"/>
      <c r="H103" s="6"/>
      <c r="I103" s="6"/>
      <c r="J103" s="6"/>
      <c r="K103" s="5"/>
      <c r="L103" s="7"/>
      <c r="M103" s="6"/>
      <c r="N103" s="6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x14ac:dyDescent="0.25" r="104" customHeight="1" ht="12.75">
      <c r="A104" s="3"/>
      <c r="B104" s="5"/>
      <c r="C104" s="7"/>
      <c r="D104" s="6"/>
      <c r="E104" s="6"/>
      <c r="F104" s="7"/>
      <c r="G104" s="6"/>
      <c r="H104" s="6"/>
      <c r="I104" s="6"/>
      <c r="J104" s="6"/>
      <c r="K104" s="5"/>
      <c r="L104" s="7"/>
      <c r="M104" s="6"/>
      <c r="N104" s="6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x14ac:dyDescent="0.25" r="105" customHeight="1" ht="12.75">
      <c r="A105" s="3"/>
      <c r="B105" s="5"/>
      <c r="C105" s="7"/>
      <c r="D105" s="6"/>
      <c r="E105" s="6"/>
      <c r="F105" s="7"/>
      <c r="G105" s="6"/>
      <c r="H105" s="6"/>
      <c r="I105" s="6"/>
      <c r="J105" s="6"/>
      <c r="K105" s="5"/>
      <c r="L105" s="7"/>
      <c r="M105" s="6"/>
      <c r="N105" s="6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x14ac:dyDescent="0.25" r="106" customHeight="1" ht="12.75">
      <c r="A106" s="3"/>
      <c r="B106" s="5"/>
      <c r="C106" s="7"/>
      <c r="D106" s="6"/>
      <c r="E106" s="6"/>
      <c r="F106" s="7"/>
      <c r="G106" s="6"/>
      <c r="H106" s="6"/>
      <c r="I106" s="6"/>
      <c r="J106" s="6"/>
      <c r="K106" s="5"/>
      <c r="L106" s="7"/>
      <c r="M106" s="6"/>
      <c r="N106" s="6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x14ac:dyDescent="0.25" r="107" customHeight="1" ht="12.75">
      <c r="A107" s="3"/>
      <c r="B107" s="5"/>
      <c r="C107" s="7"/>
      <c r="D107" s="6"/>
      <c r="E107" s="6"/>
      <c r="F107" s="7"/>
      <c r="G107" s="6"/>
      <c r="H107" s="6"/>
      <c r="I107" s="6"/>
      <c r="J107" s="6"/>
      <c r="K107" s="5"/>
      <c r="L107" s="7"/>
      <c r="M107" s="6"/>
      <c r="N107" s="6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x14ac:dyDescent="0.25" r="108" customHeight="1" ht="12.75">
      <c r="A108" s="3"/>
      <c r="B108" s="5"/>
      <c r="C108" s="7"/>
      <c r="D108" s="6"/>
      <c r="E108" s="6"/>
      <c r="F108" s="7"/>
      <c r="G108" s="6"/>
      <c r="H108" s="6"/>
      <c r="I108" s="6"/>
      <c r="J108" s="6"/>
      <c r="K108" s="5"/>
      <c r="L108" s="7"/>
      <c r="M108" s="6"/>
      <c r="N108" s="6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x14ac:dyDescent="0.25" r="109" customHeight="1" ht="12.75">
      <c r="A109" s="3"/>
      <c r="B109" s="5"/>
      <c r="C109" s="7"/>
      <c r="D109" s="6"/>
      <c r="E109" s="6"/>
      <c r="F109" s="7"/>
      <c r="G109" s="6"/>
      <c r="H109" s="6"/>
      <c r="I109" s="6"/>
      <c r="J109" s="6"/>
      <c r="K109" s="5"/>
      <c r="L109" s="7"/>
      <c r="M109" s="6"/>
      <c r="N109" s="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x14ac:dyDescent="0.25" r="110" customHeight="1" ht="12.75">
      <c r="A110" s="3"/>
      <c r="B110" s="5"/>
      <c r="C110" s="7"/>
      <c r="D110" s="6"/>
      <c r="E110" s="6"/>
      <c r="F110" s="7"/>
      <c r="G110" s="6"/>
      <c r="H110" s="6"/>
      <c r="I110" s="6"/>
      <c r="J110" s="6"/>
      <c r="K110" s="5"/>
      <c r="L110" s="7"/>
      <c r="M110" s="6"/>
      <c r="N110" s="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x14ac:dyDescent="0.25" r="111" customHeight="1" ht="12.75">
      <c r="A111" s="3"/>
      <c r="B111" s="5"/>
      <c r="C111" s="7"/>
      <c r="D111" s="6"/>
      <c r="E111" s="6"/>
      <c r="F111" s="7"/>
      <c r="G111" s="6"/>
      <c r="H111" s="6"/>
      <c r="I111" s="6"/>
      <c r="J111" s="6"/>
      <c r="K111" s="5"/>
      <c r="L111" s="7"/>
      <c r="M111" s="6"/>
      <c r="N111" s="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x14ac:dyDescent="0.25" r="112" customHeight="1" ht="12.75">
      <c r="A112" s="3"/>
      <c r="B112" s="5"/>
      <c r="C112" s="7"/>
      <c r="D112" s="6"/>
      <c r="E112" s="6"/>
      <c r="F112" s="7"/>
      <c r="G112" s="6"/>
      <c r="H112" s="6"/>
      <c r="I112" s="6"/>
      <c r="J112" s="6"/>
      <c r="K112" s="5"/>
      <c r="L112" s="7"/>
      <c r="M112" s="6"/>
      <c r="N112" s="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x14ac:dyDescent="0.25" r="113" customHeight="1" ht="12.75">
      <c r="A113" s="3"/>
      <c r="B113" s="5"/>
      <c r="C113" s="7"/>
      <c r="D113" s="6"/>
      <c r="E113" s="6"/>
      <c r="F113" s="7"/>
      <c r="G113" s="6"/>
      <c r="H113" s="6"/>
      <c r="I113" s="6"/>
      <c r="J113" s="6"/>
      <c r="K113" s="5"/>
      <c r="L113" s="7"/>
      <c r="M113" s="6"/>
      <c r="N113" s="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x14ac:dyDescent="0.25" r="114" customHeight="1" ht="12.75">
      <c r="A114" s="3"/>
      <c r="B114" s="5"/>
      <c r="C114" s="7"/>
      <c r="D114" s="6"/>
      <c r="E114" s="6"/>
      <c r="F114" s="7"/>
      <c r="G114" s="6"/>
      <c r="H114" s="6"/>
      <c r="I114" s="6"/>
      <c r="J114" s="6"/>
      <c r="K114" s="5"/>
      <c r="L114" s="7"/>
      <c r="M114" s="6"/>
      <c r="N114" s="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x14ac:dyDescent="0.25" r="115" customHeight="1" ht="12.75">
      <c r="A115" s="3"/>
      <c r="B115" s="5"/>
      <c r="C115" s="7"/>
      <c r="D115" s="6"/>
      <c r="E115" s="6"/>
      <c r="F115" s="7"/>
      <c r="G115" s="6"/>
      <c r="H115" s="6"/>
      <c r="I115" s="6"/>
      <c r="J115" s="6"/>
      <c r="K115" s="5"/>
      <c r="L115" s="7"/>
      <c r="M115" s="6"/>
      <c r="N115" s="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x14ac:dyDescent="0.25" r="116" customHeight="1" ht="12.75">
      <c r="A116" s="3"/>
      <c r="B116" s="5"/>
      <c r="C116" s="7"/>
      <c r="D116" s="6"/>
      <c r="E116" s="6"/>
      <c r="F116" s="7"/>
      <c r="G116" s="6"/>
      <c r="H116" s="6"/>
      <c r="I116" s="6"/>
      <c r="J116" s="6"/>
      <c r="K116" s="5"/>
      <c r="L116" s="7"/>
      <c r="M116" s="6"/>
      <c r="N116" s="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x14ac:dyDescent="0.25" r="117" customHeight="1" ht="12.75">
      <c r="A117" s="3"/>
      <c r="B117" s="5"/>
      <c r="C117" s="7"/>
      <c r="D117" s="6"/>
      <c r="E117" s="6"/>
      <c r="F117" s="7"/>
      <c r="G117" s="6"/>
      <c r="H117" s="6"/>
      <c r="I117" s="6"/>
      <c r="J117" s="6"/>
      <c r="K117" s="5"/>
      <c r="L117" s="7"/>
      <c r="M117" s="6"/>
      <c r="N117" s="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x14ac:dyDescent="0.25" r="118" customHeight="1" ht="12.75">
      <c r="A118" s="3"/>
      <c r="B118" s="5"/>
      <c r="C118" s="7"/>
      <c r="D118" s="6"/>
      <c r="E118" s="6"/>
      <c r="F118" s="7"/>
      <c r="G118" s="6"/>
      <c r="H118" s="6"/>
      <c r="I118" s="6"/>
      <c r="J118" s="6"/>
      <c r="K118" s="5"/>
      <c r="L118" s="7"/>
      <c r="M118" s="6"/>
      <c r="N118" s="6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x14ac:dyDescent="0.25" r="119" customHeight="1" ht="12.75">
      <c r="A119" s="3"/>
      <c r="B119" s="5"/>
      <c r="C119" s="7"/>
      <c r="D119" s="6"/>
      <c r="E119" s="6"/>
      <c r="F119" s="7"/>
      <c r="G119" s="6"/>
      <c r="H119" s="6"/>
      <c r="I119" s="6"/>
      <c r="J119" s="6"/>
      <c r="K119" s="5"/>
      <c r="L119" s="7"/>
      <c r="M119" s="6"/>
      <c r="N119" s="6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x14ac:dyDescent="0.25" r="120" customHeight="1" ht="12.75">
      <c r="A120" s="3"/>
      <c r="B120" s="5"/>
      <c r="C120" s="7"/>
      <c r="D120" s="6"/>
      <c r="E120" s="6"/>
      <c r="F120" s="7"/>
      <c r="G120" s="6"/>
      <c r="H120" s="6"/>
      <c r="I120" s="6"/>
      <c r="J120" s="6"/>
      <c r="K120" s="5"/>
      <c r="L120" s="7"/>
      <c r="M120" s="6"/>
      <c r="N120" s="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x14ac:dyDescent="0.25" r="121" customHeight="1" ht="12.75">
      <c r="A121" s="3"/>
      <c r="B121" s="5"/>
      <c r="C121" s="7"/>
      <c r="D121" s="6"/>
      <c r="E121" s="6"/>
      <c r="F121" s="7"/>
      <c r="G121" s="6"/>
      <c r="H121" s="6"/>
      <c r="I121" s="6"/>
      <c r="J121" s="6"/>
      <c r="K121" s="5"/>
      <c r="L121" s="7"/>
      <c r="M121" s="6"/>
      <c r="N121" s="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x14ac:dyDescent="0.25" r="122" customHeight="1" ht="12.75">
      <c r="A122" s="3"/>
      <c r="B122" s="5"/>
      <c r="C122" s="7"/>
      <c r="D122" s="6"/>
      <c r="E122" s="6"/>
      <c r="F122" s="7"/>
      <c r="G122" s="6"/>
      <c r="H122" s="6"/>
      <c r="I122" s="6"/>
      <c r="J122" s="6"/>
      <c r="K122" s="5"/>
      <c r="L122" s="7"/>
      <c r="M122" s="6"/>
      <c r="N122" s="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x14ac:dyDescent="0.25" r="123" customHeight="1" ht="12.75">
      <c r="A123" s="3"/>
      <c r="B123" s="5"/>
      <c r="C123" s="7"/>
      <c r="D123" s="6"/>
      <c r="E123" s="6"/>
      <c r="F123" s="7"/>
      <c r="G123" s="6"/>
      <c r="H123" s="6"/>
      <c r="I123" s="6"/>
      <c r="J123" s="6"/>
      <c r="K123" s="5"/>
      <c r="L123" s="7"/>
      <c r="M123" s="6"/>
      <c r="N123" s="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x14ac:dyDescent="0.25" r="124" customHeight="1" ht="12.75">
      <c r="A124" s="3"/>
      <c r="B124" s="5"/>
      <c r="C124" s="7"/>
      <c r="D124" s="6"/>
      <c r="E124" s="6"/>
      <c r="F124" s="7"/>
      <c r="G124" s="6"/>
      <c r="H124" s="6"/>
      <c r="I124" s="6"/>
      <c r="J124" s="6"/>
      <c r="K124" s="5"/>
      <c r="L124" s="7"/>
      <c r="M124" s="6"/>
      <c r="N124" s="6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x14ac:dyDescent="0.25" r="125" customHeight="1" ht="12.75">
      <c r="A125" s="3"/>
      <c r="B125" s="5"/>
      <c r="C125" s="7"/>
      <c r="D125" s="6"/>
      <c r="E125" s="6"/>
      <c r="F125" s="7"/>
      <c r="G125" s="6"/>
      <c r="H125" s="6"/>
      <c r="I125" s="6"/>
      <c r="J125" s="6"/>
      <c r="K125" s="5"/>
      <c r="L125" s="7"/>
      <c r="M125" s="6"/>
      <c r="N125" s="6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x14ac:dyDescent="0.25" r="126" customHeight="1" ht="12.75">
      <c r="A126" s="3"/>
      <c r="B126" s="5"/>
      <c r="C126" s="7"/>
      <c r="D126" s="6"/>
      <c r="E126" s="6"/>
      <c r="F126" s="7"/>
      <c r="G126" s="6"/>
      <c r="H126" s="6"/>
      <c r="I126" s="6"/>
      <c r="J126" s="6"/>
      <c r="K126" s="5"/>
      <c r="L126" s="7"/>
      <c r="M126" s="6"/>
      <c r="N126" s="6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x14ac:dyDescent="0.25" r="127" customHeight="1" ht="12.75">
      <c r="A127" s="3"/>
      <c r="B127" s="5"/>
      <c r="C127" s="7"/>
      <c r="D127" s="6"/>
      <c r="E127" s="6"/>
      <c r="F127" s="7"/>
      <c r="G127" s="6"/>
      <c r="H127" s="6"/>
      <c r="I127" s="6"/>
      <c r="J127" s="6"/>
      <c r="K127" s="5"/>
      <c r="L127" s="7"/>
      <c r="M127" s="6"/>
      <c r="N127" s="6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x14ac:dyDescent="0.25" r="128" customHeight="1" ht="12.75">
      <c r="A128" s="3"/>
      <c r="B128" s="5"/>
      <c r="C128" s="7"/>
      <c r="D128" s="6"/>
      <c r="E128" s="6"/>
      <c r="F128" s="7"/>
      <c r="G128" s="6"/>
      <c r="H128" s="6"/>
      <c r="I128" s="6"/>
      <c r="J128" s="6"/>
      <c r="K128" s="5"/>
      <c r="L128" s="7"/>
      <c r="M128" s="6"/>
      <c r="N128" s="6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x14ac:dyDescent="0.25" r="129" customHeight="1" ht="12.75">
      <c r="A129" s="3"/>
      <c r="B129" s="5"/>
      <c r="C129" s="7"/>
      <c r="D129" s="6"/>
      <c r="E129" s="6"/>
      <c r="F129" s="7"/>
      <c r="G129" s="6"/>
      <c r="H129" s="6"/>
      <c r="I129" s="6"/>
      <c r="J129" s="6"/>
      <c r="K129" s="5"/>
      <c r="L129" s="7"/>
      <c r="M129" s="6"/>
      <c r="N129" s="6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x14ac:dyDescent="0.25" r="130" customHeight="1" ht="12.75">
      <c r="A130" s="3"/>
      <c r="B130" s="5"/>
      <c r="C130" s="7"/>
      <c r="D130" s="6"/>
      <c r="E130" s="6"/>
      <c r="F130" s="7"/>
      <c r="G130" s="6"/>
      <c r="H130" s="6"/>
      <c r="I130" s="6"/>
      <c r="J130" s="6"/>
      <c r="K130" s="5"/>
      <c r="L130" s="7"/>
      <c r="M130" s="6"/>
      <c r="N130" s="6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x14ac:dyDescent="0.25" r="131" customHeight="1" ht="12.75">
      <c r="A131" s="3"/>
      <c r="B131" s="5"/>
      <c r="C131" s="7"/>
      <c r="D131" s="6"/>
      <c r="E131" s="6"/>
      <c r="F131" s="7"/>
      <c r="G131" s="6"/>
      <c r="H131" s="6"/>
      <c r="I131" s="6"/>
      <c r="J131" s="6"/>
      <c r="K131" s="5"/>
      <c r="L131" s="7"/>
      <c r="M131" s="6"/>
      <c r="N131" s="6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x14ac:dyDescent="0.25" r="132" customHeight="1" ht="12.75">
      <c r="A132" s="3"/>
      <c r="B132" s="5"/>
      <c r="C132" s="7"/>
      <c r="D132" s="6"/>
      <c r="E132" s="6"/>
      <c r="F132" s="7"/>
      <c r="G132" s="6"/>
      <c r="H132" s="6"/>
      <c r="I132" s="6"/>
      <c r="J132" s="6"/>
      <c r="K132" s="5"/>
      <c r="L132" s="7"/>
      <c r="M132" s="6"/>
      <c r="N132" s="6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12.75">
      <c r="A133" s="3"/>
      <c r="B133" s="5"/>
      <c r="C133" s="7"/>
      <c r="D133" s="6"/>
      <c r="E133" s="6"/>
      <c r="F133" s="7"/>
      <c r="G133" s="6"/>
      <c r="H133" s="6"/>
      <c r="I133" s="6"/>
      <c r="J133" s="6"/>
      <c r="K133" s="5"/>
      <c r="L133" s="7"/>
      <c r="M133" s="6"/>
      <c r="N133" s="6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x14ac:dyDescent="0.25" r="134" customHeight="1" ht="12.75">
      <c r="A134" s="3"/>
      <c r="B134" s="5"/>
      <c r="C134" s="7"/>
      <c r="D134" s="6"/>
      <c r="E134" s="6"/>
      <c r="F134" s="7"/>
      <c r="G134" s="6"/>
      <c r="H134" s="6"/>
      <c r="I134" s="6"/>
      <c r="J134" s="6"/>
      <c r="K134" s="5"/>
      <c r="L134" s="7"/>
      <c r="M134" s="6"/>
      <c r="N134" s="6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x14ac:dyDescent="0.25" r="135" customHeight="1" ht="12.75">
      <c r="A135" s="3"/>
      <c r="B135" s="5"/>
      <c r="C135" s="7"/>
      <c r="D135" s="6"/>
      <c r="E135" s="6"/>
      <c r="F135" s="7"/>
      <c r="G135" s="6"/>
      <c r="H135" s="6"/>
      <c r="I135" s="6"/>
      <c r="J135" s="6"/>
      <c r="K135" s="5"/>
      <c r="L135" s="7"/>
      <c r="M135" s="6"/>
      <c r="N135" s="6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x14ac:dyDescent="0.25" r="136" customHeight="1" ht="12.75">
      <c r="A136" s="3"/>
      <c r="B136" s="5"/>
      <c r="C136" s="7"/>
      <c r="D136" s="6"/>
      <c r="E136" s="6"/>
      <c r="F136" s="7"/>
      <c r="G136" s="6"/>
      <c r="H136" s="6"/>
      <c r="I136" s="6"/>
      <c r="J136" s="6"/>
      <c r="K136" s="5"/>
      <c r="L136" s="7"/>
      <c r="M136" s="6"/>
      <c r="N136" s="6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x14ac:dyDescent="0.25" r="137" customHeight="1" ht="12.75">
      <c r="A137" s="3"/>
      <c r="B137" s="5"/>
      <c r="C137" s="7"/>
      <c r="D137" s="6"/>
      <c r="E137" s="6"/>
      <c r="F137" s="7"/>
      <c r="G137" s="6"/>
      <c r="H137" s="6"/>
      <c r="I137" s="6"/>
      <c r="J137" s="6"/>
      <c r="K137" s="5"/>
      <c r="L137" s="7"/>
      <c r="M137" s="6"/>
      <c r="N137" s="6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x14ac:dyDescent="0.25" r="138" customHeight="1" ht="12.75">
      <c r="A138" s="3"/>
      <c r="B138" s="5"/>
      <c r="C138" s="7"/>
      <c r="D138" s="6"/>
      <c r="E138" s="6"/>
      <c r="F138" s="7"/>
      <c r="G138" s="6"/>
      <c r="H138" s="6"/>
      <c r="I138" s="6"/>
      <c r="J138" s="6"/>
      <c r="K138" s="5"/>
      <c r="L138" s="7"/>
      <c r="M138" s="6"/>
      <c r="N138" s="6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x14ac:dyDescent="0.25" r="139" customHeight="1" ht="12.75">
      <c r="A139" s="3"/>
      <c r="B139" s="5"/>
      <c r="C139" s="7"/>
      <c r="D139" s="6"/>
      <c r="E139" s="6"/>
      <c r="F139" s="7"/>
      <c r="G139" s="6"/>
      <c r="H139" s="6"/>
      <c r="I139" s="6"/>
      <c r="J139" s="6"/>
      <c r="K139" s="5"/>
      <c r="L139" s="7"/>
      <c r="M139" s="6"/>
      <c r="N139" s="6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x14ac:dyDescent="0.25" r="140" customHeight="1" ht="12.75">
      <c r="A140" s="3"/>
      <c r="B140" s="5"/>
      <c r="C140" s="7"/>
      <c r="D140" s="6"/>
      <c r="E140" s="6"/>
      <c r="F140" s="7"/>
      <c r="G140" s="6"/>
      <c r="H140" s="6"/>
      <c r="I140" s="6"/>
      <c r="J140" s="6"/>
      <c r="K140" s="5"/>
      <c r="L140" s="7"/>
      <c r="M140" s="6"/>
      <c r="N140" s="6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x14ac:dyDescent="0.25" r="141" customHeight="1" ht="12.75">
      <c r="A141" s="3"/>
      <c r="B141" s="5"/>
      <c r="C141" s="7"/>
      <c r="D141" s="6"/>
      <c r="E141" s="6"/>
      <c r="F141" s="7"/>
      <c r="G141" s="6"/>
      <c r="H141" s="6"/>
      <c r="I141" s="6"/>
      <c r="J141" s="6"/>
      <c r="K141" s="5"/>
      <c r="L141" s="7"/>
      <c r="M141" s="6"/>
      <c r="N141" s="6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12.75">
      <c r="A142" s="3"/>
      <c r="B142" s="5"/>
      <c r="C142" s="7"/>
      <c r="D142" s="6"/>
      <c r="E142" s="6"/>
      <c r="F142" s="7"/>
      <c r="G142" s="6"/>
      <c r="H142" s="6"/>
      <c r="I142" s="6"/>
      <c r="J142" s="6"/>
      <c r="K142" s="5"/>
      <c r="L142" s="7"/>
      <c r="M142" s="6"/>
      <c r="N142" s="6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12.75">
      <c r="A143" s="3"/>
      <c r="B143" s="5"/>
      <c r="C143" s="7"/>
      <c r="D143" s="6"/>
      <c r="E143" s="6"/>
      <c r="F143" s="7"/>
      <c r="G143" s="6"/>
      <c r="H143" s="6"/>
      <c r="I143" s="6"/>
      <c r="J143" s="6"/>
      <c r="K143" s="5"/>
      <c r="L143" s="7"/>
      <c r="M143" s="6"/>
      <c r="N143" s="6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x14ac:dyDescent="0.25" r="144" customHeight="1" ht="12.75">
      <c r="A144" s="3"/>
      <c r="B144" s="5"/>
      <c r="C144" s="7"/>
      <c r="D144" s="6"/>
      <c r="E144" s="6"/>
      <c r="F144" s="7"/>
      <c r="G144" s="6"/>
      <c r="H144" s="6"/>
      <c r="I144" s="6"/>
      <c r="J144" s="6"/>
      <c r="K144" s="5"/>
      <c r="L144" s="7"/>
      <c r="M144" s="6"/>
      <c r="N144" s="6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x14ac:dyDescent="0.25" r="145" customHeight="1" ht="12.75">
      <c r="A145" s="3"/>
      <c r="B145" s="5"/>
      <c r="C145" s="7"/>
      <c r="D145" s="6"/>
      <c r="E145" s="6"/>
      <c r="F145" s="7"/>
      <c r="G145" s="6"/>
      <c r="H145" s="6"/>
      <c r="I145" s="6"/>
      <c r="J145" s="6"/>
      <c r="K145" s="5"/>
      <c r="L145" s="7"/>
      <c r="M145" s="6"/>
      <c r="N145" s="6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x14ac:dyDescent="0.25" r="146" customHeight="1" ht="12.75">
      <c r="A146" s="3"/>
      <c r="B146" s="5"/>
      <c r="C146" s="7"/>
      <c r="D146" s="6"/>
      <c r="E146" s="6"/>
      <c r="F146" s="7"/>
      <c r="G146" s="6"/>
      <c r="H146" s="6"/>
      <c r="I146" s="6"/>
      <c r="J146" s="6"/>
      <c r="K146" s="5"/>
      <c r="L146" s="7"/>
      <c r="M146" s="6"/>
      <c r="N146" s="6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x14ac:dyDescent="0.25" r="147" customHeight="1" ht="12.75">
      <c r="A147" s="3"/>
      <c r="B147" s="5"/>
      <c r="C147" s="7"/>
      <c r="D147" s="6"/>
      <c r="E147" s="6"/>
      <c r="F147" s="7"/>
      <c r="G147" s="6"/>
      <c r="H147" s="6"/>
      <c r="I147" s="6"/>
      <c r="J147" s="6"/>
      <c r="K147" s="5"/>
      <c r="L147" s="7"/>
      <c r="M147" s="6"/>
      <c r="N147" s="6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x14ac:dyDescent="0.25" r="148" customHeight="1" ht="12.75">
      <c r="A148" s="3"/>
      <c r="B148" s="5"/>
      <c r="C148" s="7"/>
      <c r="D148" s="6"/>
      <c r="E148" s="6"/>
      <c r="F148" s="7"/>
      <c r="G148" s="6"/>
      <c r="H148" s="6"/>
      <c r="I148" s="6"/>
      <c r="J148" s="6"/>
      <c r="K148" s="5"/>
      <c r="L148" s="7"/>
      <c r="M148" s="6"/>
      <c r="N148" s="6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x14ac:dyDescent="0.25" r="149" customHeight="1" ht="12.75">
      <c r="A149" s="3"/>
      <c r="B149" s="5"/>
      <c r="C149" s="7"/>
      <c r="D149" s="6"/>
      <c r="E149" s="6"/>
      <c r="F149" s="7"/>
      <c r="G149" s="6"/>
      <c r="H149" s="6"/>
      <c r="I149" s="6"/>
      <c r="J149" s="6"/>
      <c r="K149" s="5"/>
      <c r="L149" s="7"/>
      <c r="M149" s="6"/>
      <c r="N149" s="6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x14ac:dyDescent="0.25" r="150" customHeight="1" ht="12.75">
      <c r="A150" s="3"/>
      <c r="B150" s="5"/>
      <c r="C150" s="7"/>
      <c r="D150" s="6"/>
      <c r="E150" s="6"/>
      <c r="F150" s="7"/>
      <c r="G150" s="6"/>
      <c r="H150" s="6"/>
      <c r="I150" s="6"/>
      <c r="J150" s="6"/>
      <c r="K150" s="5"/>
      <c r="L150" s="7"/>
      <c r="M150" s="6"/>
      <c r="N150" s="6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x14ac:dyDescent="0.25" r="151" customHeight="1" ht="12.75">
      <c r="A151" s="3"/>
      <c r="B151" s="5"/>
      <c r="C151" s="7"/>
      <c r="D151" s="6"/>
      <c r="E151" s="6"/>
      <c r="F151" s="7"/>
      <c r="G151" s="6"/>
      <c r="H151" s="6"/>
      <c r="I151" s="6"/>
      <c r="J151" s="6"/>
      <c r="K151" s="5"/>
      <c r="L151" s="7"/>
      <c r="M151" s="6"/>
      <c r="N151" s="6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x14ac:dyDescent="0.25" r="152" customHeight="1" ht="12.75">
      <c r="A152" s="3"/>
      <c r="B152" s="5"/>
      <c r="C152" s="7"/>
      <c r="D152" s="6"/>
      <c r="E152" s="6"/>
      <c r="F152" s="7"/>
      <c r="G152" s="6"/>
      <c r="H152" s="6"/>
      <c r="I152" s="6"/>
      <c r="J152" s="6"/>
      <c r="K152" s="5"/>
      <c r="L152" s="7"/>
      <c r="M152" s="6"/>
      <c r="N152" s="6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x14ac:dyDescent="0.25" r="153" customHeight="1" ht="12.75">
      <c r="A153" s="3"/>
      <c r="B153" s="5"/>
      <c r="C153" s="7"/>
      <c r="D153" s="6"/>
      <c r="E153" s="6"/>
      <c r="F153" s="7"/>
      <c r="G153" s="6"/>
      <c r="H153" s="6"/>
      <c r="I153" s="6"/>
      <c r="J153" s="6"/>
      <c r="K153" s="5"/>
      <c r="L153" s="7"/>
      <c r="M153" s="6"/>
      <c r="N153" s="6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x14ac:dyDescent="0.25" r="154" customHeight="1" ht="12.75">
      <c r="A154" s="3"/>
      <c r="B154" s="5"/>
      <c r="C154" s="7"/>
      <c r="D154" s="6"/>
      <c r="E154" s="6"/>
      <c r="F154" s="7"/>
      <c r="G154" s="6"/>
      <c r="H154" s="6"/>
      <c r="I154" s="6"/>
      <c r="J154" s="6"/>
      <c r="K154" s="5"/>
      <c r="L154" s="7"/>
      <c r="M154" s="6"/>
      <c r="N154" s="6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x14ac:dyDescent="0.25" r="155" customHeight="1" ht="12.75">
      <c r="A155" s="3"/>
      <c r="B155" s="5"/>
      <c r="C155" s="7"/>
      <c r="D155" s="6"/>
      <c r="E155" s="6"/>
      <c r="F155" s="7"/>
      <c r="G155" s="6"/>
      <c r="H155" s="6"/>
      <c r="I155" s="6"/>
      <c r="J155" s="6"/>
      <c r="K155" s="5"/>
      <c r="L155" s="7"/>
      <c r="M155" s="6"/>
      <c r="N155" s="6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x14ac:dyDescent="0.25" r="156" customHeight="1" ht="12.75">
      <c r="A156" s="3"/>
      <c r="B156" s="5"/>
      <c r="C156" s="7"/>
      <c r="D156" s="6"/>
      <c r="E156" s="6"/>
      <c r="F156" s="7"/>
      <c r="G156" s="6"/>
      <c r="H156" s="6"/>
      <c r="I156" s="6"/>
      <c r="J156" s="6"/>
      <c r="K156" s="5"/>
      <c r="L156" s="7"/>
      <c r="M156" s="6"/>
      <c r="N156" s="6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x14ac:dyDescent="0.25" r="157" customHeight="1" ht="12.75">
      <c r="A157" s="3"/>
      <c r="B157" s="5"/>
      <c r="C157" s="7"/>
      <c r="D157" s="6"/>
      <c r="E157" s="6"/>
      <c r="F157" s="7"/>
      <c r="G157" s="6"/>
      <c r="H157" s="6"/>
      <c r="I157" s="6"/>
      <c r="J157" s="6"/>
      <c r="K157" s="5"/>
      <c r="L157" s="7"/>
      <c r="M157" s="6"/>
      <c r="N157" s="6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x14ac:dyDescent="0.25" r="158" customHeight="1" ht="12.75">
      <c r="A158" s="3"/>
      <c r="B158" s="5"/>
      <c r="C158" s="7"/>
      <c r="D158" s="6"/>
      <c r="E158" s="6"/>
      <c r="F158" s="7"/>
      <c r="G158" s="6"/>
      <c r="H158" s="6"/>
      <c r="I158" s="6"/>
      <c r="J158" s="6"/>
      <c r="K158" s="5"/>
      <c r="L158" s="7"/>
      <c r="M158" s="6"/>
      <c r="N158" s="6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x14ac:dyDescent="0.25" r="159" customHeight="1" ht="12.75">
      <c r="A159" s="3"/>
      <c r="B159" s="5"/>
      <c r="C159" s="7"/>
      <c r="D159" s="6"/>
      <c r="E159" s="6"/>
      <c r="F159" s="7"/>
      <c r="G159" s="6"/>
      <c r="H159" s="6"/>
      <c r="I159" s="6"/>
      <c r="J159" s="6"/>
      <c r="K159" s="5"/>
      <c r="L159" s="7"/>
      <c r="M159" s="6"/>
      <c r="N159" s="6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x14ac:dyDescent="0.25" r="160" customHeight="1" ht="12.75">
      <c r="A160" s="3"/>
      <c r="B160" s="5"/>
      <c r="C160" s="7"/>
      <c r="D160" s="6"/>
      <c r="E160" s="6"/>
      <c r="F160" s="7"/>
      <c r="G160" s="6"/>
      <c r="H160" s="6"/>
      <c r="I160" s="6"/>
      <c r="J160" s="6"/>
      <c r="K160" s="5"/>
      <c r="L160" s="7"/>
      <c r="M160" s="6"/>
      <c r="N160" s="6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x14ac:dyDescent="0.25" r="161" customHeight="1" ht="12.75">
      <c r="A161" s="3"/>
      <c r="B161" s="5"/>
      <c r="C161" s="7"/>
      <c r="D161" s="6"/>
      <c r="E161" s="6"/>
      <c r="F161" s="7"/>
      <c r="G161" s="6"/>
      <c r="H161" s="6"/>
      <c r="I161" s="6"/>
      <c r="J161" s="6"/>
      <c r="K161" s="5"/>
      <c r="L161" s="7"/>
      <c r="M161" s="6"/>
      <c r="N161" s="6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x14ac:dyDescent="0.25" r="162" customHeight="1" ht="12.75">
      <c r="A162" s="3"/>
      <c r="B162" s="5"/>
      <c r="C162" s="7"/>
      <c r="D162" s="6"/>
      <c r="E162" s="6"/>
      <c r="F162" s="7"/>
      <c r="G162" s="6"/>
      <c r="H162" s="6"/>
      <c r="I162" s="6"/>
      <c r="J162" s="6"/>
      <c r="K162" s="5"/>
      <c r="L162" s="7"/>
      <c r="M162" s="6"/>
      <c r="N162" s="6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x14ac:dyDescent="0.25" r="163" customHeight="1" ht="12.75">
      <c r="A163" s="3"/>
      <c r="B163" s="5"/>
      <c r="C163" s="7"/>
      <c r="D163" s="6"/>
      <c r="E163" s="6"/>
      <c r="F163" s="7"/>
      <c r="G163" s="6"/>
      <c r="H163" s="6"/>
      <c r="I163" s="6"/>
      <c r="J163" s="6"/>
      <c r="K163" s="5"/>
      <c r="L163" s="7"/>
      <c r="M163" s="6"/>
      <c r="N163" s="6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x14ac:dyDescent="0.25" r="164" customHeight="1" ht="12.75">
      <c r="A164" s="3"/>
      <c r="B164" s="5"/>
      <c r="C164" s="7"/>
      <c r="D164" s="6"/>
      <c r="E164" s="6"/>
      <c r="F164" s="7"/>
      <c r="G164" s="6"/>
      <c r="H164" s="6"/>
      <c r="I164" s="6"/>
      <c r="J164" s="6"/>
      <c r="K164" s="5"/>
      <c r="L164" s="7"/>
      <c r="M164" s="6"/>
      <c r="N164" s="6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x14ac:dyDescent="0.25" r="165" customHeight="1" ht="12.75">
      <c r="A165" s="3"/>
      <c r="B165" s="5"/>
      <c r="C165" s="7"/>
      <c r="D165" s="6"/>
      <c r="E165" s="6"/>
      <c r="F165" s="7"/>
      <c r="G165" s="6"/>
      <c r="H165" s="6"/>
      <c r="I165" s="6"/>
      <c r="J165" s="6"/>
      <c r="K165" s="5"/>
      <c r="L165" s="7"/>
      <c r="M165" s="6"/>
      <c r="N165" s="6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x14ac:dyDescent="0.25" r="166" customHeight="1" ht="12.75">
      <c r="A166" s="3"/>
      <c r="B166" s="5"/>
      <c r="C166" s="7"/>
      <c r="D166" s="6"/>
      <c r="E166" s="6"/>
      <c r="F166" s="7"/>
      <c r="G166" s="6"/>
      <c r="H166" s="6"/>
      <c r="I166" s="6"/>
      <c r="J166" s="6"/>
      <c r="K166" s="5"/>
      <c r="L166" s="7"/>
      <c r="M166" s="6"/>
      <c r="N166" s="6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x14ac:dyDescent="0.25" r="167" customHeight="1" ht="12.75">
      <c r="A167" s="3"/>
      <c r="B167" s="5"/>
      <c r="C167" s="7"/>
      <c r="D167" s="6"/>
      <c r="E167" s="6"/>
      <c r="F167" s="7"/>
      <c r="G167" s="6"/>
      <c r="H167" s="6"/>
      <c r="I167" s="6"/>
      <c r="J167" s="6"/>
      <c r="K167" s="5"/>
      <c r="L167" s="7"/>
      <c r="M167" s="6"/>
      <c r="N167" s="6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x14ac:dyDescent="0.25" r="168" customHeight="1" ht="12.75">
      <c r="A168" s="3"/>
      <c r="B168" s="5"/>
      <c r="C168" s="7"/>
      <c r="D168" s="6"/>
      <c r="E168" s="6"/>
      <c r="F168" s="7"/>
      <c r="G168" s="6"/>
      <c r="H168" s="6"/>
      <c r="I168" s="6"/>
      <c r="J168" s="6"/>
      <c r="K168" s="5"/>
      <c r="L168" s="7"/>
      <c r="M168" s="6"/>
      <c r="N168" s="6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x14ac:dyDescent="0.25" r="169" customHeight="1" ht="12.75">
      <c r="A169" s="3"/>
      <c r="B169" s="5"/>
      <c r="C169" s="7"/>
      <c r="D169" s="6"/>
      <c r="E169" s="6"/>
      <c r="F169" s="7"/>
      <c r="G169" s="6"/>
      <c r="H169" s="6"/>
      <c r="I169" s="6"/>
      <c r="J169" s="6"/>
      <c r="K169" s="5"/>
      <c r="L169" s="7"/>
      <c r="M169" s="6"/>
      <c r="N169" s="6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x14ac:dyDescent="0.25" r="170" customHeight="1" ht="12.75">
      <c r="A170" s="3"/>
      <c r="B170" s="5"/>
      <c r="C170" s="7"/>
      <c r="D170" s="6"/>
      <c r="E170" s="6"/>
      <c r="F170" s="7"/>
      <c r="G170" s="6"/>
      <c r="H170" s="6"/>
      <c r="I170" s="6"/>
      <c r="J170" s="6"/>
      <c r="K170" s="5"/>
      <c r="L170" s="7"/>
      <c r="M170" s="6"/>
      <c r="N170" s="6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x14ac:dyDescent="0.25" r="171" customHeight="1" ht="12.75">
      <c r="A171" s="3"/>
      <c r="B171" s="5"/>
      <c r="C171" s="7"/>
      <c r="D171" s="6"/>
      <c r="E171" s="6"/>
      <c r="F171" s="7"/>
      <c r="G171" s="6"/>
      <c r="H171" s="6"/>
      <c r="I171" s="6"/>
      <c r="J171" s="6"/>
      <c r="K171" s="5"/>
      <c r="L171" s="7"/>
      <c r="M171" s="6"/>
      <c r="N171" s="6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x14ac:dyDescent="0.25" r="172" customHeight="1" ht="12.75">
      <c r="A172" s="3"/>
      <c r="B172" s="5"/>
      <c r="C172" s="7"/>
      <c r="D172" s="6"/>
      <c r="E172" s="6"/>
      <c r="F172" s="7"/>
      <c r="G172" s="6"/>
      <c r="H172" s="6"/>
      <c r="I172" s="6"/>
      <c r="J172" s="6"/>
      <c r="K172" s="5"/>
      <c r="L172" s="7"/>
      <c r="M172" s="6"/>
      <c r="N172" s="6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x14ac:dyDescent="0.25" r="173" customHeight="1" ht="12.75">
      <c r="A173" s="3"/>
      <c r="B173" s="5"/>
      <c r="C173" s="7"/>
      <c r="D173" s="6"/>
      <c r="E173" s="6"/>
      <c r="F173" s="7"/>
      <c r="G173" s="6"/>
      <c r="H173" s="6"/>
      <c r="I173" s="6"/>
      <c r="J173" s="6"/>
      <c r="K173" s="5"/>
      <c r="L173" s="7"/>
      <c r="M173" s="6"/>
      <c r="N173" s="6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x14ac:dyDescent="0.25" r="174" customHeight="1" ht="12.75">
      <c r="A174" s="3"/>
      <c r="B174" s="5"/>
      <c r="C174" s="7"/>
      <c r="D174" s="6"/>
      <c r="E174" s="6"/>
      <c r="F174" s="7"/>
      <c r="G174" s="6"/>
      <c r="H174" s="6"/>
      <c r="I174" s="6"/>
      <c r="J174" s="6"/>
      <c r="K174" s="5"/>
      <c r="L174" s="7"/>
      <c r="M174" s="6"/>
      <c r="N174" s="6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x14ac:dyDescent="0.25" r="175" customHeight="1" ht="12.75">
      <c r="A175" s="3"/>
      <c r="B175" s="5"/>
      <c r="C175" s="7"/>
      <c r="D175" s="6"/>
      <c r="E175" s="6"/>
      <c r="F175" s="7"/>
      <c r="G175" s="6"/>
      <c r="H175" s="6"/>
      <c r="I175" s="6"/>
      <c r="J175" s="6"/>
      <c r="K175" s="5"/>
      <c r="L175" s="7"/>
      <c r="M175" s="6"/>
      <c r="N175" s="6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x14ac:dyDescent="0.25" r="176" customHeight="1" ht="12.75">
      <c r="A176" s="3"/>
      <c r="B176" s="5"/>
      <c r="C176" s="7"/>
      <c r="D176" s="6"/>
      <c r="E176" s="6"/>
      <c r="F176" s="7"/>
      <c r="G176" s="6"/>
      <c r="H176" s="6"/>
      <c r="I176" s="6"/>
      <c r="J176" s="6"/>
      <c r="K176" s="5"/>
      <c r="L176" s="7"/>
      <c r="M176" s="6"/>
      <c r="N176" s="6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x14ac:dyDescent="0.25" r="177" customHeight="1" ht="12.75">
      <c r="A177" s="3"/>
      <c r="B177" s="5"/>
      <c r="C177" s="7"/>
      <c r="D177" s="6"/>
      <c r="E177" s="6"/>
      <c r="F177" s="7"/>
      <c r="G177" s="6"/>
      <c r="H177" s="6"/>
      <c r="I177" s="6"/>
      <c r="J177" s="6"/>
      <c r="K177" s="5"/>
      <c r="L177" s="7"/>
      <c r="M177" s="6"/>
      <c r="N177" s="6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x14ac:dyDescent="0.25" r="178" customHeight="1" ht="12.75">
      <c r="A178" s="3"/>
      <c r="B178" s="5"/>
      <c r="C178" s="7"/>
      <c r="D178" s="6"/>
      <c r="E178" s="6"/>
      <c r="F178" s="7"/>
      <c r="G178" s="6"/>
      <c r="H178" s="6"/>
      <c r="I178" s="6"/>
      <c r="J178" s="6"/>
      <c r="K178" s="5"/>
      <c r="L178" s="7"/>
      <c r="M178" s="6"/>
      <c r="N178" s="6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x14ac:dyDescent="0.25" r="179" customHeight="1" ht="12.75">
      <c r="A179" s="3"/>
      <c r="B179" s="5"/>
      <c r="C179" s="7"/>
      <c r="D179" s="6"/>
      <c r="E179" s="6"/>
      <c r="F179" s="7"/>
      <c r="G179" s="6"/>
      <c r="H179" s="6"/>
      <c r="I179" s="6"/>
      <c r="J179" s="6"/>
      <c r="K179" s="5"/>
      <c r="L179" s="7"/>
      <c r="M179" s="6"/>
      <c r="N179" s="6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x14ac:dyDescent="0.25" r="180" customHeight="1" ht="12.75">
      <c r="A180" s="3"/>
      <c r="B180" s="5"/>
      <c r="C180" s="7"/>
      <c r="D180" s="6"/>
      <c r="E180" s="6"/>
      <c r="F180" s="7"/>
      <c r="G180" s="6"/>
      <c r="H180" s="6"/>
      <c r="I180" s="6"/>
      <c r="J180" s="6"/>
      <c r="K180" s="5"/>
      <c r="L180" s="7"/>
      <c r="M180" s="6"/>
      <c r="N180" s="6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x14ac:dyDescent="0.25" r="181" customHeight="1" ht="12.75">
      <c r="A181" s="3"/>
      <c r="B181" s="5"/>
      <c r="C181" s="7"/>
      <c r="D181" s="6"/>
      <c r="E181" s="6"/>
      <c r="F181" s="7"/>
      <c r="G181" s="6"/>
      <c r="H181" s="6"/>
      <c r="I181" s="6"/>
      <c r="J181" s="6"/>
      <c r="K181" s="5"/>
      <c r="L181" s="7"/>
      <c r="M181" s="6"/>
      <c r="N181" s="6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x14ac:dyDescent="0.25" r="182" customHeight="1" ht="12.75">
      <c r="A182" s="3"/>
      <c r="B182" s="5"/>
      <c r="C182" s="7"/>
      <c r="D182" s="6"/>
      <c r="E182" s="6"/>
      <c r="F182" s="7"/>
      <c r="G182" s="6"/>
      <c r="H182" s="6"/>
      <c r="I182" s="6"/>
      <c r="J182" s="6"/>
      <c r="K182" s="5"/>
      <c r="L182" s="7"/>
      <c r="M182" s="6"/>
      <c r="N182" s="6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x14ac:dyDescent="0.25" r="183" customHeight="1" ht="12.75">
      <c r="A183" s="3"/>
      <c r="B183" s="5"/>
      <c r="C183" s="7"/>
      <c r="D183" s="6"/>
      <c r="E183" s="6"/>
      <c r="F183" s="7"/>
      <c r="G183" s="6"/>
      <c r="H183" s="6"/>
      <c r="I183" s="6"/>
      <c r="J183" s="6"/>
      <c r="K183" s="5"/>
      <c r="L183" s="7"/>
      <c r="M183" s="6"/>
      <c r="N183" s="6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x14ac:dyDescent="0.25" r="184" customHeight="1" ht="12.75">
      <c r="A184" s="3"/>
      <c r="B184" s="5"/>
      <c r="C184" s="7"/>
      <c r="D184" s="6"/>
      <c r="E184" s="6"/>
      <c r="F184" s="7"/>
      <c r="G184" s="6"/>
      <c r="H184" s="6"/>
      <c r="I184" s="6"/>
      <c r="J184" s="6"/>
      <c r="K184" s="5"/>
      <c r="L184" s="7"/>
      <c r="M184" s="6"/>
      <c r="N184" s="6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x14ac:dyDescent="0.25" r="185" customHeight="1" ht="12.75">
      <c r="A185" s="3"/>
      <c r="B185" s="5"/>
      <c r="C185" s="7"/>
      <c r="D185" s="6"/>
      <c r="E185" s="6"/>
      <c r="F185" s="7"/>
      <c r="G185" s="6"/>
      <c r="H185" s="6"/>
      <c r="I185" s="6"/>
      <c r="J185" s="6"/>
      <c r="K185" s="5"/>
      <c r="L185" s="7"/>
      <c r="M185" s="6"/>
      <c r="N185" s="6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x14ac:dyDescent="0.25" r="186" customHeight="1" ht="12.75">
      <c r="A186" s="3"/>
      <c r="B186" s="5"/>
      <c r="C186" s="7"/>
      <c r="D186" s="6"/>
      <c r="E186" s="6"/>
      <c r="F186" s="7"/>
      <c r="G186" s="6"/>
      <c r="H186" s="6"/>
      <c r="I186" s="6"/>
      <c r="J186" s="6"/>
      <c r="K186" s="5"/>
      <c r="L186" s="7"/>
      <c r="M186" s="6"/>
      <c r="N186" s="6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x14ac:dyDescent="0.25" r="187" customHeight="1" ht="12.75">
      <c r="A187" s="3"/>
      <c r="B187" s="5"/>
      <c r="C187" s="7"/>
      <c r="D187" s="6"/>
      <c r="E187" s="6"/>
      <c r="F187" s="7"/>
      <c r="G187" s="6"/>
      <c r="H187" s="6"/>
      <c r="I187" s="6"/>
      <c r="J187" s="6"/>
      <c r="K187" s="5"/>
      <c r="L187" s="7"/>
      <c r="M187" s="6"/>
      <c r="N187" s="6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x14ac:dyDescent="0.25" r="188" customHeight="1" ht="12.75">
      <c r="A188" s="3"/>
      <c r="B188" s="5"/>
      <c r="C188" s="7"/>
      <c r="D188" s="6"/>
      <c r="E188" s="6"/>
      <c r="F188" s="7"/>
      <c r="G188" s="6"/>
      <c r="H188" s="6"/>
      <c r="I188" s="6"/>
      <c r="J188" s="6"/>
      <c r="K188" s="5"/>
      <c r="L188" s="7"/>
      <c r="M188" s="6"/>
      <c r="N188" s="6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x14ac:dyDescent="0.25" r="189" customHeight="1" ht="12.75">
      <c r="A189" s="3"/>
      <c r="B189" s="5"/>
      <c r="C189" s="7"/>
      <c r="D189" s="6"/>
      <c r="E189" s="6"/>
      <c r="F189" s="7"/>
      <c r="G189" s="6"/>
      <c r="H189" s="6"/>
      <c r="I189" s="6"/>
      <c r="J189" s="6"/>
      <c r="K189" s="5"/>
      <c r="L189" s="7"/>
      <c r="M189" s="6"/>
      <c r="N189" s="6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x14ac:dyDescent="0.25" r="190" customHeight="1" ht="12.75">
      <c r="A190" s="3"/>
      <c r="B190" s="5"/>
      <c r="C190" s="7"/>
      <c r="D190" s="6"/>
      <c r="E190" s="6"/>
      <c r="F190" s="7"/>
      <c r="G190" s="6"/>
      <c r="H190" s="6"/>
      <c r="I190" s="6"/>
      <c r="J190" s="6"/>
      <c r="K190" s="5"/>
      <c r="L190" s="7"/>
      <c r="M190" s="6"/>
      <c r="N190" s="6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x14ac:dyDescent="0.25" r="191" customHeight="1" ht="12.75">
      <c r="A191" s="3"/>
      <c r="B191" s="5"/>
      <c r="C191" s="7"/>
      <c r="D191" s="6"/>
      <c r="E191" s="6"/>
      <c r="F191" s="7"/>
      <c r="G191" s="6"/>
      <c r="H191" s="6"/>
      <c r="I191" s="6"/>
      <c r="J191" s="6"/>
      <c r="K191" s="5"/>
      <c r="L191" s="7"/>
      <c r="M191" s="6"/>
      <c r="N191" s="6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x14ac:dyDescent="0.25" r="192" customHeight="1" ht="12.75">
      <c r="A192" s="3"/>
      <c r="B192" s="5"/>
      <c r="C192" s="7"/>
      <c r="D192" s="6"/>
      <c r="E192" s="6"/>
      <c r="F192" s="7"/>
      <c r="G192" s="6"/>
      <c r="H192" s="6"/>
      <c r="I192" s="6"/>
      <c r="J192" s="6"/>
      <c r="K192" s="5"/>
      <c r="L192" s="7"/>
      <c r="M192" s="6"/>
      <c r="N192" s="6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x14ac:dyDescent="0.25" r="193" customHeight="1" ht="12.75">
      <c r="A193" s="3"/>
      <c r="B193" s="5"/>
      <c r="C193" s="7"/>
      <c r="D193" s="6"/>
      <c r="E193" s="6"/>
      <c r="F193" s="7"/>
      <c r="G193" s="6"/>
      <c r="H193" s="6"/>
      <c r="I193" s="6"/>
      <c r="J193" s="6"/>
      <c r="K193" s="5"/>
      <c r="L193" s="7"/>
      <c r="M193" s="6"/>
      <c r="N193" s="6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x14ac:dyDescent="0.25" r="194" customHeight="1" ht="12.75">
      <c r="A194" s="3"/>
      <c r="B194" s="5"/>
      <c r="C194" s="7"/>
      <c r="D194" s="6"/>
      <c r="E194" s="6"/>
      <c r="F194" s="7"/>
      <c r="G194" s="6"/>
      <c r="H194" s="6"/>
      <c r="I194" s="6"/>
      <c r="J194" s="6"/>
      <c r="K194" s="5"/>
      <c r="L194" s="7"/>
      <c r="M194" s="6"/>
      <c r="N194" s="6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x14ac:dyDescent="0.25" r="195" customHeight="1" ht="12.75">
      <c r="A195" s="3"/>
      <c r="B195" s="5"/>
      <c r="C195" s="7"/>
      <c r="D195" s="6"/>
      <c r="E195" s="6"/>
      <c r="F195" s="7"/>
      <c r="G195" s="6"/>
      <c r="H195" s="6"/>
      <c r="I195" s="6"/>
      <c r="J195" s="6"/>
      <c r="K195" s="5"/>
      <c r="L195" s="7"/>
      <c r="M195" s="6"/>
      <c r="N195" s="6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x14ac:dyDescent="0.25" r="196" customHeight="1" ht="12.75">
      <c r="A196" s="3"/>
      <c r="B196" s="5"/>
      <c r="C196" s="7"/>
      <c r="D196" s="6"/>
      <c r="E196" s="6"/>
      <c r="F196" s="7"/>
      <c r="G196" s="6"/>
      <c r="H196" s="6"/>
      <c r="I196" s="6"/>
      <c r="J196" s="6"/>
      <c r="K196" s="5"/>
      <c r="L196" s="7"/>
      <c r="M196" s="6"/>
      <c r="N196" s="6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x14ac:dyDescent="0.25" r="197" customHeight="1" ht="12.75">
      <c r="A197" s="3"/>
      <c r="B197" s="5"/>
      <c r="C197" s="7"/>
      <c r="D197" s="6"/>
      <c r="E197" s="6"/>
      <c r="F197" s="7"/>
      <c r="G197" s="6"/>
      <c r="H197" s="6"/>
      <c r="I197" s="6"/>
      <c r="J197" s="6"/>
      <c r="K197" s="5"/>
      <c r="L197" s="7"/>
      <c r="M197" s="6"/>
      <c r="N197" s="6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x14ac:dyDescent="0.25" r="198" customHeight="1" ht="12.75">
      <c r="A198" s="3"/>
      <c r="B198" s="5"/>
      <c r="C198" s="7"/>
      <c r="D198" s="6"/>
      <c r="E198" s="6"/>
      <c r="F198" s="7"/>
      <c r="G198" s="6"/>
      <c r="H198" s="6"/>
      <c r="I198" s="6"/>
      <c r="J198" s="6"/>
      <c r="K198" s="5"/>
      <c r="L198" s="7"/>
      <c r="M198" s="6"/>
      <c r="N198" s="6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x14ac:dyDescent="0.25" r="199" customHeight="1" ht="12.75">
      <c r="A199" s="3"/>
      <c r="B199" s="5"/>
      <c r="C199" s="7"/>
      <c r="D199" s="6"/>
      <c r="E199" s="6"/>
      <c r="F199" s="7"/>
      <c r="G199" s="6"/>
      <c r="H199" s="6"/>
      <c r="I199" s="6"/>
      <c r="J199" s="6"/>
      <c r="K199" s="5"/>
      <c r="L199" s="7"/>
      <c r="M199" s="6"/>
      <c r="N199" s="6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x14ac:dyDescent="0.25" r="200" customHeight="1" ht="12.75">
      <c r="A200" s="3"/>
      <c r="B200" s="5"/>
      <c r="C200" s="7"/>
      <c r="D200" s="6"/>
      <c r="E200" s="6"/>
      <c r="F200" s="7"/>
      <c r="G200" s="6"/>
      <c r="H200" s="6"/>
      <c r="I200" s="6"/>
      <c r="J200" s="6"/>
      <c r="K200" s="5"/>
      <c r="L200" s="7"/>
      <c r="M200" s="6"/>
      <c r="N200" s="6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x14ac:dyDescent="0.25" r="201" customHeight="1" ht="12.75">
      <c r="A201" s="3"/>
      <c r="B201" s="5"/>
      <c r="C201" s="7"/>
      <c r="D201" s="6"/>
      <c r="E201" s="6"/>
      <c r="F201" s="7"/>
      <c r="G201" s="6"/>
      <c r="H201" s="6"/>
      <c r="I201" s="6"/>
      <c r="J201" s="6"/>
      <c r="K201" s="5"/>
      <c r="L201" s="7"/>
      <c r="M201" s="6"/>
      <c r="N201" s="6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x14ac:dyDescent="0.25" r="202" customHeight="1" ht="12.75">
      <c r="A202" s="3"/>
      <c r="B202" s="5"/>
      <c r="C202" s="7"/>
      <c r="D202" s="6"/>
      <c r="E202" s="6"/>
      <c r="F202" s="7"/>
      <c r="G202" s="6"/>
      <c r="H202" s="6"/>
      <c r="I202" s="6"/>
      <c r="J202" s="6"/>
      <c r="K202" s="5"/>
      <c r="L202" s="7"/>
      <c r="M202" s="6"/>
      <c r="N202" s="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x14ac:dyDescent="0.25" r="203" customHeight="1" ht="12.75">
      <c r="A203" s="3"/>
      <c r="B203" s="5"/>
      <c r="C203" s="7"/>
      <c r="D203" s="6"/>
      <c r="E203" s="6"/>
      <c r="F203" s="7"/>
      <c r="G203" s="6"/>
      <c r="H203" s="6"/>
      <c r="I203" s="6"/>
      <c r="J203" s="6"/>
      <c r="K203" s="5"/>
      <c r="L203" s="7"/>
      <c r="M203" s="6"/>
      <c r="N203" s="6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x14ac:dyDescent="0.25" r="204" customHeight="1" ht="12.75">
      <c r="A204" s="3"/>
      <c r="B204" s="5"/>
      <c r="C204" s="7"/>
      <c r="D204" s="6"/>
      <c r="E204" s="6"/>
      <c r="F204" s="7"/>
      <c r="G204" s="6"/>
      <c r="H204" s="6"/>
      <c r="I204" s="6"/>
      <c r="J204" s="6"/>
      <c r="K204" s="5"/>
      <c r="L204" s="7"/>
      <c r="M204" s="6"/>
      <c r="N204" s="6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x14ac:dyDescent="0.25" r="205" customHeight="1" ht="12.75">
      <c r="A205" s="3"/>
      <c r="B205" s="5"/>
      <c r="C205" s="7"/>
      <c r="D205" s="6"/>
      <c r="E205" s="6"/>
      <c r="F205" s="7"/>
      <c r="G205" s="6"/>
      <c r="H205" s="6"/>
      <c r="I205" s="6"/>
      <c r="J205" s="6"/>
      <c r="K205" s="5"/>
      <c r="L205" s="7"/>
      <c r="M205" s="6"/>
      <c r="N205" s="6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x14ac:dyDescent="0.25" r="206" customHeight="1" ht="12.75">
      <c r="A206" s="3"/>
      <c r="B206" s="5"/>
      <c r="C206" s="7"/>
      <c r="D206" s="6"/>
      <c r="E206" s="6"/>
      <c r="F206" s="7"/>
      <c r="G206" s="6"/>
      <c r="H206" s="6"/>
      <c r="I206" s="6"/>
      <c r="J206" s="6"/>
      <c r="K206" s="5"/>
      <c r="L206" s="7"/>
      <c r="M206" s="6"/>
      <c r="N206" s="6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x14ac:dyDescent="0.25" r="207" customHeight="1" ht="12.75">
      <c r="A207" s="3"/>
      <c r="B207" s="5"/>
      <c r="C207" s="7"/>
      <c r="D207" s="6"/>
      <c r="E207" s="6"/>
      <c r="F207" s="7"/>
      <c r="G207" s="6"/>
      <c r="H207" s="6"/>
      <c r="I207" s="6"/>
      <c r="J207" s="6"/>
      <c r="K207" s="5"/>
      <c r="L207" s="7"/>
      <c r="M207" s="6"/>
      <c r="N207" s="6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x14ac:dyDescent="0.25" r="208" customHeight="1" ht="12.75">
      <c r="A208" s="3"/>
      <c r="B208" s="5"/>
      <c r="C208" s="7"/>
      <c r="D208" s="6"/>
      <c r="E208" s="6"/>
      <c r="F208" s="7"/>
      <c r="G208" s="6"/>
      <c r="H208" s="6"/>
      <c r="I208" s="6"/>
      <c r="J208" s="6"/>
      <c r="K208" s="5"/>
      <c r="L208" s="7"/>
      <c r="M208" s="6"/>
      <c r="N208" s="6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x14ac:dyDescent="0.25" r="209" customHeight="1" ht="12.75">
      <c r="A209" s="3"/>
      <c r="B209" s="5"/>
      <c r="C209" s="7"/>
      <c r="D209" s="6"/>
      <c r="E209" s="6"/>
      <c r="F209" s="7"/>
      <c r="G209" s="6"/>
      <c r="H209" s="6"/>
      <c r="I209" s="6"/>
      <c r="J209" s="6"/>
      <c r="K209" s="5"/>
      <c r="L209" s="7"/>
      <c r="M209" s="6"/>
      <c r="N209" s="6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x14ac:dyDescent="0.25" r="210" customHeight="1" ht="12.75">
      <c r="A210" s="3"/>
      <c r="B210" s="5"/>
      <c r="C210" s="7"/>
      <c r="D210" s="6"/>
      <c r="E210" s="6"/>
      <c r="F210" s="7"/>
      <c r="G210" s="6"/>
      <c r="H210" s="6"/>
      <c r="I210" s="6"/>
      <c r="J210" s="6"/>
      <c r="K210" s="5"/>
      <c r="L210" s="7"/>
      <c r="M210" s="6"/>
      <c r="N210" s="6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x14ac:dyDescent="0.25" r="211" customHeight="1" ht="12.75">
      <c r="A211" s="3"/>
      <c r="B211" s="5"/>
      <c r="C211" s="7"/>
      <c r="D211" s="6"/>
      <c r="E211" s="6"/>
      <c r="F211" s="7"/>
      <c r="G211" s="6"/>
      <c r="H211" s="6"/>
      <c r="I211" s="6"/>
      <c r="J211" s="6"/>
      <c r="K211" s="5"/>
      <c r="L211" s="7"/>
      <c r="M211" s="6"/>
      <c r="N211" s="6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x14ac:dyDescent="0.25" r="212" customHeight="1" ht="12.75">
      <c r="A212" s="3"/>
      <c r="B212" s="5"/>
      <c r="C212" s="7"/>
      <c r="D212" s="6"/>
      <c r="E212" s="6"/>
      <c r="F212" s="7"/>
      <c r="G212" s="6"/>
      <c r="H212" s="6"/>
      <c r="I212" s="6"/>
      <c r="J212" s="6"/>
      <c r="K212" s="5"/>
      <c r="L212" s="7"/>
      <c r="M212" s="6"/>
      <c r="N212" s="6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x14ac:dyDescent="0.25" r="213" customHeight="1" ht="12.75">
      <c r="A213" s="3"/>
      <c r="B213" s="5"/>
      <c r="C213" s="7"/>
      <c r="D213" s="6"/>
      <c r="E213" s="6"/>
      <c r="F213" s="7"/>
      <c r="G213" s="6"/>
      <c r="H213" s="6"/>
      <c r="I213" s="6"/>
      <c r="J213" s="6"/>
      <c r="K213" s="5"/>
      <c r="L213" s="7"/>
      <c r="M213" s="6"/>
      <c r="N213" s="6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x14ac:dyDescent="0.25" r="214" customHeight="1" ht="12.75">
      <c r="A214" s="3"/>
      <c r="B214" s="5"/>
      <c r="C214" s="7"/>
      <c r="D214" s="6"/>
      <c r="E214" s="6"/>
      <c r="F214" s="7"/>
      <c r="G214" s="6"/>
      <c r="H214" s="6"/>
      <c r="I214" s="6"/>
      <c r="J214" s="6"/>
      <c r="K214" s="5"/>
      <c r="L214" s="7"/>
      <c r="M214" s="6"/>
      <c r="N214" s="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x14ac:dyDescent="0.25" r="215" customHeight="1" ht="12.75">
      <c r="A215" s="3"/>
      <c r="B215" s="5"/>
      <c r="C215" s="7"/>
      <c r="D215" s="6"/>
      <c r="E215" s="6"/>
      <c r="F215" s="7"/>
      <c r="G215" s="6"/>
      <c r="H215" s="6"/>
      <c r="I215" s="6"/>
      <c r="J215" s="6"/>
      <c r="K215" s="5"/>
      <c r="L215" s="7"/>
      <c r="M215" s="6"/>
      <c r="N215" s="6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x14ac:dyDescent="0.25" r="216" customHeight="1" ht="12.75">
      <c r="A216" s="3"/>
      <c r="B216" s="5"/>
      <c r="C216" s="7"/>
      <c r="D216" s="6"/>
      <c r="E216" s="6"/>
      <c r="F216" s="7"/>
      <c r="G216" s="6"/>
      <c r="H216" s="6"/>
      <c r="I216" s="6"/>
      <c r="J216" s="6"/>
      <c r="K216" s="5"/>
      <c r="L216" s="7"/>
      <c r="M216" s="6"/>
      <c r="N216" s="6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x14ac:dyDescent="0.25" r="217" customHeight="1" ht="12.75">
      <c r="A217" s="3"/>
      <c r="B217" s="5"/>
      <c r="C217" s="7"/>
      <c r="D217" s="6"/>
      <c r="E217" s="6"/>
      <c r="F217" s="7"/>
      <c r="G217" s="6"/>
      <c r="H217" s="6"/>
      <c r="I217" s="6"/>
      <c r="J217" s="6"/>
      <c r="K217" s="5"/>
      <c r="L217" s="7"/>
      <c r="M217" s="6"/>
      <c r="N217" s="6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x14ac:dyDescent="0.25" r="218" customHeight="1" ht="12.75">
      <c r="A218" s="3"/>
      <c r="B218" s="5"/>
      <c r="C218" s="7"/>
      <c r="D218" s="6"/>
      <c r="E218" s="6"/>
      <c r="F218" s="7"/>
      <c r="G218" s="6"/>
      <c r="H218" s="6"/>
      <c r="I218" s="6"/>
      <c r="J218" s="6"/>
      <c r="K218" s="5"/>
      <c r="L218" s="7"/>
      <c r="M218" s="6"/>
      <c r="N218" s="6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x14ac:dyDescent="0.25" r="219" customHeight="1" ht="12.75">
      <c r="A219" s="3"/>
      <c r="B219" s="5"/>
      <c r="C219" s="7"/>
      <c r="D219" s="6"/>
      <c r="E219" s="6"/>
      <c r="F219" s="7"/>
      <c r="G219" s="6"/>
      <c r="H219" s="6"/>
      <c r="I219" s="6"/>
      <c r="J219" s="6"/>
      <c r="K219" s="5"/>
      <c r="L219" s="7"/>
      <c r="M219" s="6"/>
      <c r="N219" s="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x14ac:dyDescent="0.25" r="220" customHeight="1" ht="12.75">
      <c r="A220" s="3"/>
      <c r="B220" s="5"/>
      <c r="C220" s="7"/>
      <c r="D220" s="6"/>
      <c r="E220" s="6"/>
      <c r="F220" s="7"/>
      <c r="G220" s="6"/>
      <c r="H220" s="6"/>
      <c r="I220" s="6"/>
      <c r="J220" s="6"/>
      <c r="K220" s="5"/>
      <c r="L220" s="7"/>
      <c r="M220" s="6"/>
      <c r="N220" s="6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x14ac:dyDescent="0.25" r="221" customHeight="1" ht="12.75">
      <c r="A221" s="3"/>
      <c r="B221" s="5"/>
      <c r="C221" s="7"/>
      <c r="D221" s="6"/>
      <c r="E221" s="6"/>
      <c r="F221" s="7"/>
      <c r="G221" s="6"/>
      <c r="H221" s="6"/>
      <c r="I221" s="6"/>
      <c r="J221" s="6"/>
      <c r="K221" s="5"/>
      <c r="L221" s="7"/>
      <c r="M221" s="6"/>
      <c r="N221" s="6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x14ac:dyDescent="0.25" r="222" customHeight="1" ht="12.75">
      <c r="A222" s="3"/>
      <c r="B222" s="5"/>
      <c r="C222" s="7"/>
      <c r="D222" s="6"/>
      <c r="E222" s="6"/>
      <c r="F222" s="7"/>
      <c r="G222" s="6"/>
      <c r="H222" s="6"/>
      <c r="I222" s="6"/>
      <c r="J222" s="6"/>
      <c r="K222" s="5"/>
      <c r="L222" s="7"/>
      <c r="M222" s="6"/>
      <c r="N222" s="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x14ac:dyDescent="0.25" r="223" customHeight="1" ht="12.75">
      <c r="A223" s="3"/>
      <c r="B223" s="5"/>
      <c r="C223" s="7"/>
      <c r="D223" s="6"/>
      <c r="E223" s="6"/>
      <c r="F223" s="7"/>
      <c r="G223" s="6"/>
      <c r="H223" s="6"/>
      <c r="I223" s="6"/>
      <c r="J223" s="6"/>
      <c r="K223" s="5"/>
      <c r="L223" s="7"/>
      <c r="M223" s="6"/>
      <c r="N223" s="6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x14ac:dyDescent="0.25" r="224" customHeight="1" ht="12.75">
      <c r="A224" s="3"/>
      <c r="B224" s="5"/>
      <c r="C224" s="7"/>
      <c r="D224" s="6"/>
      <c r="E224" s="6"/>
      <c r="F224" s="7"/>
      <c r="G224" s="6"/>
      <c r="H224" s="6"/>
      <c r="I224" s="6"/>
      <c r="J224" s="6"/>
      <c r="K224" s="5"/>
      <c r="L224" s="7"/>
      <c r="M224" s="6"/>
      <c r="N224" s="6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x14ac:dyDescent="0.25" r="225" customHeight="1" ht="12.75">
      <c r="A225" s="3"/>
      <c r="B225" s="5"/>
      <c r="C225" s="7"/>
      <c r="D225" s="6"/>
      <c r="E225" s="6"/>
      <c r="F225" s="7"/>
      <c r="G225" s="6"/>
      <c r="H225" s="6"/>
      <c r="I225" s="6"/>
      <c r="J225" s="6"/>
      <c r="K225" s="5"/>
      <c r="L225" s="7"/>
      <c r="M225" s="6"/>
      <c r="N225" s="6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x14ac:dyDescent="0.25" r="226" customHeight="1" ht="12.75">
      <c r="A226" s="3"/>
      <c r="B226" s="5"/>
      <c r="C226" s="7"/>
      <c r="D226" s="6"/>
      <c r="E226" s="6"/>
      <c r="F226" s="7"/>
      <c r="G226" s="6"/>
      <c r="H226" s="6"/>
      <c r="I226" s="6"/>
      <c r="J226" s="6"/>
      <c r="K226" s="5"/>
      <c r="L226" s="7"/>
      <c r="M226" s="6"/>
      <c r="N226" s="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x14ac:dyDescent="0.25" r="227" customHeight="1" ht="12.75">
      <c r="A227" s="3"/>
      <c r="B227" s="5"/>
      <c r="C227" s="7"/>
      <c r="D227" s="6"/>
      <c r="E227" s="6"/>
      <c r="F227" s="7"/>
      <c r="G227" s="6"/>
      <c r="H227" s="6"/>
      <c r="I227" s="6"/>
      <c r="J227" s="6"/>
      <c r="K227" s="5"/>
      <c r="L227" s="7"/>
      <c r="M227" s="6"/>
      <c r="N227" s="6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x14ac:dyDescent="0.25" r="228" customHeight="1" ht="12.75">
      <c r="A228" s="3"/>
      <c r="B228" s="5"/>
      <c r="C228" s="7"/>
      <c r="D228" s="6"/>
      <c r="E228" s="6"/>
      <c r="F228" s="7"/>
      <c r="G228" s="6"/>
      <c r="H228" s="6"/>
      <c r="I228" s="6"/>
      <c r="J228" s="6"/>
      <c r="K228" s="5"/>
      <c r="L228" s="7"/>
      <c r="M228" s="6"/>
      <c r="N228" s="6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x14ac:dyDescent="0.25" r="229" customHeight="1" ht="12.75">
      <c r="A229" s="3"/>
      <c r="B229" s="5"/>
      <c r="C229" s="7"/>
      <c r="D229" s="6"/>
      <c r="E229" s="6"/>
      <c r="F229" s="7"/>
      <c r="G229" s="6"/>
      <c r="H229" s="6"/>
      <c r="I229" s="6"/>
      <c r="J229" s="6"/>
      <c r="K229" s="5"/>
      <c r="L229" s="7"/>
      <c r="M229" s="6"/>
      <c r="N229" s="6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x14ac:dyDescent="0.25" r="230" customHeight="1" ht="12.75">
      <c r="A230" s="3"/>
      <c r="B230" s="5"/>
      <c r="C230" s="7"/>
      <c r="D230" s="6"/>
      <c r="E230" s="6"/>
      <c r="F230" s="7"/>
      <c r="G230" s="6"/>
      <c r="H230" s="6"/>
      <c r="I230" s="6"/>
      <c r="J230" s="6"/>
      <c r="K230" s="5"/>
      <c r="L230" s="7"/>
      <c r="M230" s="6"/>
      <c r="N230" s="6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x14ac:dyDescent="0.25" r="231" customHeight="1" ht="12.75">
      <c r="A231" s="3"/>
      <c r="B231" s="5"/>
      <c r="C231" s="7"/>
      <c r="D231" s="6"/>
      <c r="E231" s="6"/>
      <c r="F231" s="7"/>
      <c r="G231" s="6"/>
      <c r="H231" s="6"/>
      <c r="I231" s="6"/>
      <c r="J231" s="6"/>
      <c r="K231" s="5"/>
      <c r="L231" s="7"/>
      <c r="M231" s="6"/>
      <c r="N231" s="6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x14ac:dyDescent="0.25" r="232" customHeight="1" ht="12.75">
      <c r="A232" s="3"/>
      <c r="B232" s="5"/>
      <c r="C232" s="7"/>
      <c r="D232" s="6"/>
      <c r="E232" s="6"/>
      <c r="F232" s="7"/>
      <c r="G232" s="6"/>
      <c r="H232" s="6"/>
      <c r="I232" s="6"/>
      <c r="J232" s="6"/>
      <c r="K232" s="5"/>
      <c r="L232" s="7"/>
      <c r="M232" s="6"/>
      <c r="N232" s="6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x14ac:dyDescent="0.25" r="233" customHeight="1" ht="12.75">
      <c r="A233" s="3"/>
      <c r="B233" s="5"/>
      <c r="C233" s="7"/>
      <c r="D233" s="6"/>
      <c r="E233" s="6"/>
      <c r="F233" s="7"/>
      <c r="G233" s="6"/>
      <c r="H233" s="6"/>
      <c r="I233" s="6"/>
      <c r="J233" s="6"/>
      <c r="K233" s="5"/>
      <c r="L233" s="7"/>
      <c r="M233" s="6"/>
      <c r="N233" s="6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x14ac:dyDescent="0.25" r="234" customHeight="1" ht="12.75">
      <c r="A234" s="3"/>
      <c r="B234" s="5"/>
      <c r="C234" s="7"/>
      <c r="D234" s="6"/>
      <c r="E234" s="6"/>
      <c r="F234" s="7"/>
      <c r="G234" s="6"/>
      <c r="H234" s="6"/>
      <c r="I234" s="6"/>
      <c r="J234" s="6"/>
      <c r="K234" s="5"/>
      <c r="L234" s="7"/>
      <c r="M234" s="6"/>
      <c r="N234" s="6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x14ac:dyDescent="0.25" r="235" customHeight="1" ht="12.75">
      <c r="A235" s="3"/>
      <c r="B235" s="5"/>
      <c r="C235" s="7"/>
      <c r="D235" s="6"/>
      <c r="E235" s="6"/>
      <c r="F235" s="7"/>
      <c r="G235" s="6"/>
      <c r="H235" s="6"/>
      <c r="I235" s="6"/>
      <c r="J235" s="6"/>
      <c r="K235" s="5"/>
      <c r="L235" s="7"/>
      <c r="M235" s="6"/>
      <c r="N235" s="6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x14ac:dyDescent="0.25" r="236" customHeight="1" ht="12.75">
      <c r="A236" s="3"/>
      <c r="B236" s="5"/>
      <c r="C236" s="7"/>
      <c r="D236" s="6"/>
      <c r="E236" s="6"/>
      <c r="F236" s="7"/>
      <c r="G236" s="6"/>
      <c r="H236" s="6"/>
      <c r="I236" s="6"/>
      <c r="J236" s="6"/>
      <c r="K236" s="5"/>
      <c r="L236" s="7"/>
      <c r="M236" s="6"/>
      <c r="N236" s="6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x14ac:dyDescent="0.25" r="237" customHeight="1" ht="12.75">
      <c r="A237" s="3"/>
      <c r="B237" s="5"/>
      <c r="C237" s="7"/>
      <c r="D237" s="6"/>
      <c r="E237" s="6"/>
      <c r="F237" s="7"/>
      <c r="G237" s="6"/>
      <c r="H237" s="6"/>
      <c r="I237" s="6"/>
      <c r="J237" s="6"/>
      <c r="K237" s="5"/>
      <c r="L237" s="7"/>
      <c r="M237" s="6"/>
      <c r="N237" s="6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x14ac:dyDescent="0.25" r="238" customHeight="1" ht="12.75">
      <c r="A238" s="3"/>
      <c r="B238" s="5"/>
      <c r="C238" s="7"/>
      <c r="D238" s="6"/>
      <c r="E238" s="6"/>
      <c r="F238" s="7"/>
      <c r="G238" s="6"/>
      <c r="H238" s="6"/>
      <c r="I238" s="6"/>
      <c r="J238" s="6"/>
      <c r="K238" s="5"/>
      <c r="L238" s="7"/>
      <c r="M238" s="6"/>
      <c r="N238" s="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x14ac:dyDescent="0.25" r="239" customHeight="1" ht="12.75">
      <c r="A239" s="3"/>
      <c r="B239" s="5"/>
      <c r="C239" s="7"/>
      <c r="D239" s="6"/>
      <c r="E239" s="6"/>
      <c r="F239" s="7"/>
      <c r="G239" s="6"/>
      <c r="H239" s="6"/>
      <c r="I239" s="6"/>
      <c r="J239" s="6"/>
      <c r="K239" s="5"/>
      <c r="L239" s="7"/>
      <c r="M239" s="6"/>
      <c r="N239" s="6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x14ac:dyDescent="0.25" r="240" customHeight="1" ht="12.75">
      <c r="A240" s="3"/>
      <c r="B240" s="5"/>
      <c r="C240" s="7"/>
      <c r="D240" s="6"/>
      <c r="E240" s="6"/>
      <c r="F240" s="7"/>
      <c r="G240" s="6"/>
      <c r="H240" s="6"/>
      <c r="I240" s="6"/>
      <c r="J240" s="6"/>
      <c r="K240" s="5"/>
      <c r="L240" s="7"/>
      <c r="M240" s="6"/>
      <c r="N240" s="6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x14ac:dyDescent="0.25" r="241" customHeight="1" ht="12.75">
      <c r="A241" s="3"/>
      <c r="B241" s="5"/>
      <c r="C241" s="7"/>
      <c r="D241" s="6"/>
      <c r="E241" s="6"/>
      <c r="F241" s="7"/>
      <c r="G241" s="6"/>
      <c r="H241" s="6"/>
      <c r="I241" s="6"/>
      <c r="J241" s="6"/>
      <c r="K241" s="5"/>
      <c r="L241" s="7"/>
      <c r="M241" s="6"/>
      <c r="N241" s="6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x14ac:dyDescent="0.25" r="242" customHeight="1" ht="12.75">
      <c r="A242" s="3"/>
      <c r="B242" s="5"/>
      <c r="C242" s="7"/>
      <c r="D242" s="6"/>
      <c r="E242" s="6"/>
      <c r="F242" s="7"/>
      <c r="G242" s="6"/>
      <c r="H242" s="6"/>
      <c r="I242" s="6"/>
      <c r="J242" s="6"/>
      <c r="K242" s="5"/>
      <c r="L242" s="7"/>
      <c r="M242" s="6"/>
      <c r="N242" s="6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x14ac:dyDescent="0.25" r="243" customHeight="1" ht="12.75">
      <c r="A243" s="3"/>
      <c r="B243" s="5"/>
      <c r="C243" s="7"/>
      <c r="D243" s="6"/>
      <c r="E243" s="6"/>
      <c r="F243" s="7"/>
      <c r="G243" s="6"/>
      <c r="H243" s="6"/>
      <c r="I243" s="6"/>
      <c r="J243" s="6"/>
      <c r="K243" s="5"/>
      <c r="L243" s="7"/>
      <c r="M243" s="6"/>
      <c r="N243" s="6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x14ac:dyDescent="0.25" r="244" customHeight="1" ht="12.75">
      <c r="A244" s="3"/>
      <c r="B244" s="5"/>
      <c r="C244" s="7"/>
      <c r="D244" s="6"/>
      <c r="E244" s="6"/>
      <c r="F244" s="7"/>
      <c r="G244" s="6"/>
      <c r="H244" s="6"/>
      <c r="I244" s="6"/>
      <c r="J244" s="6"/>
      <c r="K244" s="5"/>
      <c r="L244" s="7"/>
      <c r="M244" s="6"/>
      <c r="N244" s="6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x14ac:dyDescent="0.25" r="245" customHeight="1" ht="12.75">
      <c r="A245" s="3"/>
      <c r="B245" s="5"/>
      <c r="C245" s="7"/>
      <c r="D245" s="6"/>
      <c r="E245" s="6"/>
      <c r="F245" s="7"/>
      <c r="G245" s="6"/>
      <c r="H245" s="6"/>
      <c r="I245" s="6"/>
      <c r="J245" s="6"/>
      <c r="K245" s="5"/>
      <c r="L245" s="7"/>
      <c r="M245" s="6"/>
      <c r="N245" s="6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x14ac:dyDescent="0.25" r="246" customHeight="1" ht="12.75">
      <c r="A246" s="3"/>
      <c r="B246" s="5"/>
      <c r="C246" s="7"/>
      <c r="D246" s="6"/>
      <c r="E246" s="6"/>
      <c r="F246" s="7"/>
      <c r="G246" s="6"/>
      <c r="H246" s="6"/>
      <c r="I246" s="6"/>
      <c r="J246" s="6"/>
      <c r="K246" s="5"/>
      <c r="L246" s="7"/>
      <c r="M246" s="6"/>
      <c r="N246" s="6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x14ac:dyDescent="0.25" r="247" customHeight="1" ht="12.75">
      <c r="A247" s="3"/>
      <c r="B247" s="5"/>
      <c r="C247" s="7"/>
      <c r="D247" s="6"/>
      <c r="E247" s="6"/>
      <c r="F247" s="7"/>
      <c r="G247" s="6"/>
      <c r="H247" s="6"/>
      <c r="I247" s="6"/>
      <c r="J247" s="6"/>
      <c r="K247" s="5"/>
      <c r="L247" s="7"/>
      <c r="M247" s="6"/>
      <c r="N247" s="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x14ac:dyDescent="0.25" r="248" customHeight="1" ht="12.75">
      <c r="A248" s="3"/>
      <c r="B248" s="5"/>
      <c r="C248" s="7"/>
      <c r="D248" s="6"/>
      <c r="E248" s="6"/>
      <c r="F248" s="7"/>
      <c r="G248" s="6"/>
      <c r="H248" s="6"/>
      <c r="I248" s="6"/>
      <c r="J248" s="6"/>
      <c r="K248" s="5"/>
      <c r="L248" s="7"/>
      <c r="M248" s="6"/>
      <c r="N248" s="6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x14ac:dyDescent="0.25" r="249" customHeight="1" ht="12.75">
      <c r="A249" s="3"/>
      <c r="B249" s="5"/>
      <c r="C249" s="7"/>
      <c r="D249" s="6"/>
      <c r="E249" s="6"/>
      <c r="F249" s="7"/>
      <c r="G249" s="6"/>
      <c r="H249" s="6"/>
      <c r="I249" s="6"/>
      <c r="J249" s="6"/>
      <c r="K249" s="5"/>
      <c r="L249" s="7"/>
      <c r="M249" s="6"/>
      <c r="N249" s="6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x14ac:dyDescent="0.25" r="250" customHeight="1" ht="12.75">
      <c r="A250" s="3"/>
      <c r="B250" s="5"/>
      <c r="C250" s="7"/>
      <c r="D250" s="6"/>
      <c r="E250" s="6"/>
      <c r="F250" s="7"/>
      <c r="G250" s="6"/>
      <c r="H250" s="6"/>
      <c r="I250" s="6"/>
      <c r="J250" s="6"/>
      <c r="K250" s="5"/>
      <c r="L250" s="7"/>
      <c r="M250" s="6"/>
      <c r="N250" s="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x14ac:dyDescent="0.25" r="251" customHeight="1" ht="12.75">
      <c r="A251" s="3"/>
      <c r="B251" s="5"/>
      <c r="C251" s="7"/>
      <c r="D251" s="6"/>
      <c r="E251" s="6"/>
      <c r="F251" s="7"/>
      <c r="G251" s="6"/>
      <c r="H251" s="6"/>
      <c r="I251" s="6"/>
      <c r="J251" s="6"/>
      <c r="K251" s="5"/>
      <c r="L251" s="7"/>
      <c r="M251" s="6"/>
      <c r="N251" s="6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x14ac:dyDescent="0.25" r="252" customHeight="1" ht="12.75">
      <c r="A252" s="3"/>
      <c r="B252" s="5"/>
      <c r="C252" s="7"/>
      <c r="D252" s="6"/>
      <c r="E252" s="6"/>
      <c r="F252" s="7"/>
      <c r="G252" s="6"/>
      <c r="H252" s="6"/>
      <c r="I252" s="6"/>
      <c r="J252" s="6"/>
      <c r="K252" s="5"/>
      <c r="L252" s="7"/>
      <c r="M252" s="6"/>
      <c r="N252" s="6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x14ac:dyDescent="0.25" r="253" customHeight="1" ht="12.75">
      <c r="A253" s="3"/>
      <c r="B253" s="5"/>
      <c r="C253" s="7"/>
      <c r="D253" s="6"/>
      <c r="E253" s="6"/>
      <c r="F253" s="7"/>
      <c r="G253" s="6"/>
      <c r="H253" s="6"/>
      <c r="I253" s="6"/>
      <c r="J253" s="6"/>
      <c r="K253" s="5"/>
      <c r="L253" s="7"/>
      <c r="M253" s="6"/>
      <c r="N253" s="6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x14ac:dyDescent="0.25" r="254" customHeight="1" ht="12.75">
      <c r="A254" s="3"/>
      <c r="B254" s="5"/>
      <c r="C254" s="7"/>
      <c r="D254" s="6"/>
      <c r="E254" s="6"/>
      <c r="F254" s="7"/>
      <c r="G254" s="6"/>
      <c r="H254" s="6"/>
      <c r="I254" s="6"/>
      <c r="J254" s="6"/>
      <c r="K254" s="5"/>
      <c r="L254" s="7"/>
      <c r="M254" s="6"/>
      <c r="N254" s="6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x14ac:dyDescent="0.25" r="255" customHeight="1" ht="12.75">
      <c r="A255" s="3"/>
      <c r="B255" s="5"/>
      <c r="C255" s="7"/>
      <c r="D255" s="6"/>
      <c r="E255" s="6"/>
      <c r="F255" s="7"/>
      <c r="G255" s="6"/>
      <c r="H255" s="6"/>
      <c r="I255" s="6"/>
      <c r="J255" s="6"/>
      <c r="K255" s="5"/>
      <c r="L255" s="7"/>
      <c r="M255" s="6"/>
      <c r="N255" s="6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x14ac:dyDescent="0.25" r="256" customHeight="1" ht="12.75">
      <c r="A256" s="3"/>
      <c r="B256" s="5"/>
      <c r="C256" s="7"/>
      <c r="D256" s="6"/>
      <c r="E256" s="6"/>
      <c r="F256" s="7"/>
      <c r="G256" s="6"/>
      <c r="H256" s="6"/>
      <c r="I256" s="6"/>
      <c r="J256" s="6"/>
      <c r="K256" s="5"/>
      <c r="L256" s="7"/>
      <c r="M256" s="6"/>
      <c r="N256" s="6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x14ac:dyDescent="0.25" r="257" customHeight="1" ht="12.75">
      <c r="A257" s="3"/>
      <c r="B257" s="5"/>
      <c r="C257" s="7"/>
      <c r="D257" s="6"/>
      <c r="E257" s="6"/>
      <c r="F257" s="7"/>
      <c r="G257" s="6"/>
      <c r="H257" s="6"/>
      <c r="I257" s="6"/>
      <c r="J257" s="6"/>
      <c r="K257" s="5"/>
      <c r="L257" s="7"/>
      <c r="M257" s="6"/>
      <c r="N257" s="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x14ac:dyDescent="0.25" r="258" customHeight="1" ht="12.75">
      <c r="A258" s="3"/>
      <c r="B258" s="5"/>
      <c r="C258" s="7"/>
      <c r="D258" s="6"/>
      <c r="E258" s="6"/>
      <c r="F258" s="7"/>
      <c r="G258" s="6"/>
      <c r="H258" s="6"/>
      <c r="I258" s="6"/>
      <c r="J258" s="6"/>
      <c r="K258" s="5"/>
      <c r="L258" s="7"/>
      <c r="M258" s="6"/>
      <c r="N258" s="6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x14ac:dyDescent="0.25" r="259" customHeight="1" ht="12.75">
      <c r="A259" s="3"/>
      <c r="B259" s="5"/>
      <c r="C259" s="7"/>
      <c r="D259" s="6"/>
      <c r="E259" s="6"/>
      <c r="F259" s="7"/>
      <c r="G259" s="6"/>
      <c r="H259" s="6"/>
      <c r="I259" s="6"/>
      <c r="J259" s="6"/>
      <c r="K259" s="5"/>
      <c r="L259" s="7"/>
      <c r="M259" s="6"/>
      <c r="N259" s="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x14ac:dyDescent="0.25" r="260" customHeight="1" ht="12.75">
      <c r="A260" s="3"/>
      <c r="B260" s="5"/>
      <c r="C260" s="7"/>
      <c r="D260" s="6"/>
      <c r="E260" s="6"/>
      <c r="F260" s="7"/>
      <c r="G260" s="6"/>
      <c r="H260" s="6"/>
      <c r="I260" s="6"/>
      <c r="J260" s="6"/>
      <c r="K260" s="5"/>
      <c r="L260" s="7"/>
      <c r="M260" s="6"/>
      <c r="N260" s="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x14ac:dyDescent="0.25" r="261" customHeight="1" ht="12.75">
      <c r="A261" s="3"/>
      <c r="B261" s="5"/>
      <c r="C261" s="7"/>
      <c r="D261" s="6"/>
      <c r="E261" s="6"/>
      <c r="F261" s="7"/>
      <c r="G261" s="6"/>
      <c r="H261" s="6"/>
      <c r="I261" s="6"/>
      <c r="J261" s="6"/>
      <c r="K261" s="5"/>
      <c r="L261" s="7"/>
      <c r="M261" s="6"/>
      <c r="N261" s="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x14ac:dyDescent="0.25" r="262" customHeight="1" ht="12.75">
      <c r="A262" s="3"/>
      <c r="B262" s="5"/>
      <c r="C262" s="7"/>
      <c r="D262" s="6"/>
      <c r="E262" s="6"/>
      <c r="F262" s="7"/>
      <c r="G262" s="6"/>
      <c r="H262" s="6"/>
      <c r="I262" s="6"/>
      <c r="J262" s="6"/>
      <c r="K262" s="5"/>
      <c r="L262" s="7"/>
      <c r="M262" s="6"/>
      <c r="N262" s="6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x14ac:dyDescent="0.25" r="263" customHeight="1" ht="12.75">
      <c r="A263" s="3"/>
      <c r="B263" s="5"/>
      <c r="C263" s="7"/>
      <c r="D263" s="6"/>
      <c r="E263" s="6"/>
      <c r="F263" s="7"/>
      <c r="G263" s="6"/>
      <c r="H263" s="6"/>
      <c r="I263" s="6"/>
      <c r="J263" s="6"/>
      <c r="K263" s="5"/>
      <c r="L263" s="7"/>
      <c r="M263" s="6"/>
      <c r="N263" s="6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x14ac:dyDescent="0.25" r="264" customHeight="1" ht="12.75">
      <c r="A264" s="3"/>
      <c r="B264" s="5"/>
      <c r="C264" s="7"/>
      <c r="D264" s="6"/>
      <c r="E264" s="6"/>
      <c r="F264" s="7"/>
      <c r="G264" s="6"/>
      <c r="H264" s="6"/>
      <c r="I264" s="6"/>
      <c r="J264" s="6"/>
      <c r="K264" s="5"/>
      <c r="L264" s="7"/>
      <c r="M264" s="6"/>
      <c r="N264" s="6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x14ac:dyDescent="0.25" r="265" customHeight="1" ht="12.75">
      <c r="A265" s="3"/>
      <c r="B265" s="5"/>
      <c r="C265" s="7"/>
      <c r="D265" s="6"/>
      <c r="E265" s="6"/>
      <c r="F265" s="7"/>
      <c r="G265" s="6"/>
      <c r="H265" s="6"/>
      <c r="I265" s="6"/>
      <c r="J265" s="6"/>
      <c r="K265" s="5"/>
      <c r="L265" s="7"/>
      <c r="M265" s="6"/>
      <c r="N265" s="6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x14ac:dyDescent="0.25" r="266" customHeight="1" ht="12.75">
      <c r="A266" s="3"/>
      <c r="B266" s="5"/>
      <c r="C266" s="7"/>
      <c r="D266" s="6"/>
      <c r="E266" s="6"/>
      <c r="F266" s="7"/>
      <c r="G266" s="6"/>
      <c r="H266" s="6"/>
      <c r="I266" s="6"/>
      <c r="J266" s="6"/>
      <c r="K266" s="5"/>
      <c r="L266" s="7"/>
      <c r="M266" s="6"/>
      <c r="N266" s="6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x14ac:dyDescent="0.25" r="267" customHeight="1" ht="12.75">
      <c r="A267" s="3"/>
      <c r="B267" s="5"/>
      <c r="C267" s="7"/>
      <c r="D267" s="6"/>
      <c r="E267" s="6"/>
      <c r="F267" s="7"/>
      <c r="G267" s="6"/>
      <c r="H267" s="6"/>
      <c r="I267" s="6"/>
      <c r="J267" s="6"/>
      <c r="K267" s="5"/>
      <c r="L267" s="7"/>
      <c r="M267" s="6"/>
      <c r="N267" s="6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x14ac:dyDescent="0.25" r="268" customHeight="1" ht="12.75">
      <c r="A268" s="3"/>
      <c r="B268" s="5"/>
      <c r="C268" s="7"/>
      <c r="D268" s="6"/>
      <c r="E268" s="6"/>
      <c r="F268" s="7"/>
      <c r="G268" s="6"/>
      <c r="H268" s="6"/>
      <c r="I268" s="6"/>
      <c r="J268" s="6"/>
      <c r="K268" s="5"/>
      <c r="L268" s="7"/>
      <c r="M268" s="6"/>
      <c r="N268" s="6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x14ac:dyDescent="0.25" r="269" customHeight="1" ht="12.75">
      <c r="A269" s="3"/>
      <c r="B269" s="5"/>
      <c r="C269" s="7"/>
      <c r="D269" s="6"/>
      <c r="E269" s="6"/>
      <c r="F269" s="7"/>
      <c r="G269" s="6"/>
      <c r="H269" s="6"/>
      <c r="I269" s="6"/>
      <c r="J269" s="6"/>
      <c r="K269" s="5"/>
      <c r="L269" s="7"/>
      <c r="M269" s="6"/>
      <c r="N269" s="6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x14ac:dyDescent="0.25" r="270" customHeight="1" ht="12.75">
      <c r="A270" s="3"/>
      <c r="B270" s="5"/>
      <c r="C270" s="7"/>
      <c r="D270" s="6"/>
      <c r="E270" s="6"/>
      <c r="F270" s="7"/>
      <c r="G270" s="6"/>
      <c r="H270" s="6"/>
      <c r="I270" s="6"/>
      <c r="J270" s="6"/>
      <c r="K270" s="5"/>
      <c r="L270" s="7"/>
      <c r="M270" s="6"/>
      <c r="N270" s="6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x14ac:dyDescent="0.25" r="271" customHeight="1" ht="12.75">
      <c r="A271" s="3"/>
      <c r="B271" s="5"/>
      <c r="C271" s="7"/>
      <c r="D271" s="6"/>
      <c r="E271" s="6"/>
      <c r="F271" s="7"/>
      <c r="G271" s="6"/>
      <c r="H271" s="6"/>
      <c r="I271" s="6"/>
      <c r="J271" s="6"/>
      <c r="K271" s="5"/>
      <c r="L271" s="7"/>
      <c r="M271" s="6"/>
      <c r="N271" s="6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x14ac:dyDescent="0.25" r="272" customHeight="1" ht="12.75">
      <c r="A272" s="3"/>
      <c r="B272" s="5"/>
      <c r="C272" s="7"/>
      <c r="D272" s="6"/>
      <c r="E272" s="6"/>
      <c r="F272" s="7"/>
      <c r="G272" s="6"/>
      <c r="H272" s="6"/>
      <c r="I272" s="6"/>
      <c r="J272" s="6"/>
      <c r="K272" s="5"/>
      <c r="L272" s="7"/>
      <c r="M272" s="6"/>
      <c r="N272" s="6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x14ac:dyDescent="0.25" r="273" customHeight="1" ht="12.75">
      <c r="A273" s="3"/>
      <c r="B273" s="5"/>
      <c r="C273" s="7"/>
      <c r="D273" s="6"/>
      <c r="E273" s="6"/>
      <c r="F273" s="7"/>
      <c r="G273" s="6"/>
      <c r="H273" s="6"/>
      <c r="I273" s="6"/>
      <c r="J273" s="6"/>
      <c r="K273" s="5"/>
      <c r="L273" s="7"/>
      <c r="M273" s="6"/>
      <c r="N273" s="6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x14ac:dyDescent="0.25" r="274" customHeight="1" ht="12.75">
      <c r="A274" s="3"/>
      <c r="B274" s="5"/>
      <c r="C274" s="7"/>
      <c r="D274" s="6"/>
      <c r="E274" s="6"/>
      <c r="F274" s="7"/>
      <c r="G274" s="6"/>
      <c r="H274" s="6"/>
      <c r="I274" s="6"/>
      <c r="J274" s="6"/>
      <c r="K274" s="5"/>
      <c r="L274" s="7"/>
      <c r="M274" s="6"/>
      <c r="N274" s="6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x14ac:dyDescent="0.25" r="275" customHeight="1" ht="12.75">
      <c r="A275" s="3"/>
      <c r="B275" s="5"/>
      <c r="C275" s="7"/>
      <c r="D275" s="6"/>
      <c r="E275" s="6"/>
      <c r="F275" s="7"/>
      <c r="G275" s="6"/>
      <c r="H275" s="6"/>
      <c r="I275" s="6"/>
      <c r="J275" s="6"/>
      <c r="K275" s="5"/>
      <c r="L275" s="7"/>
      <c r="M275" s="6"/>
      <c r="N275" s="6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x14ac:dyDescent="0.25" r="276" customHeight="1" ht="12.75">
      <c r="A276" s="3"/>
      <c r="B276" s="5"/>
      <c r="C276" s="7"/>
      <c r="D276" s="6"/>
      <c r="E276" s="6"/>
      <c r="F276" s="7"/>
      <c r="G276" s="6"/>
      <c r="H276" s="6"/>
      <c r="I276" s="6"/>
      <c r="J276" s="6"/>
      <c r="K276" s="5"/>
      <c r="L276" s="7"/>
      <c r="M276" s="6"/>
      <c r="N276" s="6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x14ac:dyDescent="0.25" r="277" customHeight="1" ht="12.75">
      <c r="A277" s="3"/>
      <c r="B277" s="5"/>
      <c r="C277" s="7"/>
      <c r="D277" s="6"/>
      <c r="E277" s="6"/>
      <c r="F277" s="7"/>
      <c r="G277" s="6"/>
      <c r="H277" s="6"/>
      <c r="I277" s="6"/>
      <c r="J277" s="6"/>
      <c r="K277" s="5"/>
      <c r="L277" s="7"/>
      <c r="M277" s="6"/>
      <c r="N277" s="6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x14ac:dyDescent="0.25" r="278" customHeight="1" ht="12.75">
      <c r="A278" s="3"/>
      <c r="B278" s="5"/>
      <c r="C278" s="7"/>
      <c r="D278" s="6"/>
      <c r="E278" s="6"/>
      <c r="F278" s="7"/>
      <c r="G278" s="6"/>
      <c r="H278" s="6"/>
      <c r="I278" s="6"/>
      <c r="J278" s="6"/>
      <c r="K278" s="5"/>
      <c r="L278" s="7"/>
      <c r="M278" s="6"/>
      <c r="N278" s="6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x14ac:dyDescent="0.25" r="279" customHeight="1" ht="12.75">
      <c r="A279" s="3"/>
      <c r="B279" s="5"/>
      <c r="C279" s="7"/>
      <c r="D279" s="6"/>
      <c r="E279" s="6"/>
      <c r="F279" s="7"/>
      <c r="G279" s="6"/>
      <c r="H279" s="6"/>
      <c r="I279" s="6"/>
      <c r="J279" s="6"/>
      <c r="K279" s="5"/>
      <c r="L279" s="7"/>
      <c r="M279" s="6"/>
      <c r="N279" s="6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x14ac:dyDescent="0.25" r="280" customHeight="1" ht="12.75">
      <c r="A280" s="3"/>
      <c r="B280" s="5"/>
      <c r="C280" s="7"/>
      <c r="D280" s="6"/>
      <c r="E280" s="6"/>
      <c r="F280" s="7"/>
      <c r="G280" s="6"/>
      <c r="H280" s="6"/>
      <c r="I280" s="6"/>
      <c r="J280" s="6"/>
      <c r="K280" s="5"/>
      <c r="L280" s="7"/>
      <c r="M280" s="6"/>
      <c r="N280" s="6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x14ac:dyDescent="0.25" r="281" customHeight="1" ht="12.75">
      <c r="A281" s="3"/>
      <c r="B281" s="5"/>
      <c r="C281" s="7"/>
      <c r="D281" s="6"/>
      <c r="E281" s="6"/>
      <c r="F281" s="7"/>
      <c r="G281" s="6"/>
      <c r="H281" s="6"/>
      <c r="I281" s="6"/>
      <c r="J281" s="6"/>
      <c r="K281" s="5"/>
      <c r="L281" s="7"/>
      <c r="M281" s="6"/>
      <c r="N281" s="6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x14ac:dyDescent="0.25" r="282" customHeight="1" ht="12.75">
      <c r="A282" s="3"/>
      <c r="B282" s="5"/>
      <c r="C282" s="7"/>
      <c r="D282" s="6"/>
      <c r="E282" s="6"/>
      <c r="F282" s="7"/>
      <c r="G282" s="6"/>
      <c r="H282" s="6"/>
      <c r="I282" s="6"/>
      <c r="J282" s="6"/>
      <c r="K282" s="5"/>
      <c r="L282" s="7"/>
      <c r="M282" s="6"/>
      <c r="N282" s="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x14ac:dyDescent="0.25" r="283" customHeight="1" ht="12.75">
      <c r="A283" s="3"/>
      <c r="B283" s="5"/>
      <c r="C283" s="7"/>
      <c r="D283" s="6"/>
      <c r="E283" s="6"/>
      <c r="F283" s="7"/>
      <c r="G283" s="6"/>
      <c r="H283" s="6"/>
      <c r="I283" s="6"/>
      <c r="J283" s="6"/>
      <c r="K283" s="5"/>
      <c r="L283" s="7"/>
      <c r="M283" s="6"/>
      <c r="N283" s="6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x14ac:dyDescent="0.25" r="284" customHeight="1" ht="12.75">
      <c r="A284" s="3"/>
      <c r="B284" s="5"/>
      <c r="C284" s="7"/>
      <c r="D284" s="6"/>
      <c r="E284" s="6"/>
      <c r="F284" s="7"/>
      <c r="G284" s="6"/>
      <c r="H284" s="6"/>
      <c r="I284" s="6"/>
      <c r="J284" s="6"/>
      <c r="K284" s="5"/>
      <c r="L284" s="7"/>
      <c r="M284" s="6"/>
      <c r="N284" s="6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x14ac:dyDescent="0.25" r="285" customHeight="1" ht="12.75">
      <c r="A285" s="3"/>
      <c r="B285" s="5"/>
      <c r="C285" s="7"/>
      <c r="D285" s="6"/>
      <c r="E285" s="6"/>
      <c r="F285" s="7"/>
      <c r="G285" s="6"/>
      <c r="H285" s="6"/>
      <c r="I285" s="6"/>
      <c r="J285" s="6"/>
      <c r="K285" s="5"/>
      <c r="L285" s="7"/>
      <c r="M285" s="6"/>
      <c r="N285" s="6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x14ac:dyDescent="0.25" r="286" customHeight="1" ht="12.75">
      <c r="A286" s="3"/>
      <c r="B286" s="5"/>
      <c r="C286" s="7"/>
      <c r="D286" s="6"/>
      <c r="E286" s="6"/>
      <c r="F286" s="7"/>
      <c r="G286" s="6"/>
      <c r="H286" s="6"/>
      <c r="I286" s="6"/>
      <c r="J286" s="6"/>
      <c r="K286" s="5"/>
      <c r="L286" s="7"/>
      <c r="M286" s="6"/>
      <c r="N286" s="6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x14ac:dyDescent="0.25" r="287" customHeight="1" ht="12.75">
      <c r="A287" s="3"/>
      <c r="B287" s="5"/>
      <c r="C287" s="7"/>
      <c r="D287" s="6"/>
      <c r="E287" s="6"/>
      <c r="F287" s="7"/>
      <c r="G287" s="6"/>
      <c r="H287" s="6"/>
      <c r="I287" s="6"/>
      <c r="J287" s="6"/>
      <c r="K287" s="5"/>
      <c r="L287" s="7"/>
      <c r="M287" s="6"/>
      <c r="N287" s="6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x14ac:dyDescent="0.25" r="288" customHeight="1" ht="12.75">
      <c r="A288" s="3"/>
      <c r="B288" s="5"/>
      <c r="C288" s="7"/>
      <c r="D288" s="6"/>
      <c r="E288" s="6"/>
      <c r="F288" s="7"/>
      <c r="G288" s="6"/>
      <c r="H288" s="6"/>
      <c r="I288" s="6"/>
      <c r="J288" s="6"/>
      <c r="K288" s="5"/>
      <c r="L288" s="7"/>
      <c r="M288" s="6"/>
      <c r="N288" s="6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x14ac:dyDescent="0.25" r="289" customHeight="1" ht="12.75">
      <c r="A289" s="3"/>
      <c r="B289" s="5"/>
      <c r="C289" s="7"/>
      <c r="D289" s="6"/>
      <c r="E289" s="6"/>
      <c r="F289" s="7"/>
      <c r="G289" s="6"/>
      <c r="H289" s="6"/>
      <c r="I289" s="6"/>
      <c r="J289" s="6"/>
      <c r="K289" s="5"/>
      <c r="L289" s="7"/>
      <c r="M289" s="6"/>
      <c r="N289" s="6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x14ac:dyDescent="0.25" r="290" customHeight="1" ht="12.75">
      <c r="A290" s="3"/>
      <c r="B290" s="5"/>
      <c r="C290" s="7"/>
      <c r="D290" s="6"/>
      <c r="E290" s="6"/>
      <c r="F290" s="7"/>
      <c r="G290" s="6"/>
      <c r="H290" s="6"/>
      <c r="I290" s="6"/>
      <c r="J290" s="6"/>
      <c r="K290" s="5"/>
      <c r="L290" s="7"/>
      <c r="M290" s="6"/>
      <c r="N290" s="6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x14ac:dyDescent="0.25" r="291" customHeight="1" ht="12.75">
      <c r="A291" s="3"/>
      <c r="B291" s="5"/>
      <c r="C291" s="7"/>
      <c r="D291" s="6"/>
      <c r="E291" s="6"/>
      <c r="F291" s="7"/>
      <c r="G291" s="6"/>
      <c r="H291" s="6"/>
      <c r="I291" s="6"/>
      <c r="J291" s="6"/>
      <c r="K291" s="5"/>
      <c r="L291" s="7"/>
      <c r="M291" s="6"/>
      <c r="N291" s="6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x14ac:dyDescent="0.25" r="292" customHeight="1" ht="12.75">
      <c r="A292" s="3"/>
      <c r="B292" s="5"/>
      <c r="C292" s="7"/>
      <c r="D292" s="6"/>
      <c r="E292" s="6"/>
      <c r="F292" s="7"/>
      <c r="G292" s="6"/>
      <c r="H292" s="6"/>
      <c r="I292" s="6"/>
      <c r="J292" s="6"/>
      <c r="K292" s="5"/>
      <c r="L292" s="7"/>
      <c r="M292" s="6"/>
      <c r="N292" s="6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x14ac:dyDescent="0.25" r="293" customHeight="1" ht="12.75">
      <c r="A293" s="3"/>
      <c r="B293" s="5"/>
      <c r="C293" s="7"/>
      <c r="D293" s="6"/>
      <c r="E293" s="6"/>
      <c r="F293" s="7"/>
      <c r="G293" s="6"/>
      <c r="H293" s="6"/>
      <c r="I293" s="6"/>
      <c r="J293" s="6"/>
      <c r="K293" s="5"/>
      <c r="L293" s="7"/>
      <c r="M293" s="6"/>
      <c r="N293" s="6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x14ac:dyDescent="0.25" r="294" customHeight="1" ht="12.75">
      <c r="A294" s="3"/>
      <c r="B294" s="5"/>
      <c r="C294" s="7"/>
      <c r="D294" s="6"/>
      <c r="E294" s="6"/>
      <c r="F294" s="7"/>
      <c r="G294" s="6"/>
      <c r="H294" s="6"/>
      <c r="I294" s="6"/>
      <c r="J294" s="6"/>
      <c r="K294" s="5"/>
      <c r="L294" s="7"/>
      <c r="M294" s="6"/>
      <c r="N294" s="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x14ac:dyDescent="0.25" r="295" customHeight="1" ht="12.75">
      <c r="A295" s="3"/>
      <c r="B295" s="5"/>
      <c r="C295" s="7"/>
      <c r="D295" s="6"/>
      <c r="E295" s="6"/>
      <c r="F295" s="7"/>
      <c r="G295" s="6"/>
      <c r="H295" s="6"/>
      <c r="I295" s="6"/>
      <c r="J295" s="6"/>
      <c r="K295" s="5"/>
      <c r="L295" s="7"/>
      <c r="M295" s="6"/>
      <c r="N295" s="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x14ac:dyDescent="0.25" r="296" customHeight="1" ht="12.75">
      <c r="A296" s="3"/>
      <c r="B296" s="5"/>
      <c r="C296" s="7"/>
      <c r="D296" s="6"/>
      <c r="E296" s="6"/>
      <c r="F296" s="7"/>
      <c r="G296" s="6"/>
      <c r="H296" s="6"/>
      <c r="I296" s="6"/>
      <c r="J296" s="6"/>
      <c r="K296" s="5"/>
      <c r="L296" s="7"/>
      <c r="M296" s="6"/>
      <c r="N296" s="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x14ac:dyDescent="0.25" r="297" customHeight="1" ht="12.75">
      <c r="A297" s="3"/>
      <c r="B297" s="5"/>
      <c r="C297" s="7"/>
      <c r="D297" s="6"/>
      <c r="E297" s="6"/>
      <c r="F297" s="7"/>
      <c r="G297" s="6"/>
      <c r="H297" s="6"/>
      <c r="I297" s="6"/>
      <c r="J297" s="6"/>
      <c r="K297" s="5"/>
      <c r="L297" s="7"/>
      <c r="M297" s="6"/>
      <c r="N297" s="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x14ac:dyDescent="0.25" r="298" customHeight="1" ht="12.75">
      <c r="A298" s="3"/>
      <c r="B298" s="5"/>
      <c r="C298" s="7"/>
      <c r="D298" s="6"/>
      <c r="E298" s="6"/>
      <c r="F298" s="7"/>
      <c r="G298" s="6"/>
      <c r="H298" s="6"/>
      <c r="I298" s="6"/>
      <c r="J298" s="6"/>
      <c r="K298" s="5"/>
      <c r="L298" s="7"/>
      <c r="M298" s="6"/>
      <c r="N298" s="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x14ac:dyDescent="0.25" r="299" customHeight="1" ht="12.75">
      <c r="A299" s="3"/>
      <c r="B299" s="5"/>
      <c r="C299" s="7"/>
      <c r="D299" s="6"/>
      <c r="E299" s="6"/>
      <c r="F299" s="7"/>
      <c r="G299" s="6"/>
      <c r="H299" s="6"/>
      <c r="I299" s="6"/>
      <c r="J299" s="6"/>
      <c r="K299" s="5"/>
      <c r="L299" s="7"/>
      <c r="M299" s="6"/>
      <c r="N299" s="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x14ac:dyDescent="0.25" r="300" customHeight="1" ht="12.75">
      <c r="A300" s="3"/>
      <c r="B300" s="5"/>
      <c r="C300" s="7"/>
      <c r="D300" s="6"/>
      <c r="E300" s="6"/>
      <c r="F300" s="7"/>
      <c r="G300" s="6"/>
      <c r="H300" s="6"/>
      <c r="I300" s="6"/>
      <c r="J300" s="6"/>
      <c r="K300" s="5"/>
      <c r="L300" s="7"/>
      <c r="M300" s="6"/>
      <c r="N300" s="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x14ac:dyDescent="0.25" r="301" customHeight="1" ht="12.75">
      <c r="A301" s="3"/>
      <c r="B301" s="5"/>
      <c r="C301" s="7"/>
      <c r="D301" s="6"/>
      <c r="E301" s="6"/>
      <c r="F301" s="7"/>
      <c r="G301" s="6"/>
      <c r="H301" s="6"/>
      <c r="I301" s="6"/>
      <c r="J301" s="6"/>
      <c r="K301" s="5"/>
      <c r="L301" s="7"/>
      <c r="M301" s="6"/>
      <c r="N301" s="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x14ac:dyDescent="0.25" r="302" customHeight="1" ht="12.75">
      <c r="A302" s="3"/>
      <c r="B302" s="5"/>
      <c r="C302" s="7"/>
      <c r="D302" s="6"/>
      <c r="E302" s="6"/>
      <c r="F302" s="7"/>
      <c r="G302" s="6"/>
      <c r="H302" s="6"/>
      <c r="I302" s="6"/>
      <c r="J302" s="6"/>
      <c r="K302" s="5"/>
      <c r="L302" s="7"/>
      <c r="M302" s="6"/>
      <c r="N302" s="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x14ac:dyDescent="0.25" r="303" customHeight="1" ht="12.75">
      <c r="A303" s="3"/>
      <c r="B303" s="5"/>
      <c r="C303" s="7"/>
      <c r="D303" s="6"/>
      <c r="E303" s="6"/>
      <c r="F303" s="7"/>
      <c r="G303" s="6"/>
      <c r="H303" s="6"/>
      <c r="I303" s="6"/>
      <c r="J303" s="6"/>
      <c r="K303" s="5"/>
      <c r="L303" s="7"/>
      <c r="M303" s="6"/>
      <c r="N303" s="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x14ac:dyDescent="0.25" r="304" customHeight="1" ht="12.75">
      <c r="A304" s="3"/>
      <c r="B304" s="5"/>
      <c r="C304" s="7"/>
      <c r="D304" s="6"/>
      <c r="E304" s="6"/>
      <c r="F304" s="7"/>
      <c r="G304" s="6"/>
      <c r="H304" s="6"/>
      <c r="I304" s="6"/>
      <c r="J304" s="6"/>
      <c r="K304" s="5"/>
      <c r="L304" s="7"/>
      <c r="M304" s="6"/>
      <c r="N304" s="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x14ac:dyDescent="0.25" r="305" customHeight="1" ht="12.75">
      <c r="A305" s="3"/>
      <c r="B305" s="5"/>
      <c r="C305" s="7"/>
      <c r="D305" s="6"/>
      <c r="E305" s="6"/>
      <c r="F305" s="7"/>
      <c r="G305" s="6"/>
      <c r="H305" s="6"/>
      <c r="I305" s="6"/>
      <c r="J305" s="6"/>
      <c r="K305" s="5"/>
      <c r="L305" s="7"/>
      <c r="M305" s="6"/>
      <c r="N305" s="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x14ac:dyDescent="0.25" r="306" customHeight="1" ht="12.75">
      <c r="A306" s="3"/>
      <c r="B306" s="5"/>
      <c r="C306" s="7"/>
      <c r="D306" s="6"/>
      <c r="E306" s="6"/>
      <c r="F306" s="7"/>
      <c r="G306" s="6"/>
      <c r="H306" s="6"/>
      <c r="I306" s="6"/>
      <c r="J306" s="6"/>
      <c r="K306" s="5"/>
      <c r="L306" s="7"/>
      <c r="M306" s="6"/>
      <c r="N306" s="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x14ac:dyDescent="0.25" r="307" customHeight="1" ht="12.75">
      <c r="A307" s="3"/>
      <c r="B307" s="5"/>
      <c r="C307" s="7"/>
      <c r="D307" s="6"/>
      <c r="E307" s="6"/>
      <c r="F307" s="7"/>
      <c r="G307" s="6"/>
      <c r="H307" s="6"/>
      <c r="I307" s="6"/>
      <c r="J307" s="6"/>
      <c r="K307" s="5"/>
      <c r="L307" s="7"/>
      <c r="M307" s="6"/>
      <c r="N307" s="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x14ac:dyDescent="0.25" r="308" customHeight="1" ht="12.75">
      <c r="A308" s="3"/>
      <c r="B308" s="5"/>
      <c r="C308" s="7"/>
      <c r="D308" s="6"/>
      <c r="E308" s="6"/>
      <c r="F308" s="7"/>
      <c r="G308" s="6"/>
      <c r="H308" s="6"/>
      <c r="I308" s="6"/>
      <c r="J308" s="6"/>
      <c r="K308" s="5"/>
      <c r="L308" s="7"/>
      <c r="M308" s="6"/>
      <c r="N308" s="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x14ac:dyDescent="0.25" r="309" customHeight="1" ht="12.75">
      <c r="A309" s="3"/>
      <c r="B309" s="5"/>
      <c r="C309" s="7"/>
      <c r="D309" s="6"/>
      <c r="E309" s="6"/>
      <c r="F309" s="7"/>
      <c r="G309" s="6"/>
      <c r="H309" s="6"/>
      <c r="I309" s="6"/>
      <c r="J309" s="6"/>
      <c r="K309" s="5"/>
      <c r="L309" s="7"/>
      <c r="M309" s="6"/>
      <c r="N309" s="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x14ac:dyDescent="0.25" r="310" customHeight="1" ht="12.75">
      <c r="A310" s="3"/>
      <c r="B310" s="5"/>
      <c r="C310" s="7"/>
      <c r="D310" s="6"/>
      <c r="E310" s="6"/>
      <c r="F310" s="7"/>
      <c r="G310" s="6"/>
      <c r="H310" s="6"/>
      <c r="I310" s="6"/>
      <c r="J310" s="6"/>
      <c r="K310" s="5"/>
      <c r="L310" s="7"/>
      <c r="M310" s="6"/>
      <c r="N310" s="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x14ac:dyDescent="0.25" r="311" customHeight="1" ht="12.75">
      <c r="A311" s="3"/>
      <c r="B311" s="5"/>
      <c r="C311" s="7"/>
      <c r="D311" s="6"/>
      <c r="E311" s="6"/>
      <c r="F311" s="7"/>
      <c r="G311" s="6"/>
      <c r="H311" s="6"/>
      <c r="I311" s="6"/>
      <c r="J311" s="6"/>
      <c r="K311" s="5"/>
      <c r="L311" s="7"/>
      <c r="M311" s="6"/>
      <c r="N311" s="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x14ac:dyDescent="0.25" r="312" customHeight="1" ht="12.75">
      <c r="A312" s="3"/>
      <c r="B312" s="5"/>
      <c r="C312" s="7"/>
      <c r="D312" s="6"/>
      <c r="E312" s="6"/>
      <c r="F312" s="7"/>
      <c r="G312" s="6"/>
      <c r="H312" s="6"/>
      <c r="I312" s="6"/>
      <c r="J312" s="6"/>
      <c r="K312" s="5"/>
      <c r="L312" s="7"/>
      <c r="M312" s="6"/>
      <c r="N312" s="6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x14ac:dyDescent="0.25" r="313" customHeight="1" ht="12.75">
      <c r="A313" s="3"/>
      <c r="B313" s="5"/>
      <c r="C313" s="7"/>
      <c r="D313" s="6"/>
      <c r="E313" s="6"/>
      <c r="F313" s="7"/>
      <c r="G313" s="6"/>
      <c r="H313" s="6"/>
      <c r="I313" s="6"/>
      <c r="J313" s="6"/>
      <c r="K313" s="5"/>
      <c r="L313" s="7"/>
      <c r="M313" s="6"/>
      <c r="N313" s="6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x14ac:dyDescent="0.25" r="314" customHeight="1" ht="12.75">
      <c r="A314" s="3"/>
      <c r="B314" s="5"/>
      <c r="C314" s="7"/>
      <c r="D314" s="6"/>
      <c r="E314" s="6"/>
      <c r="F314" s="7"/>
      <c r="G314" s="6"/>
      <c r="H314" s="6"/>
      <c r="I314" s="6"/>
      <c r="J314" s="6"/>
      <c r="K314" s="5"/>
      <c r="L314" s="7"/>
      <c r="M314" s="6"/>
      <c r="N314" s="6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x14ac:dyDescent="0.25" r="315" customHeight="1" ht="12.75">
      <c r="A315" s="3"/>
      <c r="B315" s="5"/>
      <c r="C315" s="7"/>
      <c r="D315" s="6"/>
      <c r="E315" s="6"/>
      <c r="F315" s="7"/>
      <c r="G315" s="6"/>
      <c r="H315" s="6"/>
      <c r="I315" s="6"/>
      <c r="J315" s="6"/>
      <c r="K315" s="5"/>
      <c r="L315" s="7"/>
      <c r="M315" s="6"/>
      <c r="N315" s="6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x14ac:dyDescent="0.25" r="316" customHeight="1" ht="12.75">
      <c r="A316" s="3"/>
      <c r="B316" s="5"/>
      <c r="C316" s="7"/>
      <c r="D316" s="6"/>
      <c r="E316" s="6"/>
      <c r="F316" s="7"/>
      <c r="G316" s="6"/>
      <c r="H316" s="6"/>
      <c r="I316" s="6"/>
      <c r="J316" s="6"/>
      <c r="K316" s="5"/>
      <c r="L316" s="7"/>
      <c r="M316" s="6"/>
      <c r="N316" s="6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x14ac:dyDescent="0.25" r="317" customHeight="1" ht="12.75">
      <c r="A317" s="3"/>
      <c r="B317" s="5"/>
      <c r="C317" s="7"/>
      <c r="D317" s="6"/>
      <c r="E317" s="6"/>
      <c r="F317" s="7"/>
      <c r="G317" s="6"/>
      <c r="H317" s="6"/>
      <c r="I317" s="6"/>
      <c r="J317" s="6"/>
      <c r="K317" s="5"/>
      <c r="L317" s="7"/>
      <c r="M317" s="6"/>
      <c r="N317" s="6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x14ac:dyDescent="0.25" r="318" customHeight="1" ht="12.75">
      <c r="A318" s="3"/>
      <c r="B318" s="5"/>
      <c r="C318" s="7"/>
      <c r="D318" s="6"/>
      <c r="E318" s="6"/>
      <c r="F318" s="7"/>
      <c r="G318" s="6"/>
      <c r="H318" s="6"/>
      <c r="I318" s="6"/>
      <c r="J318" s="6"/>
      <c r="K318" s="5"/>
      <c r="L318" s="7"/>
      <c r="M318" s="6"/>
      <c r="N318" s="6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x14ac:dyDescent="0.25" r="319" customHeight="1" ht="12.75">
      <c r="A319" s="3"/>
      <c r="B319" s="5"/>
      <c r="C319" s="7"/>
      <c r="D319" s="6"/>
      <c r="E319" s="6"/>
      <c r="F319" s="7"/>
      <c r="G319" s="6"/>
      <c r="H319" s="6"/>
      <c r="I319" s="6"/>
      <c r="J319" s="6"/>
      <c r="K319" s="5"/>
      <c r="L319" s="7"/>
      <c r="M319" s="6"/>
      <c r="N319" s="6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x14ac:dyDescent="0.25" r="320" customHeight="1" ht="12.75">
      <c r="A320" s="3"/>
      <c r="B320" s="5"/>
      <c r="C320" s="7"/>
      <c r="D320" s="6"/>
      <c r="E320" s="6"/>
      <c r="F320" s="7"/>
      <c r="G320" s="6"/>
      <c r="H320" s="6"/>
      <c r="I320" s="6"/>
      <c r="J320" s="6"/>
      <c r="K320" s="5"/>
      <c r="L320" s="7"/>
      <c r="M320" s="6"/>
      <c r="N320" s="6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x14ac:dyDescent="0.25" r="321" customHeight="1" ht="12.75">
      <c r="A321" s="3"/>
      <c r="B321" s="5"/>
      <c r="C321" s="7"/>
      <c r="D321" s="6"/>
      <c r="E321" s="6"/>
      <c r="F321" s="7"/>
      <c r="G321" s="6"/>
      <c r="H321" s="6"/>
      <c r="I321" s="6"/>
      <c r="J321" s="6"/>
      <c r="K321" s="5"/>
      <c r="L321" s="7"/>
      <c r="M321" s="6"/>
      <c r="N321" s="6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x14ac:dyDescent="0.25" r="322" customHeight="1" ht="12.75">
      <c r="A322" s="3"/>
      <c r="B322" s="5"/>
      <c r="C322" s="7"/>
      <c r="D322" s="6"/>
      <c r="E322" s="6"/>
      <c r="F322" s="7"/>
      <c r="G322" s="6"/>
      <c r="H322" s="6"/>
      <c r="I322" s="6"/>
      <c r="J322" s="6"/>
      <c r="K322" s="5"/>
      <c r="L322" s="7"/>
      <c r="M322" s="6"/>
      <c r="N322" s="6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x14ac:dyDescent="0.25" r="323" customHeight="1" ht="12.75">
      <c r="A323" s="3"/>
      <c r="B323" s="5"/>
      <c r="C323" s="7"/>
      <c r="D323" s="6"/>
      <c r="E323" s="6"/>
      <c r="F323" s="7"/>
      <c r="G323" s="6"/>
      <c r="H323" s="6"/>
      <c r="I323" s="6"/>
      <c r="J323" s="6"/>
      <c r="K323" s="5"/>
      <c r="L323" s="7"/>
      <c r="M323" s="6"/>
      <c r="N323" s="6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x14ac:dyDescent="0.25" r="324" customHeight="1" ht="12.75">
      <c r="A324" s="3"/>
      <c r="B324" s="5"/>
      <c r="C324" s="7"/>
      <c r="D324" s="6"/>
      <c r="E324" s="6"/>
      <c r="F324" s="7"/>
      <c r="G324" s="6"/>
      <c r="H324" s="6"/>
      <c r="I324" s="6"/>
      <c r="J324" s="6"/>
      <c r="K324" s="5"/>
      <c r="L324" s="7"/>
      <c r="M324" s="6"/>
      <c r="N324" s="6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x14ac:dyDescent="0.25" r="325" customHeight="1" ht="12.75">
      <c r="A325" s="3"/>
      <c r="B325" s="5"/>
      <c r="C325" s="7"/>
      <c r="D325" s="6"/>
      <c r="E325" s="6"/>
      <c r="F325" s="7"/>
      <c r="G325" s="6"/>
      <c r="H325" s="6"/>
      <c r="I325" s="6"/>
      <c r="J325" s="6"/>
      <c r="K325" s="5"/>
      <c r="L325" s="7"/>
      <c r="M325" s="6"/>
      <c r="N325" s="6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x14ac:dyDescent="0.25" r="326" customHeight="1" ht="12.75">
      <c r="A326" s="3"/>
      <c r="B326" s="5"/>
      <c r="C326" s="7"/>
      <c r="D326" s="6"/>
      <c r="E326" s="6"/>
      <c r="F326" s="7"/>
      <c r="G326" s="6"/>
      <c r="H326" s="6"/>
      <c r="I326" s="6"/>
      <c r="J326" s="6"/>
      <c r="K326" s="5"/>
      <c r="L326" s="7"/>
      <c r="M326" s="6"/>
      <c r="N326" s="6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x14ac:dyDescent="0.25" r="327" customHeight="1" ht="12.75">
      <c r="A327" s="3"/>
      <c r="B327" s="5"/>
      <c r="C327" s="7"/>
      <c r="D327" s="6"/>
      <c r="E327" s="6"/>
      <c r="F327" s="7"/>
      <c r="G327" s="6"/>
      <c r="H327" s="6"/>
      <c r="I327" s="6"/>
      <c r="J327" s="6"/>
      <c r="K327" s="5"/>
      <c r="L327" s="7"/>
      <c r="M327" s="6"/>
      <c r="N327" s="6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x14ac:dyDescent="0.25" r="328" customHeight="1" ht="12.75">
      <c r="A328" s="3"/>
      <c r="B328" s="5"/>
      <c r="C328" s="7"/>
      <c r="D328" s="6"/>
      <c r="E328" s="6"/>
      <c r="F328" s="7"/>
      <c r="G328" s="6"/>
      <c r="H328" s="6"/>
      <c r="I328" s="6"/>
      <c r="J328" s="6"/>
      <c r="K328" s="5"/>
      <c r="L328" s="7"/>
      <c r="M328" s="6"/>
      <c r="N328" s="6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x14ac:dyDescent="0.25" r="329" customHeight="1" ht="12.75">
      <c r="A329" s="3"/>
      <c r="B329" s="5"/>
      <c r="C329" s="7"/>
      <c r="D329" s="6"/>
      <c r="E329" s="6"/>
      <c r="F329" s="7"/>
      <c r="G329" s="6"/>
      <c r="H329" s="6"/>
      <c r="I329" s="6"/>
      <c r="J329" s="6"/>
      <c r="K329" s="5"/>
      <c r="L329" s="7"/>
      <c r="M329" s="6"/>
      <c r="N329" s="6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x14ac:dyDescent="0.25" r="330" customHeight="1" ht="12.75">
      <c r="A330" s="3"/>
      <c r="B330" s="5"/>
      <c r="C330" s="7"/>
      <c r="D330" s="6"/>
      <c r="E330" s="6"/>
      <c r="F330" s="7"/>
      <c r="G330" s="6"/>
      <c r="H330" s="6"/>
      <c r="I330" s="6"/>
      <c r="J330" s="6"/>
      <c r="K330" s="5"/>
      <c r="L330" s="7"/>
      <c r="M330" s="6"/>
      <c r="N330" s="6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x14ac:dyDescent="0.25" r="331" customHeight="1" ht="12.75">
      <c r="A331" s="3"/>
      <c r="B331" s="5"/>
      <c r="C331" s="7"/>
      <c r="D331" s="6"/>
      <c r="E331" s="6"/>
      <c r="F331" s="7"/>
      <c r="G331" s="6"/>
      <c r="H331" s="6"/>
      <c r="I331" s="6"/>
      <c r="J331" s="6"/>
      <c r="K331" s="5"/>
      <c r="L331" s="7"/>
      <c r="M331" s="6"/>
      <c r="N331" s="6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x14ac:dyDescent="0.25" r="332" customHeight="1" ht="12.75">
      <c r="A332" s="3"/>
      <c r="B332" s="5"/>
      <c r="C332" s="7"/>
      <c r="D332" s="6"/>
      <c r="E332" s="6"/>
      <c r="F332" s="7"/>
      <c r="G332" s="6"/>
      <c r="H332" s="6"/>
      <c r="I332" s="6"/>
      <c r="J332" s="6"/>
      <c r="K332" s="5"/>
      <c r="L332" s="7"/>
      <c r="M332" s="6"/>
      <c r="N332" s="6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x14ac:dyDescent="0.25" r="333" customHeight="1" ht="12.75">
      <c r="A333" s="3"/>
      <c r="B333" s="5"/>
      <c r="C333" s="7"/>
      <c r="D333" s="6"/>
      <c r="E333" s="6"/>
      <c r="F333" s="7"/>
      <c r="G333" s="6"/>
      <c r="H333" s="6"/>
      <c r="I333" s="6"/>
      <c r="J333" s="6"/>
      <c r="K333" s="5"/>
      <c r="L333" s="7"/>
      <c r="M333" s="6"/>
      <c r="N333" s="6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x14ac:dyDescent="0.25" r="334" customHeight="1" ht="12.75">
      <c r="A334" s="3"/>
      <c r="B334" s="5"/>
      <c r="C334" s="7"/>
      <c r="D334" s="6"/>
      <c r="E334" s="6"/>
      <c r="F334" s="7"/>
      <c r="G334" s="6"/>
      <c r="H334" s="6"/>
      <c r="I334" s="6"/>
      <c r="J334" s="6"/>
      <c r="K334" s="5"/>
      <c r="L334" s="7"/>
      <c r="M334" s="6"/>
      <c r="N334" s="6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x14ac:dyDescent="0.25" r="335" customHeight="1" ht="12.75">
      <c r="A335" s="3"/>
      <c r="B335" s="5"/>
      <c r="C335" s="7"/>
      <c r="D335" s="6"/>
      <c r="E335" s="6"/>
      <c r="F335" s="7"/>
      <c r="G335" s="6"/>
      <c r="H335" s="6"/>
      <c r="I335" s="6"/>
      <c r="J335" s="6"/>
      <c r="K335" s="5"/>
      <c r="L335" s="7"/>
      <c r="M335" s="6"/>
      <c r="N335" s="6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x14ac:dyDescent="0.25" r="336" customHeight="1" ht="12.75">
      <c r="A336" s="3"/>
      <c r="B336" s="5"/>
      <c r="C336" s="7"/>
      <c r="D336" s="6"/>
      <c r="E336" s="6"/>
      <c r="F336" s="7"/>
      <c r="G336" s="6"/>
      <c r="H336" s="6"/>
      <c r="I336" s="6"/>
      <c r="J336" s="6"/>
      <c r="K336" s="5"/>
      <c r="L336" s="7"/>
      <c r="M336" s="6"/>
      <c r="N336" s="6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x14ac:dyDescent="0.25" r="337" customHeight="1" ht="12.75">
      <c r="A337" s="3"/>
      <c r="B337" s="5"/>
      <c r="C337" s="7"/>
      <c r="D337" s="6"/>
      <c r="E337" s="6"/>
      <c r="F337" s="7"/>
      <c r="G337" s="6"/>
      <c r="H337" s="6"/>
      <c r="I337" s="6"/>
      <c r="J337" s="6"/>
      <c r="K337" s="5"/>
      <c r="L337" s="7"/>
      <c r="M337" s="6"/>
      <c r="N337" s="6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x14ac:dyDescent="0.25" r="338" customHeight="1" ht="12.75">
      <c r="A338" s="3"/>
      <c r="B338" s="5"/>
      <c r="C338" s="7"/>
      <c r="D338" s="6"/>
      <c r="E338" s="6"/>
      <c r="F338" s="7"/>
      <c r="G338" s="6"/>
      <c r="H338" s="6"/>
      <c r="I338" s="6"/>
      <c r="J338" s="6"/>
      <c r="K338" s="5"/>
      <c r="L338" s="7"/>
      <c r="M338" s="6"/>
      <c r="N338" s="6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x14ac:dyDescent="0.25" r="339" customHeight="1" ht="12.75">
      <c r="A339" s="3"/>
      <c r="B339" s="5"/>
      <c r="C339" s="7"/>
      <c r="D339" s="6"/>
      <c r="E339" s="6"/>
      <c r="F339" s="7"/>
      <c r="G339" s="6"/>
      <c r="H339" s="6"/>
      <c r="I339" s="6"/>
      <c r="J339" s="6"/>
      <c r="K339" s="5"/>
      <c r="L339" s="7"/>
      <c r="M339" s="6"/>
      <c r="N339" s="6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x14ac:dyDescent="0.25" r="340" customHeight="1" ht="12.75">
      <c r="A340" s="3"/>
      <c r="B340" s="5"/>
      <c r="C340" s="7"/>
      <c r="D340" s="6"/>
      <c r="E340" s="6"/>
      <c r="F340" s="7"/>
      <c r="G340" s="6"/>
      <c r="H340" s="6"/>
      <c r="I340" s="6"/>
      <c r="J340" s="6"/>
      <c r="K340" s="5"/>
      <c r="L340" s="7"/>
      <c r="M340" s="6"/>
      <c r="N340" s="6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x14ac:dyDescent="0.25" r="341" customHeight="1" ht="12.75">
      <c r="A341" s="3"/>
      <c r="B341" s="5"/>
      <c r="C341" s="7"/>
      <c r="D341" s="6"/>
      <c r="E341" s="6"/>
      <c r="F341" s="7"/>
      <c r="G341" s="6"/>
      <c r="H341" s="6"/>
      <c r="I341" s="6"/>
      <c r="J341" s="6"/>
      <c r="K341" s="5"/>
      <c r="L341" s="7"/>
      <c r="M341" s="6"/>
      <c r="N341" s="6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x14ac:dyDescent="0.25" r="342" customHeight="1" ht="12.75">
      <c r="A342" s="3"/>
      <c r="B342" s="5"/>
      <c r="C342" s="7"/>
      <c r="D342" s="6"/>
      <c r="E342" s="6"/>
      <c r="F342" s="7"/>
      <c r="G342" s="6"/>
      <c r="H342" s="6"/>
      <c r="I342" s="6"/>
      <c r="J342" s="6"/>
      <c r="K342" s="5"/>
      <c r="L342" s="7"/>
      <c r="M342" s="6"/>
      <c r="N342" s="6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x14ac:dyDescent="0.25" r="343" customHeight="1" ht="12.75">
      <c r="A343" s="3"/>
      <c r="B343" s="5"/>
      <c r="C343" s="7"/>
      <c r="D343" s="6"/>
      <c r="E343" s="6"/>
      <c r="F343" s="7"/>
      <c r="G343" s="6"/>
      <c r="H343" s="6"/>
      <c r="I343" s="6"/>
      <c r="J343" s="6"/>
      <c r="K343" s="5"/>
      <c r="L343" s="7"/>
      <c r="M343" s="6"/>
      <c r="N343" s="6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x14ac:dyDescent="0.25" r="344" customHeight="1" ht="12.75">
      <c r="A344" s="3"/>
      <c r="B344" s="5"/>
      <c r="C344" s="7"/>
      <c r="D344" s="6"/>
      <c r="E344" s="6"/>
      <c r="F344" s="7"/>
      <c r="G344" s="6"/>
      <c r="H344" s="6"/>
      <c r="I344" s="6"/>
      <c r="J344" s="6"/>
      <c r="K344" s="5"/>
      <c r="L344" s="7"/>
      <c r="M344" s="6"/>
      <c r="N344" s="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x14ac:dyDescent="0.25" r="345" customHeight="1" ht="12.75">
      <c r="A345" s="3"/>
      <c r="B345" s="5"/>
      <c r="C345" s="7"/>
      <c r="D345" s="6"/>
      <c r="E345" s="6"/>
      <c r="F345" s="7"/>
      <c r="G345" s="6"/>
      <c r="H345" s="6"/>
      <c r="I345" s="6"/>
      <c r="J345" s="6"/>
      <c r="K345" s="5"/>
      <c r="L345" s="7"/>
      <c r="M345" s="6"/>
      <c r="N345" s="6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x14ac:dyDescent="0.25" r="346" customHeight="1" ht="12.75">
      <c r="A346" s="3"/>
      <c r="B346" s="5"/>
      <c r="C346" s="7"/>
      <c r="D346" s="6"/>
      <c r="E346" s="6"/>
      <c r="F346" s="7"/>
      <c r="G346" s="6"/>
      <c r="H346" s="6"/>
      <c r="I346" s="6"/>
      <c r="J346" s="6"/>
      <c r="K346" s="5"/>
      <c r="L346" s="7"/>
      <c r="M346" s="6"/>
      <c r="N346" s="6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x14ac:dyDescent="0.25" r="347" customHeight="1" ht="12.75">
      <c r="A347" s="3"/>
      <c r="B347" s="5"/>
      <c r="C347" s="7"/>
      <c r="D347" s="6"/>
      <c r="E347" s="6"/>
      <c r="F347" s="7"/>
      <c r="G347" s="6"/>
      <c r="H347" s="6"/>
      <c r="I347" s="6"/>
      <c r="J347" s="6"/>
      <c r="K347" s="5"/>
      <c r="L347" s="7"/>
      <c r="M347" s="6"/>
      <c r="N347" s="6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x14ac:dyDescent="0.25" r="348" customHeight="1" ht="12.75">
      <c r="A348" s="3"/>
      <c r="B348" s="5"/>
      <c r="C348" s="7"/>
      <c r="D348" s="6"/>
      <c r="E348" s="6"/>
      <c r="F348" s="7"/>
      <c r="G348" s="6"/>
      <c r="H348" s="6"/>
      <c r="I348" s="6"/>
      <c r="J348" s="6"/>
      <c r="K348" s="5"/>
      <c r="L348" s="7"/>
      <c r="M348" s="6"/>
      <c r="N348" s="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x14ac:dyDescent="0.25" r="349" customHeight="1" ht="12.75">
      <c r="A349" s="3"/>
      <c r="B349" s="5"/>
      <c r="C349" s="7"/>
      <c r="D349" s="6"/>
      <c r="E349" s="6"/>
      <c r="F349" s="7"/>
      <c r="G349" s="6"/>
      <c r="H349" s="6"/>
      <c r="I349" s="6"/>
      <c r="J349" s="6"/>
      <c r="K349" s="5"/>
      <c r="L349" s="7"/>
      <c r="M349" s="6"/>
      <c r="N349" s="6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x14ac:dyDescent="0.25" r="350" customHeight="1" ht="12.75">
      <c r="A350" s="3"/>
      <c r="B350" s="5"/>
      <c r="C350" s="7"/>
      <c r="D350" s="6"/>
      <c r="E350" s="6"/>
      <c r="F350" s="7"/>
      <c r="G350" s="6"/>
      <c r="H350" s="6"/>
      <c r="I350" s="6"/>
      <c r="J350" s="6"/>
      <c r="K350" s="5"/>
      <c r="L350" s="7"/>
      <c r="M350" s="6"/>
      <c r="N350" s="6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x14ac:dyDescent="0.25" r="351" customHeight="1" ht="12.75">
      <c r="A351" s="3"/>
      <c r="B351" s="5"/>
      <c r="C351" s="7"/>
      <c r="D351" s="6"/>
      <c r="E351" s="6"/>
      <c r="F351" s="7"/>
      <c r="G351" s="6"/>
      <c r="H351" s="6"/>
      <c r="I351" s="6"/>
      <c r="J351" s="6"/>
      <c r="K351" s="5"/>
      <c r="L351" s="7"/>
      <c r="M351" s="6"/>
      <c r="N351" s="6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x14ac:dyDescent="0.25" r="352" customHeight="1" ht="12.75">
      <c r="A352" s="3"/>
      <c r="B352" s="5"/>
      <c r="C352" s="7"/>
      <c r="D352" s="6"/>
      <c r="E352" s="6"/>
      <c r="F352" s="7"/>
      <c r="G352" s="6"/>
      <c r="H352" s="6"/>
      <c r="I352" s="6"/>
      <c r="J352" s="6"/>
      <c r="K352" s="5"/>
      <c r="L352" s="7"/>
      <c r="M352" s="6"/>
      <c r="N352" s="6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x14ac:dyDescent="0.25" r="353" customHeight="1" ht="12.75">
      <c r="A353" s="3"/>
      <c r="B353" s="5"/>
      <c r="C353" s="7"/>
      <c r="D353" s="6"/>
      <c r="E353" s="6"/>
      <c r="F353" s="7"/>
      <c r="G353" s="6"/>
      <c r="H353" s="6"/>
      <c r="I353" s="6"/>
      <c r="J353" s="6"/>
      <c r="K353" s="5"/>
      <c r="L353" s="7"/>
      <c r="M353" s="6"/>
      <c r="N353" s="6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x14ac:dyDescent="0.25" r="354" customHeight="1" ht="12.75">
      <c r="A354" s="3"/>
      <c r="B354" s="5"/>
      <c r="C354" s="7"/>
      <c r="D354" s="6"/>
      <c r="E354" s="6"/>
      <c r="F354" s="7"/>
      <c r="G354" s="6"/>
      <c r="H354" s="6"/>
      <c r="I354" s="6"/>
      <c r="J354" s="6"/>
      <c r="K354" s="5"/>
      <c r="L354" s="7"/>
      <c r="M354" s="6"/>
      <c r="N354" s="6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x14ac:dyDescent="0.25" r="355" customHeight="1" ht="12.75">
      <c r="A355" s="3"/>
      <c r="B355" s="5"/>
      <c r="C355" s="7"/>
      <c r="D355" s="6"/>
      <c r="E355" s="6"/>
      <c r="F355" s="7"/>
      <c r="G355" s="6"/>
      <c r="H355" s="6"/>
      <c r="I355" s="6"/>
      <c r="J355" s="6"/>
      <c r="K355" s="5"/>
      <c r="L355" s="7"/>
      <c r="M355" s="6"/>
      <c r="N355" s="6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x14ac:dyDescent="0.25" r="356" customHeight="1" ht="12.75">
      <c r="A356" s="3"/>
      <c r="B356" s="5"/>
      <c r="C356" s="7"/>
      <c r="D356" s="6"/>
      <c r="E356" s="6"/>
      <c r="F356" s="7"/>
      <c r="G356" s="6"/>
      <c r="H356" s="6"/>
      <c r="I356" s="6"/>
      <c r="J356" s="6"/>
      <c r="K356" s="5"/>
      <c r="L356" s="7"/>
      <c r="M356" s="6"/>
      <c r="N356" s="6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x14ac:dyDescent="0.25" r="357" customHeight="1" ht="12.75">
      <c r="A357" s="3"/>
      <c r="B357" s="5"/>
      <c r="C357" s="7"/>
      <c r="D357" s="6"/>
      <c r="E357" s="6"/>
      <c r="F357" s="7"/>
      <c r="G357" s="6"/>
      <c r="H357" s="6"/>
      <c r="I357" s="6"/>
      <c r="J357" s="6"/>
      <c r="K357" s="5"/>
      <c r="L357" s="7"/>
      <c r="M357" s="6"/>
      <c r="N357" s="6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x14ac:dyDescent="0.25" r="358" customHeight="1" ht="12.75">
      <c r="A358" s="3"/>
      <c r="B358" s="5"/>
      <c r="C358" s="7"/>
      <c r="D358" s="6"/>
      <c r="E358" s="6"/>
      <c r="F358" s="7"/>
      <c r="G358" s="6"/>
      <c r="H358" s="6"/>
      <c r="I358" s="6"/>
      <c r="J358" s="6"/>
      <c r="K358" s="5"/>
      <c r="L358" s="7"/>
      <c r="M358" s="6"/>
      <c r="N358" s="6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x14ac:dyDescent="0.25" r="359" customHeight="1" ht="12.75">
      <c r="A359" s="3"/>
      <c r="B359" s="5"/>
      <c r="C359" s="7"/>
      <c r="D359" s="6"/>
      <c r="E359" s="6"/>
      <c r="F359" s="7"/>
      <c r="G359" s="6"/>
      <c r="H359" s="6"/>
      <c r="I359" s="6"/>
      <c r="J359" s="6"/>
      <c r="K359" s="5"/>
      <c r="L359" s="7"/>
      <c r="M359" s="6"/>
      <c r="N359" s="6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x14ac:dyDescent="0.25" r="360" customHeight="1" ht="12.75">
      <c r="A360" s="3"/>
      <c r="B360" s="5"/>
      <c r="C360" s="7"/>
      <c r="D360" s="6"/>
      <c r="E360" s="6"/>
      <c r="F360" s="7"/>
      <c r="G360" s="6"/>
      <c r="H360" s="6"/>
      <c r="I360" s="6"/>
      <c r="J360" s="6"/>
      <c r="K360" s="5"/>
      <c r="L360" s="7"/>
      <c r="M360" s="6"/>
      <c r="N360" s="6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x14ac:dyDescent="0.25" r="361" customHeight="1" ht="12.75">
      <c r="A361" s="3"/>
      <c r="B361" s="5"/>
      <c r="C361" s="7"/>
      <c r="D361" s="6"/>
      <c r="E361" s="6"/>
      <c r="F361" s="7"/>
      <c r="G361" s="6"/>
      <c r="H361" s="6"/>
      <c r="I361" s="6"/>
      <c r="J361" s="6"/>
      <c r="K361" s="5"/>
      <c r="L361" s="7"/>
      <c r="M361" s="6"/>
      <c r="N361" s="6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x14ac:dyDescent="0.25" r="362" customHeight="1" ht="12.75">
      <c r="A362" s="3"/>
      <c r="B362" s="5"/>
      <c r="C362" s="7"/>
      <c r="D362" s="6"/>
      <c r="E362" s="6"/>
      <c r="F362" s="7"/>
      <c r="G362" s="6"/>
      <c r="H362" s="6"/>
      <c r="I362" s="6"/>
      <c r="J362" s="6"/>
      <c r="K362" s="5"/>
      <c r="L362" s="7"/>
      <c r="M362" s="6"/>
      <c r="N362" s="6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x14ac:dyDescent="0.25" r="363" customHeight="1" ht="12.75">
      <c r="A363" s="3"/>
      <c r="B363" s="5"/>
      <c r="C363" s="7"/>
      <c r="D363" s="6"/>
      <c r="E363" s="6"/>
      <c r="F363" s="7"/>
      <c r="G363" s="6"/>
      <c r="H363" s="6"/>
      <c r="I363" s="6"/>
      <c r="J363" s="6"/>
      <c r="K363" s="5"/>
      <c r="L363" s="7"/>
      <c r="M363" s="6"/>
      <c r="N363" s="6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x14ac:dyDescent="0.25" r="364" customHeight="1" ht="12.75">
      <c r="A364" s="3"/>
      <c r="B364" s="5"/>
      <c r="C364" s="7"/>
      <c r="D364" s="6"/>
      <c r="E364" s="6"/>
      <c r="F364" s="7"/>
      <c r="G364" s="6"/>
      <c r="H364" s="6"/>
      <c r="I364" s="6"/>
      <c r="J364" s="6"/>
      <c r="K364" s="5"/>
      <c r="L364" s="7"/>
      <c r="M364" s="6"/>
      <c r="N364" s="6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x14ac:dyDescent="0.25" r="365" customHeight="1" ht="12.75">
      <c r="A365" s="3"/>
      <c r="B365" s="5"/>
      <c r="C365" s="7"/>
      <c r="D365" s="6"/>
      <c r="E365" s="6"/>
      <c r="F365" s="7"/>
      <c r="G365" s="6"/>
      <c r="H365" s="6"/>
      <c r="I365" s="6"/>
      <c r="J365" s="6"/>
      <c r="K365" s="5"/>
      <c r="L365" s="7"/>
      <c r="M365" s="6"/>
      <c r="N365" s="6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x14ac:dyDescent="0.25" r="366" customHeight="1" ht="12.75">
      <c r="A366" s="3"/>
      <c r="B366" s="5"/>
      <c r="C366" s="7"/>
      <c r="D366" s="6"/>
      <c r="E366" s="6"/>
      <c r="F366" s="7"/>
      <c r="G366" s="6"/>
      <c r="H366" s="6"/>
      <c r="I366" s="6"/>
      <c r="J366" s="6"/>
      <c r="K366" s="5"/>
      <c r="L366" s="7"/>
      <c r="M366" s="6"/>
      <c r="N366" s="6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x14ac:dyDescent="0.25" r="367" customHeight="1" ht="12.75">
      <c r="A367" s="3"/>
      <c r="B367" s="5"/>
      <c r="C367" s="7"/>
      <c r="D367" s="6"/>
      <c r="E367" s="6"/>
      <c r="F367" s="7"/>
      <c r="G367" s="6"/>
      <c r="H367" s="6"/>
      <c r="I367" s="6"/>
      <c r="J367" s="6"/>
      <c r="K367" s="5"/>
      <c r="L367" s="7"/>
      <c r="M367" s="6"/>
      <c r="N367" s="6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x14ac:dyDescent="0.25" r="368" customHeight="1" ht="12.75">
      <c r="A368" s="3"/>
      <c r="B368" s="5"/>
      <c r="C368" s="7"/>
      <c r="D368" s="6"/>
      <c r="E368" s="6"/>
      <c r="F368" s="7"/>
      <c r="G368" s="6"/>
      <c r="H368" s="6"/>
      <c r="I368" s="6"/>
      <c r="J368" s="6"/>
      <c r="K368" s="5"/>
      <c r="L368" s="7"/>
      <c r="M368" s="6"/>
      <c r="N368" s="6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x14ac:dyDescent="0.25" r="369" customHeight="1" ht="12.75">
      <c r="A369" s="3"/>
      <c r="B369" s="5"/>
      <c r="C369" s="7"/>
      <c r="D369" s="6"/>
      <c r="E369" s="6"/>
      <c r="F369" s="7"/>
      <c r="G369" s="6"/>
      <c r="H369" s="6"/>
      <c r="I369" s="6"/>
      <c r="J369" s="6"/>
      <c r="K369" s="5"/>
      <c r="L369" s="7"/>
      <c r="M369" s="6"/>
      <c r="N369" s="6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x14ac:dyDescent="0.25" r="370" customHeight="1" ht="12.75">
      <c r="A370" s="3"/>
      <c r="B370" s="5"/>
      <c r="C370" s="7"/>
      <c r="D370" s="6"/>
      <c r="E370" s="6"/>
      <c r="F370" s="7"/>
      <c r="G370" s="6"/>
      <c r="H370" s="6"/>
      <c r="I370" s="6"/>
      <c r="J370" s="6"/>
      <c r="K370" s="5"/>
      <c r="L370" s="7"/>
      <c r="M370" s="6"/>
      <c r="N370" s="6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x14ac:dyDescent="0.25" r="371" customHeight="1" ht="12.75">
      <c r="A371" s="3"/>
      <c r="B371" s="5"/>
      <c r="C371" s="7"/>
      <c r="D371" s="6"/>
      <c r="E371" s="6"/>
      <c r="F371" s="7"/>
      <c r="G371" s="6"/>
      <c r="H371" s="6"/>
      <c r="I371" s="6"/>
      <c r="J371" s="6"/>
      <c r="K371" s="5"/>
      <c r="L371" s="7"/>
      <c r="M371" s="6"/>
      <c r="N371" s="6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x14ac:dyDescent="0.25" r="372" customHeight="1" ht="12.75">
      <c r="A372" s="3"/>
      <c r="B372" s="5"/>
      <c r="C372" s="7"/>
      <c r="D372" s="6"/>
      <c r="E372" s="6"/>
      <c r="F372" s="7"/>
      <c r="G372" s="6"/>
      <c r="H372" s="6"/>
      <c r="I372" s="6"/>
      <c r="J372" s="6"/>
      <c r="K372" s="5"/>
      <c r="L372" s="7"/>
      <c r="M372" s="6"/>
      <c r="N372" s="6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x14ac:dyDescent="0.25" r="373" customHeight="1" ht="12.75">
      <c r="A373" s="3"/>
      <c r="B373" s="5"/>
      <c r="C373" s="7"/>
      <c r="D373" s="6"/>
      <c r="E373" s="6"/>
      <c r="F373" s="7"/>
      <c r="G373" s="6"/>
      <c r="H373" s="6"/>
      <c r="I373" s="6"/>
      <c r="J373" s="6"/>
      <c r="K373" s="5"/>
      <c r="L373" s="7"/>
      <c r="M373" s="6"/>
      <c r="N373" s="6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x14ac:dyDescent="0.25" r="374" customHeight="1" ht="12.75">
      <c r="A374" s="3"/>
      <c r="B374" s="5"/>
      <c r="C374" s="7"/>
      <c r="D374" s="6"/>
      <c r="E374" s="6"/>
      <c r="F374" s="7"/>
      <c r="G374" s="6"/>
      <c r="H374" s="6"/>
      <c r="I374" s="6"/>
      <c r="J374" s="6"/>
      <c r="K374" s="5"/>
      <c r="L374" s="7"/>
      <c r="M374" s="6"/>
      <c r="N374" s="6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x14ac:dyDescent="0.25" r="375" customHeight="1" ht="12.75">
      <c r="A375" s="3"/>
      <c r="B375" s="5"/>
      <c r="C375" s="7"/>
      <c r="D375" s="6"/>
      <c r="E375" s="6"/>
      <c r="F375" s="7"/>
      <c r="G375" s="6"/>
      <c r="H375" s="6"/>
      <c r="I375" s="6"/>
      <c r="J375" s="6"/>
      <c r="K375" s="5"/>
      <c r="L375" s="7"/>
      <c r="M375" s="6"/>
      <c r="N375" s="6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x14ac:dyDescent="0.25" r="376" customHeight="1" ht="12.75">
      <c r="A376" s="3"/>
      <c r="B376" s="5"/>
      <c r="C376" s="7"/>
      <c r="D376" s="6"/>
      <c r="E376" s="6"/>
      <c r="F376" s="7"/>
      <c r="G376" s="6"/>
      <c r="H376" s="6"/>
      <c r="I376" s="6"/>
      <c r="J376" s="6"/>
      <c r="K376" s="5"/>
      <c r="L376" s="7"/>
      <c r="M376" s="6"/>
      <c r="N376" s="6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x14ac:dyDescent="0.25" r="377" customHeight="1" ht="12.75">
      <c r="A377" s="3"/>
      <c r="B377" s="5"/>
      <c r="C377" s="7"/>
      <c r="D377" s="6"/>
      <c r="E377" s="6"/>
      <c r="F377" s="7"/>
      <c r="G377" s="6"/>
      <c r="H377" s="6"/>
      <c r="I377" s="6"/>
      <c r="J377" s="6"/>
      <c r="K377" s="5"/>
      <c r="L377" s="7"/>
      <c r="M377" s="6"/>
      <c r="N377" s="6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x14ac:dyDescent="0.25" r="378" customHeight="1" ht="12.75">
      <c r="A378" s="3"/>
      <c r="B378" s="5"/>
      <c r="C378" s="7"/>
      <c r="D378" s="6"/>
      <c r="E378" s="6"/>
      <c r="F378" s="7"/>
      <c r="G378" s="6"/>
      <c r="H378" s="6"/>
      <c r="I378" s="6"/>
      <c r="J378" s="6"/>
      <c r="K378" s="5"/>
      <c r="L378" s="7"/>
      <c r="M378" s="6"/>
      <c r="N378" s="6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x14ac:dyDescent="0.25" r="379" customHeight="1" ht="12.75">
      <c r="A379" s="3"/>
      <c r="B379" s="5"/>
      <c r="C379" s="7"/>
      <c r="D379" s="6"/>
      <c r="E379" s="6"/>
      <c r="F379" s="7"/>
      <c r="G379" s="6"/>
      <c r="H379" s="6"/>
      <c r="I379" s="6"/>
      <c r="J379" s="6"/>
      <c r="K379" s="5"/>
      <c r="L379" s="7"/>
      <c r="M379" s="6"/>
      <c r="N379" s="6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x14ac:dyDescent="0.25" r="380" customHeight="1" ht="12.75">
      <c r="A380" s="3"/>
      <c r="B380" s="5"/>
      <c r="C380" s="7"/>
      <c r="D380" s="6"/>
      <c r="E380" s="6"/>
      <c r="F380" s="7"/>
      <c r="G380" s="6"/>
      <c r="H380" s="6"/>
      <c r="I380" s="6"/>
      <c r="J380" s="6"/>
      <c r="K380" s="5"/>
      <c r="L380" s="7"/>
      <c r="M380" s="6"/>
      <c r="N380" s="6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x14ac:dyDescent="0.25" r="381" customHeight="1" ht="12.75">
      <c r="A381" s="3"/>
      <c r="B381" s="5"/>
      <c r="C381" s="7"/>
      <c r="D381" s="6"/>
      <c r="E381" s="6"/>
      <c r="F381" s="7"/>
      <c r="G381" s="6"/>
      <c r="H381" s="6"/>
      <c r="I381" s="6"/>
      <c r="J381" s="6"/>
      <c r="K381" s="5"/>
      <c r="L381" s="7"/>
      <c r="M381" s="6"/>
      <c r="N381" s="6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x14ac:dyDescent="0.25" r="382" customHeight="1" ht="12.75">
      <c r="A382" s="3"/>
      <c r="B382" s="5"/>
      <c r="C382" s="7"/>
      <c r="D382" s="6"/>
      <c r="E382" s="6"/>
      <c r="F382" s="7"/>
      <c r="G382" s="6"/>
      <c r="H382" s="6"/>
      <c r="I382" s="6"/>
      <c r="J382" s="6"/>
      <c r="K382" s="5"/>
      <c r="L382" s="7"/>
      <c r="M382" s="6"/>
      <c r="N382" s="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x14ac:dyDescent="0.25" r="383" customHeight="1" ht="12.75">
      <c r="A383" s="3"/>
      <c r="B383" s="5"/>
      <c r="C383" s="7"/>
      <c r="D383" s="6"/>
      <c r="E383" s="6"/>
      <c r="F383" s="7"/>
      <c r="G383" s="6"/>
      <c r="H383" s="6"/>
      <c r="I383" s="6"/>
      <c r="J383" s="6"/>
      <c r="K383" s="5"/>
      <c r="L383" s="7"/>
      <c r="M383" s="6"/>
      <c r="N383" s="6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x14ac:dyDescent="0.25" r="384" customHeight="1" ht="12.75">
      <c r="A384" s="3"/>
      <c r="B384" s="5"/>
      <c r="C384" s="7"/>
      <c r="D384" s="6"/>
      <c r="E384" s="6"/>
      <c r="F384" s="7"/>
      <c r="G384" s="6"/>
      <c r="H384" s="6"/>
      <c r="I384" s="6"/>
      <c r="J384" s="6"/>
      <c r="K384" s="5"/>
      <c r="L384" s="7"/>
      <c r="M384" s="6"/>
      <c r="N384" s="6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x14ac:dyDescent="0.25" r="385" customHeight="1" ht="12.75">
      <c r="A385" s="3"/>
      <c r="B385" s="5"/>
      <c r="C385" s="7"/>
      <c r="D385" s="6"/>
      <c r="E385" s="6"/>
      <c r="F385" s="7"/>
      <c r="G385" s="6"/>
      <c r="H385" s="6"/>
      <c r="I385" s="6"/>
      <c r="J385" s="6"/>
      <c r="K385" s="5"/>
      <c r="L385" s="7"/>
      <c r="M385" s="6"/>
      <c r="N385" s="6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x14ac:dyDescent="0.25" r="386" customHeight="1" ht="12.75">
      <c r="A386" s="3"/>
      <c r="B386" s="5"/>
      <c r="C386" s="7"/>
      <c r="D386" s="6"/>
      <c r="E386" s="6"/>
      <c r="F386" s="7"/>
      <c r="G386" s="6"/>
      <c r="H386" s="6"/>
      <c r="I386" s="6"/>
      <c r="J386" s="6"/>
      <c r="K386" s="5"/>
      <c r="L386" s="7"/>
      <c r="M386" s="6"/>
      <c r="N386" s="6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x14ac:dyDescent="0.25" r="387" customHeight="1" ht="12.75">
      <c r="A387" s="3"/>
      <c r="B387" s="5"/>
      <c r="C387" s="7"/>
      <c r="D387" s="6"/>
      <c r="E387" s="6"/>
      <c r="F387" s="7"/>
      <c r="G387" s="6"/>
      <c r="H387" s="6"/>
      <c r="I387" s="6"/>
      <c r="J387" s="6"/>
      <c r="K387" s="5"/>
      <c r="L387" s="7"/>
      <c r="M387" s="6"/>
      <c r="N387" s="6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x14ac:dyDescent="0.25" r="388" customHeight="1" ht="12.75">
      <c r="A388" s="3"/>
      <c r="B388" s="5"/>
      <c r="C388" s="7"/>
      <c r="D388" s="6"/>
      <c r="E388" s="6"/>
      <c r="F388" s="7"/>
      <c r="G388" s="6"/>
      <c r="H388" s="6"/>
      <c r="I388" s="6"/>
      <c r="J388" s="6"/>
      <c r="K388" s="5"/>
      <c r="L388" s="7"/>
      <c r="M388" s="6"/>
      <c r="N388" s="6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x14ac:dyDescent="0.25" r="389" customHeight="1" ht="12.75">
      <c r="A389" s="3"/>
      <c r="B389" s="5"/>
      <c r="C389" s="7"/>
      <c r="D389" s="6"/>
      <c r="E389" s="6"/>
      <c r="F389" s="7"/>
      <c r="G389" s="6"/>
      <c r="H389" s="6"/>
      <c r="I389" s="6"/>
      <c r="J389" s="6"/>
      <c r="K389" s="5"/>
      <c r="L389" s="7"/>
      <c r="M389" s="6"/>
      <c r="N389" s="6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x14ac:dyDescent="0.25" r="390" customHeight="1" ht="12.75">
      <c r="A390" s="3"/>
      <c r="B390" s="5"/>
      <c r="C390" s="7"/>
      <c r="D390" s="6"/>
      <c r="E390" s="6"/>
      <c r="F390" s="7"/>
      <c r="G390" s="6"/>
      <c r="H390" s="6"/>
      <c r="I390" s="6"/>
      <c r="J390" s="6"/>
      <c r="K390" s="5"/>
      <c r="L390" s="7"/>
      <c r="M390" s="6"/>
      <c r="N390" s="6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x14ac:dyDescent="0.25" r="391" customHeight="1" ht="12.75">
      <c r="A391" s="3"/>
      <c r="B391" s="5"/>
      <c r="C391" s="7"/>
      <c r="D391" s="6"/>
      <c r="E391" s="6"/>
      <c r="F391" s="7"/>
      <c r="G391" s="6"/>
      <c r="H391" s="6"/>
      <c r="I391" s="6"/>
      <c r="J391" s="6"/>
      <c r="K391" s="5"/>
      <c r="L391" s="7"/>
      <c r="M391" s="6"/>
      <c r="N391" s="6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x14ac:dyDescent="0.25" r="392" customHeight="1" ht="12.75">
      <c r="A392" s="3"/>
      <c r="B392" s="5"/>
      <c r="C392" s="7"/>
      <c r="D392" s="6"/>
      <c r="E392" s="6"/>
      <c r="F392" s="7"/>
      <c r="G392" s="6"/>
      <c r="H392" s="6"/>
      <c r="I392" s="6"/>
      <c r="J392" s="6"/>
      <c r="K392" s="5"/>
      <c r="L392" s="7"/>
      <c r="M392" s="6"/>
      <c r="N392" s="6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x14ac:dyDescent="0.25" r="393" customHeight="1" ht="12.75">
      <c r="A393" s="3"/>
      <c r="B393" s="5"/>
      <c r="C393" s="7"/>
      <c r="D393" s="6"/>
      <c r="E393" s="6"/>
      <c r="F393" s="7"/>
      <c r="G393" s="6"/>
      <c r="H393" s="6"/>
      <c r="I393" s="6"/>
      <c r="J393" s="6"/>
      <c r="K393" s="5"/>
      <c r="L393" s="7"/>
      <c r="M393" s="6"/>
      <c r="N393" s="6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x14ac:dyDescent="0.25" r="394" customHeight="1" ht="12.75">
      <c r="A394" s="3"/>
      <c r="B394" s="5"/>
      <c r="C394" s="7"/>
      <c r="D394" s="6"/>
      <c r="E394" s="6"/>
      <c r="F394" s="7"/>
      <c r="G394" s="6"/>
      <c r="H394" s="6"/>
      <c r="I394" s="6"/>
      <c r="J394" s="6"/>
      <c r="K394" s="5"/>
      <c r="L394" s="7"/>
      <c r="M394" s="6"/>
      <c r="N394" s="6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x14ac:dyDescent="0.25" r="395" customHeight="1" ht="12.75">
      <c r="A395" s="3"/>
      <c r="B395" s="5"/>
      <c r="C395" s="7"/>
      <c r="D395" s="6"/>
      <c r="E395" s="6"/>
      <c r="F395" s="7"/>
      <c r="G395" s="6"/>
      <c r="H395" s="6"/>
      <c r="I395" s="6"/>
      <c r="J395" s="6"/>
      <c r="K395" s="5"/>
      <c r="L395" s="7"/>
      <c r="M395" s="6"/>
      <c r="N395" s="6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x14ac:dyDescent="0.25" r="396" customHeight="1" ht="12.75">
      <c r="A396" s="3"/>
      <c r="B396" s="5"/>
      <c r="C396" s="7"/>
      <c r="D396" s="6"/>
      <c r="E396" s="6"/>
      <c r="F396" s="7"/>
      <c r="G396" s="6"/>
      <c r="H396" s="6"/>
      <c r="I396" s="6"/>
      <c r="J396" s="6"/>
      <c r="K396" s="5"/>
      <c r="L396" s="7"/>
      <c r="M396" s="6"/>
      <c r="N396" s="6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x14ac:dyDescent="0.25" r="397" customHeight="1" ht="12.75">
      <c r="A397" s="3"/>
      <c r="B397" s="5"/>
      <c r="C397" s="7"/>
      <c r="D397" s="6"/>
      <c r="E397" s="6"/>
      <c r="F397" s="7"/>
      <c r="G397" s="6"/>
      <c r="H397" s="6"/>
      <c r="I397" s="6"/>
      <c r="J397" s="6"/>
      <c r="K397" s="5"/>
      <c r="L397" s="7"/>
      <c r="M397" s="6"/>
      <c r="N397" s="6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x14ac:dyDescent="0.25" r="398" customHeight="1" ht="12.75">
      <c r="A398" s="3"/>
      <c r="B398" s="5"/>
      <c r="C398" s="7"/>
      <c r="D398" s="6"/>
      <c r="E398" s="6"/>
      <c r="F398" s="7"/>
      <c r="G398" s="6"/>
      <c r="H398" s="6"/>
      <c r="I398" s="6"/>
      <c r="J398" s="6"/>
      <c r="K398" s="5"/>
      <c r="L398" s="7"/>
      <c r="M398" s="6"/>
      <c r="N398" s="6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x14ac:dyDescent="0.25" r="399" customHeight="1" ht="12.75">
      <c r="A399" s="3"/>
      <c r="B399" s="5"/>
      <c r="C399" s="7"/>
      <c r="D399" s="6"/>
      <c r="E399" s="6"/>
      <c r="F399" s="7"/>
      <c r="G399" s="6"/>
      <c r="H399" s="6"/>
      <c r="I399" s="6"/>
      <c r="J399" s="6"/>
      <c r="K399" s="5"/>
      <c r="L399" s="7"/>
      <c r="M399" s="6"/>
      <c r="N399" s="6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x14ac:dyDescent="0.25" r="400" customHeight="1" ht="12.75">
      <c r="A400" s="3"/>
      <c r="B400" s="5"/>
      <c r="C400" s="7"/>
      <c r="D400" s="6"/>
      <c r="E400" s="6"/>
      <c r="F400" s="7"/>
      <c r="G400" s="6"/>
      <c r="H400" s="6"/>
      <c r="I400" s="6"/>
      <c r="J400" s="6"/>
      <c r="K400" s="5"/>
      <c r="L400" s="7"/>
      <c r="M400" s="6"/>
      <c r="N400" s="6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x14ac:dyDescent="0.25" r="401" customHeight="1" ht="12.75">
      <c r="A401" s="3"/>
      <c r="B401" s="5"/>
      <c r="C401" s="7"/>
      <c r="D401" s="6"/>
      <c r="E401" s="6"/>
      <c r="F401" s="7"/>
      <c r="G401" s="6"/>
      <c r="H401" s="6"/>
      <c r="I401" s="6"/>
      <c r="J401" s="6"/>
      <c r="K401" s="5"/>
      <c r="L401" s="7"/>
      <c r="M401" s="6"/>
      <c r="N401" s="6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x14ac:dyDescent="0.25" r="402" customHeight="1" ht="12.75">
      <c r="A402" s="3"/>
      <c r="B402" s="5"/>
      <c r="C402" s="7"/>
      <c r="D402" s="6"/>
      <c r="E402" s="6"/>
      <c r="F402" s="7"/>
      <c r="G402" s="6"/>
      <c r="H402" s="6"/>
      <c r="I402" s="6"/>
      <c r="J402" s="6"/>
      <c r="K402" s="5"/>
      <c r="L402" s="7"/>
      <c r="M402" s="6"/>
      <c r="N402" s="6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x14ac:dyDescent="0.25" r="403" customHeight="1" ht="12.75">
      <c r="A403" s="3"/>
      <c r="B403" s="5"/>
      <c r="C403" s="7"/>
      <c r="D403" s="6"/>
      <c r="E403" s="6"/>
      <c r="F403" s="7"/>
      <c r="G403" s="6"/>
      <c r="H403" s="6"/>
      <c r="I403" s="6"/>
      <c r="J403" s="6"/>
      <c r="K403" s="5"/>
      <c r="L403" s="7"/>
      <c r="M403" s="6"/>
      <c r="N403" s="6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x14ac:dyDescent="0.25" r="404" customHeight="1" ht="12.75">
      <c r="A404" s="3"/>
      <c r="B404" s="5"/>
      <c r="C404" s="7"/>
      <c r="D404" s="6"/>
      <c r="E404" s="6"/>
      <c r="F404" s="7"/>
      <c r="G404" s="6"/>
      <c r="H404" s="6"/>
      <c r="I404" s="6"/>
      <c r="J404" s="6"/>
      <c r="K404" s="5"/>
      <c r="L404" s="7"/>
      <c r="M404" s="6"/>
      <c r="N404" s="6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x14ac:dyDescent="0.25" r="405" customHeight="1" ht="12.75">
      <c r="A405" s="3"/>
      <c r="B405" s="5"/>
      <c r="C405" s="7"/>
      <c r="D405" s="6"/>
      <c r="E405" s="6"/>
      <c r="F405" s="7"/>
      <c r="G405" s="6"/>
      <c r="H405" s="6"/>
      <c r="I405" s="6"/>
      <c r="J405" s="6"/>
      <c r="K405" s="5"/>
      <c r="L405" s="7"/>
      <c r="M405" s="6"/>
      <c r="N405" s="6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x14ac:dyDescent="0.25" r="406" customHeight="1" ht="12.75">
      <c r="A406" s="3"/>
      <c r="B406" s="5"/>
      <c r="C406" s="7"/>
      <c r="D406" s="6"/>
      <c r="E406" s="6"/>
      <c r="F406" s="7"/>
      <c r="G406" s="6"/>
      <c r="H406" s="6"/>
      <c r="I406" s="6"/>
      <c r="J406" s="6"/>
      <c r="K406" s="5"/>
      <c r="L406" s="7"/>
      <c r="M406" s="6"/>
      <c r="N406" s="6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x14ac:dyDescent="0.25" r="407" customHeight="1" ht="12.75">
      <c r="A407" s="3"/>
      <c r="B407" s="5"/>
      <c r="C407" s="7"/>
      <c r="D407" s="6"/>
      <c r="E407" s="6"/>
      <c r="F407" s="7"/>
      <c r="G407" s="6"/>
      <c r="H407" s="6"/>
      <c r="I407" s="6"/>
      <c r="J407" s="6"/>
      <c r="K407" s="5"/>
      <c r="L407" s="7"/>
      <c r="M407" s="6"/>
      <c r="N407" s="6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x14ac:dyDescent="0.25" r="408" customHeight="1" ht="12.75">
      <c r="A408" s="3"/>
      <c r="B408" s="5"/>
      <c r="C408" s="7"/>
      <c r="D408" s="6"/>
      <c r="E408" s="6"/>
      <c r="F408" s="7"/>
      <c r="G408" s="6"/>
      <c r="H408" s="6"/>
      <c r="I408" s="6"/>
      <c r="J408" s="6"/>
      <c r="K408" s="5"/>
      <c r="L408" s="7"/>
      <c r="M408" s="6"/>
      <c r="N408" s="6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x14ac:dyDescent="0.25" r="409" customHeight="1" ht="12.75">
      <c r="A409" s="3"/>
      <c r="B409" s="5"/>
      <c r="C409" s="7"/>
      <c r="D409" s="6"/>
      <c r="E409" s="6"/>
      <c r="F409" s="7"/>
      <c r="G409" s="6"/>
      <c r="H409" s="6"/>
      <c r="I409" s="6"/>
      <c r="J409" s="6"/>
      <c r="K409" s="5"/>
      <c r="L409" s="7"/>
      <c r="M409" s="6"/>
      <c r="N409" s="6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x14ac:dyDescent="0.25" r="410" customHeight="1" ht="12.75">
      <c r="A410" s="3"/>
      <c r="B410" s="5"/>
      <c r="C410" s="7"/>
      <c r="D410" s="6"/>
      <c r="E410" s="6"/>
      <c r="F410" s="7"/>
      <c r="G410" s="6"/>
      <c r="H410" s="6"/>
      <c r="I410" s="6"/>
      <c r="J410" s="6"/>
      <c r="K410" s="5"/>
      <c r="L410" s="7"/>
      <c r="M410" s="6"/>
      <c r="N410" s="6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x14ac:dyDescent="0.25" r="411" customHeight="1" ht="12.75">
      <c r="A411" s="3"/>
      <c r="B411" s="5"/>
      <c r="C411" s="7"/>
      <c r="D411" s="6"/>
      <c r="E411" s="6"/>
      <c r="F411" s="7"/>
      <c r="G411" s="6"/>
      <c r="H411" s="6"/>
      <c r="I411" s="6"/>
      <c r="J411" s="6"/>
      <c r="K411" s="5"/>
      <c r="L411" s="7"/>
      <c r="M411" s="6"/>
      <c r="N411" s="6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x14ac:dyDescent="0.25" r="412" customHeight="1" ht="12.75">
      <c r="A412" s="3"/>
      <c r="B412" s="5"/>
      <c r="C412" s="7"/>
      <c r="D412" s="6"/>
      <c r="E412" s="6"/>
      <c r="F412" s="7"/>
      <c r="G412" s="6"/>
      <c r="H412" s="6"/>
      <c r="I412" s="6"/>
      <c r="J412" s="6"/>
      <c r="K412" s="5"/>
      <c r="L412" s="7"/>
      <c r="M412" s="6"/>
      <c r="N412" s="6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x14ac:dyDescent="0.25" r="413" customHeight="1" ht="12.75">
      <c r="A413" s="3"/>
      <c r="B413" s="5"/>
      <c r="C413" s="7"/>
      <c r="D413" s="6"/>
      <c r="E413" s="6"/>
      <c r="F413" s="7"/>
      <c r="G413" s="6"/>
      <c r="H413" s="6"/>
      <c r="I413" s="6"/>
      <c r="J413" s="6"/>
      <c r="K413" s="5"/>
      <c r="L413" s="7"/>
      <c r="M413" s="6"/>
      <c r="N413" s="6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x14ac:dyDescent="0.25" r="414" customHeight="1" ht="12.75">
      <c r="A414" s="3"/>
      <c r="B414" s="5"/>
      <c r="C414" s="7"/>
      <c r="D414" s="6"/>
      <c r="E414" s="6"/>
      <c r="F414" s="7"/>
      <c r="G414" s="6"/>
      <c r="H414" s="6"/>
      <c r="I414" s="6"/>
      <c r="J414" s="6"/>
      <c r="K414" s="5"/>
      <c r="L414" s="7"/>
      <c r="M414" s="6"/>
      <c r="N414" s="6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x14ac:dyDescent="0.25" r="415" customHeight="1" ht="12.75">
      <c r="A415" s="3"/>
      <c r="B415" s="5"/>
      <c r="C415" s="7"/>
      <c r="D415" s="6"/>
      <c r="E415" s="6"/>
      <c r="F415" s="7"/>
      <c r="G415" s="6"/>
      <c r="H415" s="6"/>
      <c r="I415" s="6"/>
      <c r="J415" s="6"/>
      <c r="K415" s="5"/>
      <c r="L415" s="7"/>
      <c r="M415" s="6"/>
      <c r="N415" s="6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x14ac:dyDescent="0.25" r="416" customHeight="1" ht="12.75">
      <c r="A416" s="3"/>
      <c r="B416" s="5"/>
      <c r="C416" s="7"/>
      <c r="D416" s="6"/>
      <c r="E416" s="6"/>
      <c r="F416" s="7"/>
      <c r="G416" s="6"/>
      <c r="H416" s="6"/>
      <c r="I416" s="6"/>
      <c r="J416" s="6"/>
      <c r="K416" s="5"/>
      <c r="L416" s="7"/>
      <c r="M416" s="6"/>
      <c r="N416" s="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x14ac:dyDescent="0.25" r="417" customHeight="1" ht="12.75">
      <c r="A417" s="3"/>
      <c r="B417" s="5"/>
      <c r="C417" s="7"/>
      <c r="D417" s="6"/>
      <c r="E417" s="6"/>
      <c r="F417" s="7"/>
      <c r="G417" s="6"/>
      <c r="H417" s="6"/>
      <c r="I417" s="6"/>
      <c r="J417" s="6"/>
      <c r="K417" s="5"/>
      <c r="L417" s="7"/>
      <c r="M417" s="6"/>
      <c r="N417" s="6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x14ac:dyDescent="0.25" r="418" customHeight="1" ht="12.75">
      <c r="A418" s="3"/>
      <c r="B418" s="5"/>
      <c r="C418" s="7"/>
      <c r="D418" s="6"/>
      <c r="E418" s="6"/>
      <c r="F418" s="7"/>
      <c r="G418" s="6"/>
      <c r="H418" s="6"/>
      <c r="I418" s="6"/>
      <c r="J418" s="6"/>
      <c r="K418" s="5"/>
      <c r="L418" s="7"/>
      <c r="M418" s="6"/>
      <c r="N418" s="6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x14ac:dyDescent="0.25" r="419" customHeight="1" ht="12.75">
      <c r="A419" s="3"/>
      <c r="B419" s="5"/>
      <c r="C419" s="7"/>
      <c r="D419" s="6"/>
      <c r="E419" s="6"/>
      <c r="F419" s="7"/>
      <c r="G419" s="6"/>
      <c r="H419" s="6"/>
      <c r="I419" s="6"/>
      <c r="J419" s="6"/>
      <c r="K419" s="5"/>
      <c r="L419" s="7"/>
      <c r="M419" s="6"/>
      <c r="N419" s="6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x14ac:dyDescent="0.25" r="420" customHeight="1" ht="12.75">
      <c r="A420" s="3"/>
      <c r="B420" s="5"/>
      <c r="C420" s="7"/>
      <c r="D420" s="6"/>
      <c r="E420" s="6"/>
      <c r="F420" s="7"/>
      <c r="G420" s="6"/>
      <c r="H420" s="6"/>
      <c r="I420" s="6"/>
      <c r="J420" s="6"/>
      <c r="K420" s="5"/>
      <c r="L420" s="7"/>
      <c r="M420" s="6"/>
      <c r="N420" s="6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x14ac:dyDescent="0.25" r="421" customHeight="1" ht="12.75">
      <c r="A421" s="3"/>
      <c r="B421" s="5"/>
      <c r="C421" s="7"/>
      <c r="D421" s="6"/>
      <c r="E421" s="6"/>
      <c r="F421" s="7"/>
      <c r="G421" s="6"/>
      <c r="H421" s="6"/>
      <c r="I421" s="6"/>
      <c r="J421" s="6"/>
      <c r="K421" s="5"/>
      <c r="L421" s="7"/>
      <c r="M421" s="6"/>
      <c r="N421" s="6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x14ac:dyDescent="0.25" r="422" customHeight="1" ht="12.75">
      <c r="A422" s="3"/>
      <c r="B422" s="5"/>
      <c r="C422" s="7"/>
      <c r="D422" s="6"/>
      <c r="E422" s="6"/>
      <c r="F422" s="7"/>
      <c r="G422" s="6"/>
      <c r="H422" s="6"/>
      <c r="I422" s="6"/>
      <c r="J422" s="6"/>
      <c r="K422" s="5"/>
      <c r="L422" s="7"/>
      <c r="M422" s="6"/>
      <c r="N422" s="6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x14ac:dyDescent="0.25" r="423" customHeight="1" ht="12.75">
      <c r="A423" s="3"/>
      <c r="B423" s="5"/>
      <c r="C423" s="7"/>
      <c r="D423" s="6"/>
      <c r="E423" s="6"/>
      <c r="F423" s="7"/>
      <c r="G423" s="6"/>
      <c r="H423" s="6"/>
      <c r="I423" s="6"/>
      <c r="J423" s="6"/>
      <c r="K423" s="5"/>
      <c r="L423" s="7"/>
      <c r="M423" s="6"/>
      <c r="N423" s="6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x14ac:dyDescent="0.25" r="424" customHeight="1" ht="12.75">
      <c r="A424" s="3"/>
      <c r="B424" s="5"/>
      <c r="C424" s="7"/>
      <c r="D424" s="6"/>
      <c r="E424" s="6"/>
      <c r="F424" s="7"/>
      <c r="G424" s="6"/>
      <c r="H424" s="6"/>
      <c r="I424" s="6"/>
      <c r="J424" s="6"/>
      <c r="K424" s="5"/>
      <c r="L424" s="7"/>
      <c r="M424" s="6"/>
      <c r="N424" s="6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x14ac:dyDescent="0.25" r="425" customHeight="1" ht="12.75">
      <c r="A425" s="3"/>
      <c r="B425" s="5"/>
      <c r="C425" s="7"/>
      <c r="D425" s="6"/>
      <c r="E425" s="6"/>
      <c r="F425" s="7"/>
      <c r="G425" s="6"/>
      <c r="H425" s="6"/>
      <c r="I425" s="6"/>
      <c r="J425" s="6"/>
      <c r="K425" s="5"/>
      <c r="L425" s="7"/>
      <c r="M425" s="6"/>
      <c r="N425" s="6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x14ac:dyDescent="0.25" r="426" customHeight="1" ht="12.75">
      <c r="A426" s="3"/>
      <c r="B426" s="5"/>
      <c r="C426" s="7"/>
      <c r="D426" s="6"/>
      <c r="E426" s="6"/>
      <c r="F426" s="7"/>
      <c r="G426" s="6"/>
      <c r="H426" s="6"/>
      <c r="I426" s="6"/>
      <c r="J426" s="6"/>
      <c r="K426" s="5"/>
      <c r="L426" s="7"/>
      <c r="M426" s="6"/>
      <c r="N426" s="6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x14ac:dyDescent="0.25" r="427" customHeight="1" ht="12.75">
      <c r="A427" s="3"/>
      <c r="B427" s="5"/>
      <c r="C427" s="7"/>
      <c r="D427" s="6"/>
      <c r="E427" s="6"/>
      <c r="F427" s="7"/>
      <c r="G427" s="6"/>
      <c r="H427" s="6"/>
      <c r="I427" s="6"/>
      <c r="J427" s="6"/>
      <c r="K427" s="5"/>
      <c r="L427" s="7"/>
      <c r="M427" s="6"/>
      <c r="N427" s="6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x14ac:dyDescent="0.25" r="428" customHeight="1" ht="12.75">
      <c r="A428" s="3"/>
      <c r="B428" s="5"/>
      <c r="C428" s="7"/>
      <c r="D428" s="6"/>
      <c r="E428" s="6"/>
      <c r="F428" s="7"/>
      <c r="G428" s="6"/>
      <c r="H428" s="6"/>
      <c r="I428" s="6"/>
      <c r="J428" s="6"/>
      <c r="K428" s="5"/>
      <c r="L428" s="7"/>
      <c r="M428" s="6"/>
      <c r="N428" s="6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x14ac:dyDescent="0.25" r="429" customHeight="1" ht="12.75">
      <c r="A429" s="3"/>
      <c r="B429" s="5"/>
      <c r="C429" s="7"/>
      <c r="D429" s="6"/>
      <c r="E429" s="6"/>
      <c r="F429" s="7"/>
      <c r="G429" s="6"/>
      <c r="H429" s="6"/>
      <c r="I429" s="6"/>
      <c r="J429" s="6"/>
      <c r="K429" s="5"/>
      <c r="L429" s="7"/>
      <c r="M429" s="6"/>
      <c r="N429" s="6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x14ac:dyDescent="0.25" r="430" customHeight="1" ht="12.75">
      <c r="A430" s="3"/>
      <c r="B430" s="5"/>
      <c r="C430" s="7"/>
      <c r="D430" s="6"/>
      <c r="E430" s="6"/>
      <c r="F430" s="7"/>
      <c r="G430" s="6"/>
      <c r="H430" s="6"/>
      <c r="I430" s="6"/>
      <c r="J430" s="6"/>
      <c r="K430" s="5"/>
      <c r="L430" s="7"/>
      <c r="M430" s="6"/>
      <c r="N430" s="6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x14ac:dyDescent="0.25" r="431" customHeight="1" ht="12.75">
      <c r="A431" s="3"/>
      <c r="B431" s="5"/>
      <c r="C431" s="7"/>
      <c r="D431" s="6"/>
      <c r="E431" s="6"/>
      <c r="F431" s="7"/>
      <c r="G431" s="6"/>
      <c r="H431" s="6"/>
      <c r="I431" s="6"/>
      <c r="J431" s="6"/>
      <c r="K431" s="5"/>
      <c r="L431" s="7"/>
      <c r="M431" s="6"/>
      <c r="N431" s="6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x14ac:dyDescent="0.25" r="432" customHeight="1" ht="12.75">
      <c r="A432" s="3"/>
      <c r="B432" s="5"/>
      <c r="C432" s="7"/>
      <c r="D432" s="6"/>
      <c r="E432" s="6"/>
      <c r="F432" s="7"/>
      <c r="G432" s="6"/>
      <c r="H432" s="6"/>
      <c r="I432" s="6"/>
      <c r="J432" s="6"/>
      <c r="K432" s="5"/>
      <c r="L432" s="7"/>
      <c r="M432" s="6"/>
      <c r="N432" s="6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x14ac:dyDescent="0.25" r="433" customHeight="1" ht="12.75">
      <c r="A433" s="3"/>
      <c r="B433" s="5"/>
      <c r="C433" s="7"/>
      <c r="D433" s="6"/>
      <c r="E433" s="6"/>
      <c r="F433" s="7"/>
      <c r="G433" s="6"/>
      <c r="H433" s="6"/>
      <c r="I433" s="6"/>
      <c r="J433" s="6"/>
      <c r="K433" s="5"/>
      <c r="L433" s="7"/>
      <c r="M433" s="6"/>
      <c r="N433" s="6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x14ac:dyDescent="0.25" r="434" customHeight="1" ht="12.75">
      <c r="A434" s="3"/>
      <c r="B434" s="5"/>
      <c r="C434" s="7"/>
      <c r="D434" s="6"/>
      <c r="E434" s="6"/>
      <c r="F434" s="7"/>
      <c r="G434" s="6"/>
      <c r="H434" s="6"/>
      <c r="I434" s="6"/>
      <c r="J434" s="6"/>
      <c r="K434" s="5"/>
      <c r="L434" s="7"/>
      <c r="M434" s="6"/>
      <c r="N434" s="6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x14ac:dyDescent="0.25" r="435" customHeight="1" ht="12.75">
      <c r="A435" s="3"/>
      <c r="B435" s="5"/>
      <c r="C435" s="7"/>
      <c r="D435" s="6"/>
      <c r="E435" s="6"/>
      <c r="F435" s="7"/>
      <c r="G435" s="6"/>
      <c r="H435" s="6"/>
      <c r="I435" s="6"/>
      <c r="J435" s="6"/>
      <c r="K435" s="5"/>
      <c r="L435" s="7"/>
      <c r="M435" s="6"/>
      <c r="N435" s="6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x14ac:dyDescent="0.25" r="436" customHeight="1" ht="12.75">
      <c r="A436" s="3"/>
      <c r="B436" s="5"/>
      <c r="C436" s="7"/>
      <c r="D436" s="6"/>
      <c r="E436" s="6"/>
      <c r="F436" s="7"/>
      <c r="G436" s="6"/>
      <c r="H436" s="6"/>
      <c r="I436" s="6"/>
      <c r="J436" s="6"/>
      <c r="K436" s="5"/>
      <c r="L436" s="7"/>
      <c r="M436" s="6"/>
      <c r="N436" s="6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x14ac:dyDescent="0.25" r="437" customHeight="1" ht="12.75">
      <c r="A437" s="3"/>
      <c r="B437" s="5"/>
      <c r="C437" s="7"/>
      <c r="D437" s="6"/>
      <c r="E437" s="6"/>
      <c r="F437" s="7"/>
      <c r="G437" s="6"/>
      <c r="H437" s="6"/>
      <c r="I437" s="6"/>
      <c r="J437" s="6"/>
      <c r="K437" s="5"/>
      <c r="L437" s="7"/>
      <c r="M437" s="6"/>
      <c r="N437" s="6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x14ac:dyDescent="0.25" r="438" customHeight="1" ht="12.75">
      <c r="A438" s="3"/>
      <c r="B438" s="5"/>
      <c r="C438" s="7"/>
      <c r="D438" s="6"/>
      <c r="E438" s="6"/>
      <c r="F438" s="7"/>
      <c r="G438" s="6"/>
      <c r="H438" s="6"/>
      <c r="I438" s="6"/>
      <c r="J438" s="6"/>
      <c r="K438" s="5"/>
      <c r="L438" s="7"/>
      <c r="M438" s="6"/>
      <c r="N438" s="6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x14ac:dyDescent="0.25" r="439" customHeight="1" ht="12.75">
      <c r="A439" s="3"/>
      <c r="B439" s="5"/>
      <c r="C439" s="7"/>
      <c r="D439" s="6"/>
      <c r="E439" s="6"/>
      <c r="F439" s="7"/>
      <c r="G439" s="6"/>
      <c r="H439" s="6"/>
      <c r="I439" s="6"/>
      <c r="J439" s="6"/>
      <c r="K439" s="5"/>
      <c r="L439" s="7"/>
      <c r="M439" s="6"/>
      <c r="N439" s="6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x14ac:dyDescent="0.25" r="440" customHeight="1" ht="12.75">
      <c r="A440" s="3"/>
      <c r="B440" s="5"/>
      <c r="C440" s="7"/>
      <c r="D440" s="6"/>
      <c r="E440" s="6"/>
      <c r="F440" s="7"/>
      <c r="G440" s="6"/>
      <c r="H440" s="6"/>
      <c r="I440" s="6"/>
      <c r="J440" s="6"/>
      <c r="K440" s="5"/>
      <c r="L440" s="7"/>
      <c r="M440" s="6"/>
      <c r="N440" s="6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x14ac:dyDescent="0.25" r="441" customHeight="1" ht="12.75">
      <c r="A441" s="3"/>
      <c r="B441" s="5"/>
      <c r="C441" s="7"/>
      <c r="D441" s="6"/>
      <c r="E441" s="6"/>
      <c r="F441" s="7"/>
      <c r="G441" s="6"/>
      <c r="H441" s="6"/>
      <c r="I441" s="6"/>
      <c r="J441" s="6"/>
      <c r="K441" s="5"/>
      <c r="L441" s="7"/>
      <c r="M441" s="6"/>
      <c r="N441" s="6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x14ac:dyDescent="0.25" r="442" customHeight="1" ht="12.75">
      <c r="A442" s="3"/>
      <c r="B442" s="5"/>
      <c r="C442" s="7"/>
      <c r="D442" s="6"/>
      <c r="E442" s="6"/>
      <c r="F442" s="7"/>
      <c r="G442" s="6"/>
      <c r="H442" s="6"/>
      <c r="I442" s="6"/>
      <c r="J442" s="6"/>
      <c r="K442" s="5"/>
      <c r="L442" s="7"/>
      <c r="M442" s="6"/>
      <c r="N442" s="6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x14ac:dyDescent="0.25" r="443" customHeight="1" ht="12.75">
      <c r="A443" s="3"/>
      <c r="B443" s="5"/>
      <c r="C443" s="7"/>
      <c r="D443" s="6"/>
      <c r="E443" s="6"/>
      <c r="F443" s="7"/>
      <c r="G443" s="6"/>
      <c r="H443" s="6"/>
      <c r="I443" s="6"/>
      <c r="J443" s="6"/>
      <c r="K443" s="5"/>
      <c r="L443" s="7"/>
      <c r="M443" s="6"/>
      <c r="N443" s="6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x14ac:dyDescent="0.25" r="444" customHeight="1" ht="12.75">
      <c r="A444" s="3"/>
      <c r="B444" s="5"/>
      <c r="C444" s="7"/>
      <c r="D444" s="6"/>
      <c r="E444" s="6"/>
      <c r="F444" s="7"/>
      <c r="G444" s="6"/>
      <c r="H444" s="6"/>
      <c r="I444" s="6"/>
      <c r="J444" s="6"/>
      <c r="K444" s="5"/>
      <c r="L444" s="7"/>
      <c r="M444" s="6"/>
      <c r="N444" s="6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x14ac:dyDescent="0.25" r="445" customHeight="1" ht="12.75">
      <c r="A445" s="3"/>
      <c r="B445" s="5"/>
      <c r="C445" s="7"/>
      <c r="D445" s="6"/>
      <c r="E445" s="6"/>
      <c r="F445" s="7"/>
      <c r="G445" s="6"/>
      <c r="H445" s="6"/>
      <c r="I445" s="6"/>
      <c r="J445" s="6"/>
      <c r="K445" s="5"/>
      <c r="L445" s="7"/>
      <c r="M445" s="6"/>
      <c r="N445" s="6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x14ac:dyDescent="0.25" r="446" customHeight="1" ht="12.75">
      <c r="A446" s="3"/>
      <c r="B446" s="5"/>
      <c r="C446" s="7"/>
      <c r="D446" s="6"/>
      <c r="E446" s="6"/>
      <c r="F446" s="7"/>
      <c r="G446" s="6"/>
      <c r="H446" s="6"/>
      <c r="I446" s="6"/>
      <c r="J446" s="6"/>
      <c r="K446" s="5"/>
      <c r="L446" s="7"/>
      <c r="M446" s="6"/>
      <c r="N446" s="6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x14ac:dyDescent="0.25" r="447" customHeight="1" ht="12.75">
      <c r="A447" s="3"/>
      <c r="B447" s="5"/>
      <c r="C447" s="7"/>
      <c r="D447" s="6"/>
      <c r="E447" s="6"/>
      <c r="F447" s="7"/>
      <c r="G447" s="6"/>
      <c r="H447" s="6"/>
      <c r="I447" s="6"/>
      <c r="J447" s="6"/>
      <c r="K447" s="5"/>
      <c r="L447" s="7"/>
      <c r="M447" s="6"/>
      <c r="N447" s="6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x14ac:dyDescent="0.25" r="448" customHeight="1" ht="12.75">
      <c r="A448" s="3"/>
      <c r="B448" s="5"/>
      <c r="C448" s="7"/>
      <c r="D448" s="6"/>
      <c r="E448" s="6"/>
      <c r="F448" s="7"/>
      <c r="G448" s="6"/>
      <c r="H448" s="6"/>
      <c r="I448" s="6"/>
      <c r="J448" s="6"/>
      <c r="K448" s="5"/>
      <c r="L448" s="7"/>
      <c r="M448" s="6"/>
      <c r="N448" s="6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x14ac:dyDescent="0.25" r="449" customHeight="1" ht="12.75">
      <c r="A449" s="3"/>
      <c r="B449" s="5"/>
      <c r="C449" s="7"/>
      <c r="D449" s="6"/>
      <c r="E449" s="6"/>
      <c r="F449" s="7"/>
      <c r="G449" s="6"/>
      <c r="H449" s="6"/>
      <c r="I449" s="6"/>
      <c r="J449" s="6"/>
      <c r="K449" s="5"/>
      <c r="L449" s="7"/>
      <c r="M449" s="6"/>
      <c r="N449" s="6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x14ac:dyDescent="0.25" r="450" customHeight="1" ht="12.75">
      <c r="A450" s="3"/>
      <c r="B450" s="5"/>
      <c r="C450" s="7"/>
      <c r="D450" s="6"/>
      <c r="E450" s="6"/>
      <c r="F450" s="7"/>
      <c r="G450" s="6"/>
      <c r="H450" s="6"/>
      <c r="I450" s="6"/>
      <c r="J450" s="6"/>
      <c r="K450" s="5"/>
      <c r="L450" s="7"/>
      <c r="M450" s="6"/>
      <c r="N450" s="6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x14ac:dyDescent="0.25" r="451" customHeight="1" ht="12.75">
      <c r="A451" s="3"/>
      <c r="B451" s="5"/>
      <c r="C451" s="7"/>
      <c r="D451" s="6"/>
      <c r="E451" s="6"/>
      <c r="F451" s="7"/>
      <c r="G451" s="6"/>
      <c r="H451" s="6"/>
      <c r="I451" s="6"/>
      <c r="J451" s="6"/>
      <c r="K451" s="5"/>
      <c r="L451" s="7"/>
      <c r="M451" s="6"/>
      <c r="N451" s="6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x14ac:dyDescent="0.25" r="452" customHeight="1" ht="12.75">
      <c r="A452" s="3"/>
      <c r="B452" s="5"/>
      <c r="C452" s="7"/>
      <c r="D452" s="6"/>
      <c r="E452" s="6"/>
      <c r="F452" s="7"/>
      <c r="G452" s="6"/>
      <c r="H452" s="6"/>
      <c r="I452" s="6"/>
      <c r="J452" s="6"/>
      <c r="K452" s="5"/>
      <c r="L452" s="7"/>
      <c r="M452" s="6"/>
      <c r="N452" s="6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x14ac:dyDescent="0.25" r="453" customHeight="1" ht="12.75">
      <c r="A453" s="3"/>
      <c r="B453" s="5"/>
      <c r="C453" s="7"/>
      <c r="D453" s="6"/>
      <c r="E453" s="6"/>
      <c r="F453" s="7"/>
      <c r="G453" s="6"/>
      <c r="H453" s="6"/>
      <c r="I453" s="6"/>
      <c r="J453" s="6"/>
      <c r="K453" s="5"/>
      <c r="L453" s="7"/>
      <c r="M453" s="6"/>
      <c r="N453" s="6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x14ac:dyDescent="0.25" r="454" customHeight="1" ht="12.75">
      <c r="A454" s="3"/>
      <c r="B454" s="5"/>
      <c r="C454" s="7"/>
      <c r="D454" s="6"/>
      <c r="E454" s="6"/>
      <c r="F454" s="7"/>
      <c r="G454" s="6"/>
      <c r="H454" s="6"/>
      <c r="I454" s="6"/>
      <c r="J454" s="6"/>
      <c r="K454" s="5"/>
      <c r="L454" s="7"/>
      <c r="M454" s="6"/>
      <c r="N454" s="6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x14ac:dyDescent="0.25" r="455" customHeight="1" ht="12.75">
      <c r="A455" s="3"/>
      <c r="B455" s="5"/>
      <c r="C455" s="7"/>
      <c r="D455" s="6"/>
      <c r="E455" s="6"/>
      <c r="F455" s="7"/>
      <c r="G455" s="6"/>
      <c r="H455" s="6"/>
      <c r="I455" s="6"/>
      <c r="J455" s="6"/>
      <c r="K455" s="5"/>
      <c r="L455" s="7"/>
      <c r="M455" s="6"/>
      <c r="N455" s="6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x14ac:dyDescent="0.25" r="456" customHeight="1" ht="12.75">
      <c r="A456" s="3"/>
      <c r="B456" s="5"/>
      <c r="C456" s="7"/>
      <c r="D456" s="6"/>
      <c r="E456" s="6"/>
      <c r="F456" s="7"/>
      <c r="G456" s="6"/>
      <c r="H456" s="6"/>
      <c r="I456" s="6"/>
      <c r="J456" s="6"/>
      <c r="K456" s="5"/>
      <c r="L456" s="7"/>
      <c r="M456" s="6"/>
      <c r="N456" s="6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x14ac:dyDescent="0.25" r="457" customHeight="1" ht="12.75">
      <c r="A457" s="3"/>
      <c r="B457" s="5"/>
      <c r="C457" s="7"/>
      <c r="D457" s="6"/>
      <c r="E457" s="6"/>
      <c r="F457" s="7"/>
      <c r="G457" s="6"/>
      <c r="H457" s="6"/>
      <c r="I457" s="6"/>
      <c r="J457" s="6"/>
      <c r="K457" s="5"/>
      <c r="L457" s="7"/>
      <c r="M457" s="6"/>
      <c r="N457" s="6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x14ac:dyDescent="0.25" r="458" customHeight="1" ht="12.75">
      <c r="A458" s="3"/>
      <c r="B458" s="5"/>
      <c r="C458" s="7"/>
      <c r="D458" s="6"/>
      <c r="E458" s="6"/>
      <c r="F458" s="7"/>
      <c r="G458" s="6"/>
      <c r="H458" s="6"/>
      <c r="I458" s="6"/>
      <c r="J458" s="6"/>
      <c r="K458" s="5"/>
      <c r="L458" s="7"/>
      <c r="M458" s="6"/>
      <c r="N458" s="6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x14ac:dyDescent="0.25" r="459" customHeight="1" ht="12.75">
      <c r="A459" s="3"/>
      <c r="B459" s="5"/>
      <c r="C459" s="7"/>
      <c r="D459" s="6"/>
      <c r="E459" s="6"/>
      <c r="F459" s="7"/>
      <c r="G459" s="6"/>
      <c r="H459" s="6"/>
      <c r="I459" s="6"/>
      <c r="J459" s="6"/>
      <c r="K459" s="5"/>
      <c r="L459" s="7"/>
      <c r="M459" s="6"/>
      <c r="N459" s="6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x14ac:dyDescent="0.25" r="460" customHeight="1" ht="12.75">
      <c r="A460" s="3"/>
      <c r="B460" s="5"/>
      <c r="C460" s="7"/>
      <c r="D460" s="6"/>
      <c r="E460" s="6"/>
      <c r="F460" s="7"/>
      <c r="G460" s="6"/>
      <c r="H460" s="6"/>
      <c r="I460" s="6"/>
      <c r="J460" s="6"/>
      <c r="K460" s="5"/>
      <c r="L460" s="7"/>
      <c r="M460" s="6"/>
      <c r="N460" s="6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x14ac:dyDescent="0.25" r="461" customHeight="1" ht="12.75">
      <c r="A461" s="3"/>
      <c r="B461" s="5"/>
      <c r="C461" s="7"/>
      <c r="D461" s="6"/>
      <c r="E461" s="6"/>
      <c r="F461" s="7"/>
      <c r="G461" s="6"/>
      <c r="H461" s="6"/>
      <c r="I461" s="6"/>
      <c r="J461" s="6"/>
      <c r="K461" s="5"/>
      <c r="L461" s="7"/>
      <c r="M461" s="6"/>
      <c r="N461" s="6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x14ac:dyDescent="0.25" r="462" customHeight="1" ht="12.75">
      <c r="A462" s="3"/>
      <c r="B462" s="5"/>
      <c r="C462" s="7"/>
      <c r="D462" s="6"/>
      <c r="E462" s="6"/>
      <c r="F462" s="7"/>
      <c r="G462" s="6"/>
      <c r="H462" s="6"/>
      <c r="I462" s="6"/>
      <c r="J462" s="6"/>
      <c r="K462" s="5"/>
      <c r="L462" s="7"/>
      <c r="M462" s="6"/>
      <c r="N462" s="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x14ac:dyDescent="0.25" r="463" customHeight="1" ht="12.75">
      <c r="A463" s="3"/>
      <c r="B463" s="5"/>
      <c r="C463" s="7"/>
      <c r="D463" s="6"/>
      <c r="E463" s="6"/>
      <c r="F463" s="7"/>
      <c r="G463" s="6"/>
      <c r="H463" s="6"/>
      <c r="I463" s="6"/>
      <c r="J463" s="6"/>
      <c r="K463" s="5"/>
      <c r="L463" s="7"/>
      <c r="M463" s="6"/>
      <c r="N463" s="6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x14ac:dyDescent="0.25" r="464" customHeight="1" ht="12.75">
      <c r="A464" s="3"/>
      <c r="B464" s="5"/>
      <c r="C464" s="7"/>
      <c r="D464" s="6"/>
      <c r="E464" s="6"/>
      <c r="F464" s="7"/>
      <c r="G464" s="6"/>
      <c r="H464" s="6"/>
      <c r="I464" s="6"/>
      <c r="J464" s="6"/>
      <c r="K464" s="5"/>
      <c r="L464" s="7"/>
      <c r="M464" s="6"/>
      <c r="N464" s="6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x14ac:dyDescent="0.25" r="465" customHeight="1" ht="12.75">
      <c r="A465" s="3"/>
      <c r="B465" s="5"/>
      <c r="C465" s="7"/>
      <c r="D465" s="6"/>
      <c r="E465" s="6"/>
      <c r="F465" s="7"/>
      <c r="G465" s="6"/>
      <c r="H465" s="6"/>
      <c r="I465" s="6"/>
      <c r="J465" s="6"/>
      <c r="K465" s="5"/>
      <c r="L465" s="7"/>
      <c r="M465" s="6"/>
      <c r="N465" s="6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x14ac:dyDescent="0.25" r="466" customHeight="1" ht="12.75">
      <c r="A466" s="3"/>
      <c r="B466" s="5"/>
      <c r="C466" s="7"/>
      <c r="D466" s="6"/>
      <c r="E466" s="6"/>
      <c r="F466" s="7"/>
      <c r="G466" s="6"/>
      <c r="H466" s="6"/>
      <c r="I466" s="6"/>
      <c r="J466" s="6"/>
      <c r="K466" s="5"/>
      <c r="L466" s="7"/>
      <c r="M466" s="6"/>
      <c r="N466" s="6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x14ac:dyDescent="0.25" r="467" customHeight="1" ht="12.75">
      <c r="A467" s="3"/>
      <c r="B467" s="5"/>
      <c r="C467" s="7"/>
      <c r="D467" s="6"/>
      <c r="E467" s="6"/>
      <c r="F467" s="7"/>
      <c r="G467" s="6"/>
      <c r="H467" s="6"/>
      <c r="I467" s="6"/>
      <c r="J467" s="6"/>
      <c r="K467" s="5"/>
      <c r="L467" s="7"/>
      <c r="M467" s="6"/>
      <c r="N467" s="6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x14ac:dyDescent="0.25" r="468" customHeight="1" ht="12.75">
      <c r="A468" s="3"/>
      <c r="B468" s="5"/>
      <c r="C468" s="7"/>
      <c r="D468" s="6"/>
      <c r="E468" s="6"/>
      <c r="F468" s="7"/>
      <c r="G468" s="6"/>
      <c r="H468" s="6"/>
      <c r="I468" s="6"/>
      <c r="J468" s="6"/>
      <c r="K468" s="5"/>
      <c r="L468" s="7"/>
      <c r="M468" s="6"/>
      <c r="N468" s="6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x14ac:dyDescent="0.25" r="469" customHeight="1" ht="12.75">
      <c r="A469" s="3"/>
      <c r="B469" s="5"/>
      <c r="C469" s="7"/>
      <c r="D469" s="6"/>
      <c r="E469" s="6"/>
      <c r="F469" s="7"/>
      <c r="G469" s="6"/>
      <c r="H469" s="6"/>
      <c r="I469" s="6"/>
      <c r="J469" s="6"/>
      <c r="K469" s="5"/>
      <c r="L469" s="7"/>
      <c r="M469" s="6"/>
      <c r="N469" s="6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x14ac:dyDescent="0.25" r="470" customHeight="1" ht="12.75">
      <c r="A470" s="3"/>
      <c r="B470" s="5"/>
      <c r="C470" s="7"/>
      <c r="D470" s="6"/>
      <c r="E470" s="6"/>
      <c r="F470" s="7"/>
      <c r="G470" s="6"/>
      <c r="H470" s="6"/>
      <c r="I470" s="6"/>
      <c r="J470" s="6"/>
      <c r="K470" s="5"/>
      <c r="L470" s="7"/>
      <c r="M470" s="6"/>
      <c r="N470" s="6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x14ac:dyDescent="0.25" r="471" customHeight="1" ht="12.75">
      <c r="A471" s="3"/>
      <c r="B471" s="5"/>
      <c r="C471" s="7"/>
      <c r="D471" s="6"/>
      <c r="E471" s="6"/>
      <c r="F471" s="7"/>
      <c r="G471" s="6"/>
      <c r="H471" s="6"/>
      <c r="I471" s="6"/>
      <c r="J471" s="6"/>
      <c r="K471" s="5"/>
      <c r="L471" s="7"/>
      <c r="M471" s="6"/>
      <c r="N471" s="6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x14ac:dyDescent="0.25" r="472" customHeight="1" ht="12.75">
      <c r="A472" s="3"/>
      <c r="B472" s="5"/>
      <c r="C472" s="7"/>
      <c r="D472" s="6"/>
      <c r="E472" s="6"/>
      <c r="F472" s="7"/>
      <c r="G472" s="6"/>
      <c r="H472" s="6"/>
      <c r="I472" s="6"/>
      <c r="J472" s="6"/>
      <c r="K472" s="5"/>
      <c r="L472" s="7"/>
      <c r="M472" s="6"/>
      <c r="N472" s="6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x14ac:dyDescent="0.25" r="473" customHeight="1" ht="12.75">
      <c r="A473" s="3"/>
      <c r="B473" s="5"/>
      <c r="C473" s="7"/>
      <c r="D473" s="6"/>
      <c r="E473" s="6"/>
      <c r="F473" s="7"/>
      <c r="G473" s="6"/>
      <c r="H473" s="6"/>
      <c r="I473" s="6"/>
      <c r="J473" s="6"/>
      <c r="K473" s="5"/>
      <c r="L473" s="7"/>
      <c r="M473" s="6"/>
      <c r="N473" s="6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x14ac:dyDescent="0.25" r="474" customHeight="1" ht="12.75">
      <c r="A474" s="3"/>
      <c r="B474" s="5"/>
      <c r="C474" s="7"/>
      <c r="D474" s="6"/>
      <c r="E474" s="6"/>
      <c r="F474" s="7"/>
      <c r="G474" s="6"/>
      <c r="H474" s="6"/>
      <c r="I474" s="6"/>
      <c r="J474" s="6"/>
      <c r="K474" s="5"/>
      <c r="L474" s="7"/>
      <c r="M474" s="6"/>
      <c r="N474" s="6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x14ac:dyDescent="0.25" r="475" customHeight="1" ht="12.75">
      <c r="A475" s="3"/>
      <c r="B475" s="5"/>
      <c r="C475" s="7"/>
      <c r="D475" s="6"/>
      <c r="E475" s="6"/>
      <c r="F475" s="7"/>
      <c r="G475" s="6"/>
      <c r="H475" s="6"/>
      <c r="I475" s="6"/>
      <c r="J475" s="6"/>
      <c r="K475" s="5"/>
      <c r="L475" s="7"/>
      <c r="M475" s="6"/>
      <c r="N475" s="6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x14ac:dyDescent="0.25" r="476" customHeight="1" ht="12.75">
      <c r="A476" s="3"/>
      <c r="B476" s="5"/>
      <c r="C476" s="7"/>
      <c r="D476" s="6"/>
      <c r="E476" s="6"/>
      <c r="F476" s="7"/>
      <c r="G476" s="6"/>
      <c r="H476" s="6"/>
      <c r="I476" s="6"/>
      <c r="J476" s="6"/>
      <c r="K476" s="5"/>
      <c r="L476" s="7"/>
      <c r="M476" s="6"/>
      <c r="N476" s="6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x14ac:dyDescent="0.25" r="477" customHeight="1" ht="12.75">
      <c r="A477" s="3"/>
      <c r="B477" s="5"/>
      <c r="C477" s="7"/>
      <c r="D477" s="6"/>
      <c r="E477" s="6"/>
      <c r="F477" s="7"/>
      <c r="G477" s="6"/>
      <c r="H477" s="6"/>
      <c r="I477" s="6"/>
      <c r="J477" s="6"/>
      <c r="K477" s="5"/>
      <c r="L477" s="7"/>
      <c r="M477" s="6"/>
      <c r="N477" s="6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x14ac:dyDescent="0.25" r="478" customHeight="1" ht="12.75">
      <c r="A478" s="3"/>
      <c r="B478" s="5"/>
      <c r="C478" s="7"/>
      <c r="D478" s="6"/>
      <c r="E478" s="6"/>
      <c r="F478" s="7"/>
      <c r="G478" s="6"/>
      <c r="H478" s="6"/>
      <c r="I478" s="6"/>
      <c r="J478" s="6"/>
      <c r="K478" s="5"/>
      <c r="L478" s="7"/>
      <c r="M478" s="6"/>
      <c r="N478" s="6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x14ac:dyDescent="0.25" r="479" customHeight="1" ht="12.75">
      <c r="A479" s="3"/>
      <c r="B479" s="5"/>
      <c r="C479" s="7"/>
      <c r="D479" s="6"/>
      <c r="E479" s="6"/>
      <c r="F479" s="7"/>
      <c r="G479" s="6"/>
      <c r="H479" s="6"/>
      <c r="I479" s="6"/>
      <c r="J479" s="6"/>
      <c r="K479" s="5"/>
      <c r="L479" s="7"/>
      <c r="M479" s="6"/>
      <c r="N479" s="6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x14ac:dyDescent="0.25" r="480" customHeight="1" ht="12.75">
      <c r="A480" s="3"/>
      <c r="B480" s="5"/>
      <c r="C480" s="7"/>
      <c r="D480" s="6"/>
      <c r="E480" s="6"/>
      <c r="F480" s="7"/>
      <c r="G480" s="6"/>
      <c r="H480" s="6"/>
      <c r="I480" s="6"/>
      <c r="J480" s="6"/>
      <c r="K480" s="5"/>
      <c r="L480" s="7"/>
      <c r="M480" s="6"/>
      <c r="N480" s="6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x14ac:dyDescent="0.25" r="481" customHeight="1" ht="12.75">
      <c r="A481" s="3"/>
      <c r="B481" s="5"/>
      <c r="C481" s="7"/>
      <c r="D481" s="6"/>
      <c r="E481" s="6"/>
      <c r="F481" s="7"/>
      <c r="G481" s="6"/>
      <c r="H481" s="6"/>
      <c r="I481" s="6"/>
      <c r="J481" s="6"/>
      <c r="K481" s="5"/>
      <c r="L481" s="7"/>
      <c r="M481" s="6"/>
      <c r="N481" s="6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x14ac:dyDescent="0.25" r="482" customHeight="1" ht="12.75">
      <c r="A482" s="3"/>
      <c r="B482" s="5"/>
      <c r="C482" s="7"/>
      <c r="D482" s="6"/>
      <c r="E482" s="6"/>
      <c r="F482" s="7"/>
      <c r="G482" s="6"/>
      <c r="H482" s="6"/>
      <c r="I482" s="6"/>
      <c r="J482" s="6"/>
      <c r="K482" s="5"/>
      <c r="L482" s="7"/>
      <c r="M482" s="6"/>
      <c r="N482" s="6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x14ac:dyDescent="0.25" r="483" customHeight="1" ht="12.75">
      <c r="A483" s="3"/>
      <c r="B483" s="5"/>
      <c r="C483" s="7"/>
      <c r="D483" s="6"/>
      <c r="E483" s="6"/>
      <c r="F483" s="7"/>
      <c r="G483" s="6"/>
      <c r="H483" s="6"/>
      <c r="I483" s="6"/>
      <c r="J483" s="6"/>
      <c r="K483" s="5"/>
      <c r="L483" s="7"/>
      <c r="M483" s="6"/>
      <c r="N483" s="6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x14ac:dyDescent="0.25" r="484" customHeight="1" ht="12.75">
      <c r="A484" s="3"/>
      <c r="B484" s="5"/>
      <c r="C484" s="7"/>
      <c r="D484" s="6"/>
      <c r="E484" s="6"/>
      <c r="F484" s="7"/>
      <c r="G484" s="6"/>
      <c r="H484" s="6"/>
      <c r="I484" s="6"/>
      <c r="J484" s="6"/>
      <c r="K484" s="5"/>
      <c r="L484" s="7"/>
      <c r="M484" s="6"/>
      <c r="N484" s="6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x14ac:dyDescent="0.25" r="485" customHeight="1" ht="12.75">
      <c r="A485" s="3"/>
      <c r="B485" s="5"/>
      <c r="C485" s="7"/>
      <c r="D485" s="6"/>
      <c r="E485" s="6"/>
      <c r="F485" s="7"/>
      <c r="G485" s="6"/>
      <c r="H485" s="6"/>
      <c r="I485" s="6"/>
      <c r="J485" s="6"/>
      <c r="K485" s="5"/>
      <c r="L485" s="7"/>
      <c r="M485" s="6"/>
      <c r="N485" s="6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x14ac:dyDescent="0.25" r="486" customHeight="1" ht="12.75">
      <c r="A486" s="3"/>
      <c r="B486" s="5"/>
      <c r="C486" s="7"/>
      <c r="D486" s="6"/>
      <c r="E486" s="6"/>
      <c r="F486" s="7"/>
      <c r="G486" s="6"/>
      <c r="H486" s="6"/>
      <c r="I486" s="6"/>
      <c r="J486" s="6"/>
      <c r="K486" s="5"/>
      <c r="L486" s="7"/>
      <c r="M486" s="6"/>
      <c r="N486" s="6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x14ac:dyDescent="0.25" r="487" customHeight="1" ht="12.75">
      <c r="A487" s="3"/>
      <c r="B487" s="5"/>
      <c r="C487" s="7"/>
      <c r="D487" s="6"/>
      <c r="E487" s="6"/>
      <c r="F487" s="7"/>
      <c r="G487" s="6"/>
      <c r="H487" s="6"/>
      <c r="I487" s="6"/>
      <c r="J487" s="6"/>
      <c r="K487" s="5"/>
      <c r="L487" s="7"/>
      <c r="M487" s="6"/>
      <c r="N487" s="6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x14ac:dyDescent="0.25" r="488" customHeight="1" ht="12.75">
      <c r="A488" s="3"/>
      <c r="B488" s="5"/>
      <c r="C488" s="7"/>
      <c r="D488" s="6"/>
      <c r="E488" s="6"/>
      <c r="F488" s="7"/>
      <c r="G488" s="6"/>
      <c r="H488" s="6"/>
      <c r="I488" s="6"/>
      <c r="J488" s="6"/>
      <c r="K488" s="5"/>
      <c r="L488" s="7"/>
      <c r="M488" s="6"/>
      <c r="N488" s="6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x14ac:dyDescent="0.25" r="489" customHeight="1" ht="12.75">
      <c r="A489" s="3"/>
      <c r="B489" s="5"/>
      <c r="C489" s="7"/>
      <c r="D489" s="6"/>
      <c r="E489" s="6"/>
      <c r="F489" s="7"/>
      <c r="G489" s="6"/>
      <c r="H489" s="6"/>
      <c r="I489" s="6"/>
      <c r="J489" s="6"/>
      <c r="K489" s="5"/>
      <c r="L489" s="7"/>
      <c r="M489" s="6"/>
      <c r="N489" s="6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x14ac:dyDescent="0.25" r="490" customHeight="1" ht="12.75">
      <c r="A490" s="3"/>
      <c r="B490" s="5"/>
      <c r="C490" s="7"/>
      <c r="D490" s="6"/>
      <c r="E490" s="6"/>
      <c r="F490" s="7"/>
      <c r="G490" s="6"/>
      <c r="H490" s="6"/>
      <c r="I490" s="6"/>
      <c r="J490" s="6"/>
      <c r="K490" s="5"/>
      <c r="L490" s="7"/>
      <c r="M490" s="6"/>
      <c r="N490" s="6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x14ac:dyDescent="0.25" r="491" customHeight="1" ht="12.75">
      <c r="A491" s="3"/>
      <c r="B491" s="5"/>
      <c r="C491" s="7"/>
      <c r="D491" s="6"/>
      <c r="E491" s="6"/>
      <c r="F491" s="7"/>
      <c r="G491" s="6"/>
      <c r="H491" s="6"/>
      <c r="I491" s="6"/>
      <c r="J491" s="6"/>
      <c r="K491" s="5"/>
      <c r="L491" s="7"/>
      <c r="M491" s="6"/>
      <c r="N491" s="6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x14ac:dyDescent="0.25" r="492" customHeight="1" ht="12.75">
      <c r="A492" s="3"/>
      <c r="B492" s="5"/>
      <c r="C492" s="7"/>
      <c r="D492" s="6"/>
      <c r="E492" s="6"/>
      <c r="F492" s="7"/>
      <c r="G492" s="6"/>
      <c r="H492" s="6"/>
      <c r="I492" s="6"/>
      <c r="J492" s="6"/>
      <c r="K492" s="5"/>
      <c r="L492" s="7"/>
      <c r="M492" s="6"/>
      <c r="N492" s="6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x14ac:dyDescent="0.25" r="493" customHeight="1" ht="12.75">
      <c r="A493" s="3"/>
      <c r="B493" s="5"/>
      <c r="C493" s="7"/>
      <c r="D493" s="6"/>
      <c r="E493" s="6"/>
      <c r="F493" s="7"/>
      <c r="G493" s="6"/>
      <c r="H493" s="6"/>
      <c r="I493" s="6"/>
      <c r="J493" s="6"/>
      <c r="K493" s="5"/>
      <c r="L493" s="7"/>
      <c r="M493" s="6"/>
      <c r="N493" s="6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x14ac:dyDescent="0.25" r="494" customHeight="1" ht="12.75">
      <c r="A494" s="3"/>
      <c r="B494" s="5"/>
      <c r="C494" s="7"/>
      <c r="D494" s="6"/>
      <c r="E494" s="6"/>
      <c r="F494" s="7"/>
      <c r="G494" s="6"/>
      <c r="H494" s="6"/>
      <c r="I494" s="6"/>
      <c r="J494" s="6"/>
      <c r="K494" s="5"/>
      <c r="L494" s="7"/>
      <c r="M494" s="6"/>
      <c r="N494" s="6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x14ac:dyDescent="0.25" r="495" customHeight="1" ht="12.75">
      <c r="A495" s="3"/>
      <c r="B495" s="5"/>
      <c r="C495" s="7"/>
      <c r="D495" s="6"/>
      <c r="E495" s="6"/>
      <c r="F495" s="7"/>
      <c r="G495" s="6"/>
      <c r="H495" s="6"/>
      <c r="I495" s="6"/>
      <c r="J495" s="6"/>
      <c r="K495" s="5"/>
      <c r="L495" s="7"/>
      <c r="M495" s="6"/>
      <c r="N495" s="6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x14ac:dyDescent="0.25" r="496" customHeight="1" ht="12.75">
      <c r="A496" s="3"/>
      <c r="B496" s="5"/>
      <c r="C496" s="7"/>
      <c r="D496" s="6"/>
      <c r="E496" s="6"/>
      <c r="F496" s="7"/>
      <c r="G496" s="6"/>
      <c r="H496" s="6"/>
      <c r="I496" s="6"/>
      <c r="J496" s="6"/>
      <c r="K496" s="5"/>
      <c r="L496" s="7"/>
      <c r="M496" s="6"/>
      <c r="N496" s="6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x14ac:dyDescent="0.25" r="497" customHeight="1" ht="12.75">
      <c r="A497" s="3"/>
      <c r="B497" s="5"/>
      <c r="C497" s="7"/>
      <c r="D497" s="6"/>
      <c r="E497" s="6"/>
      <c r="F497" s="7"/>
      <c r="G497" s="6"/>
      <c r="H497" s="6"/>
      <c r="I497" s="6"/>
      <c r="J497" s="6"/>
      <c r="K497" s="5"/>
      <c r="L497" s="7"/>
      <c r="M497" s="6"/>
      <c r="N497" s="6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x14ac:dyDescent="0.25" r="498" customHeight="1" ht="12.75">
      <c r="A498" s="3"/>
      <c r="B498" s="5"/>
      <c r="C498" s="7"/>
      <c r="D498" s="6"/>
      <c r="E498" s="6"/>
      <c r="F498" s="7"/>
      <c r="G498" s="6"/>
      <c r="H498" s="6"/>
      <c r="I498" s="6"/>
      <c r="J498" s="6"/>
      <c r="K498" s="5"/>
      <c r="L498" s="7"/>
      <c r="M498" s="6"/>
      <c r="N498" s="6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x14ac:dyDescent="0.25" r="499" customHeight="1" ht="12.75">
      <c r="A499" s="3"/>
      <c r="B499" s="5"/>
      <c r="C499" s="7"/>
      <c r="D499" s="6"/>
      <c r="E499" s="6"/>
      <c r="F499" s="7"/>
      <c r="G499" s="6"/>
      <c r="H499" s="6"/>
      <c r="I499" s="6"/>
      <c r="J499" s="6"/>
      <c r="K499" s="5"/>
      <c r="L499" s="7"/>
      <c r="M499" s="6"/>
      <c r="N499" s="6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x14ac:dyDescent="0.25" r="500" customHeight="1" ht="12.75">
      <c r="A500" s="3"/>
      <c r="B500" s="5"/>
      <c r="C500" s="7"/>
      <c r="D500" s="6"/>
      <c r="E500" s="6"/>
      <c r="F500" s="7"/>
      <c r="G500" s="6"/>
      <c r="H500" s="6"/>
      <c r="I500" s="6"/>
      <c r="J500" s="6"/>
      <c r="K500" s="5"/>
      <c r="L500" s="7"/>
      <c r="M500" s="6"/>
      <c r="N500" s="6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x14ac:dyDescent="0.25" r="501" customHeight="1" ht="12.75">
      <c r="A501" s="3"/>
      <c r="B501" s="5"/>
      <c r="C501" s="7"/>
      <c r="D501" s="6"/>
      <c r="E501" s="6"/>
      <c r="F501" s="7"/>
      <c r="G501" s="6"/>
      <c r="H501" s="6"/>
      <c r="I501" s="6"/>
      <c r="J501" s="6"/>
      <c r="K501" s="5"/>
      <c r="L501" s="7"/>
      <c r="M501" s="6"/>
      <c r="N501" s="6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x14ac:dyDescent="0.25" r="502" customHeight="1" ht="12.75">
      <c r="A502" s="3"/>
      <c r="B502" s="5"/>
      <c r="C502" s="7"/>
      <c r="D502" s="6"/>
      <c r="E502" s="6"/>
      <c r="F502" s="7"/>
      <c r="G502" s="6"/>
      <c r="H502" s="6"/>
      <c r="I502" s="6"/>
      <c r="J502" s="6"/>
      <c r="K502" s="5"/>
      <c r="L502" s="7"/>
      <c r="M502" s="6"/>
      <c r="N502" s="6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x14ac:dyDescent="0.25" r="503" customHeight="1" ht="12.75">
      <c r="A503" s="3"/>
      <c r="B503" s="5"/>
      <c r="C503" s="7"/>
      <c r="D503" s="6"/>
      <c r="E503" s="6"/>
      <c r="F503" s="7"/>
      <c r="G503" s="6"/>
      <c r="H503" s="6"/>
      <c r="I503" s="6"/>
      <c r="J503" s="6"/>
      <c r="K503" s="5"/>
      <c r="L503" s="7"/>
      <c r="M503" s="6"/>
      <c r="N503" s="6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x14ac:dyDescent="0.25" r="504" customHeight="1" ht="12.75">
      <c r="A504" s="3"/>
      <c r="B504" s="5"/>
      <c r="C504" s="7"/>
      <c r="D504" s="6"/>
      <c r="E504" s="6"/>
      <c r="F504" s="7"/>
      <c r="G504" s="6"/>
      <c r="H504" s="6"/>
      <c r="I504" s="6"/>
      <c r="J504" s="6"/>
      <c r="K504" s="5"/>
      <c r="L504" s="7"/>
      <c r="M504" s="6"/>
      <c r="N504" s="6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x14ac:dyDescent="0.25" r="505" customHeight="1" ht="12.75">
      <c r="A505" s="3"/>
      <c r="B505" s="5"/>
      <c r="C505" s="7"/>
      <c r="D505" s="6"/>
      <c r="E505" s="6"/>
      <c r="F505" s="7"/>
      <c r="G505" s="6"/>
      <c r="H505" s="6"/>
      <c r="I505" s="6"/>
      <c r="J505" s="6"/>
      <c r="K505" s="5"/>
      <c r="L505" s="7"/>
      <c r="M505" s="6"/>
      <c r="N505" s="6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x14ac:dyDescent="0.25" r="506" customHeight="1" ht="12.75">
      <c r="A506" s="3"/>
      <c r="B506" s="5"/>
      <c r="C506" s="7"/>
      <c r="D506" s="6"/>
      <c r="E506" s="6"/>
      <c r="F506" s="7"/>
      <c r="G506" s="6"/>
      <c r="H506" s="6"/>
      <c r="I506" s="6"/>
      <c r="J506" s="6"/>
      <c r="K506" s="5"/>
      <c r="L506" s="7"/>
      <c r="M506" s="6"/>
      <c r="N506" s="6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x14ac:dyDescent="0.25" r="507" customHeight="1" ht="12.75">
      <c r="A507" s="3"/>
      <c r="B507" s="5"/>
      <c r="C507" s="7"/>
      <c r="D507" s="6"/>
      <c r="E507" s="6"/>
      <c r="F507" s="7"/>
      <c r="G507" s="6"/>
      <c r="H507" s="6"/>
      <c r="I507" s="6"/>
      <c r="J507" s="6"/>
      <c r="K507" s="5"/>
      <c r="L507" s="7"/>
      <c r="M507" s="6"/>
      <c r="N507" s="6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x14ac:dyDescent="0.25" r="508" customHeight="1" ht="12.75">
      <c r="A508" s="3"/>
      <c r="B508" s="5"/>
      <c r="C508" s="7"/>
      <c r="D508" s="6"/>
      <c r="E508" s="6"/>
      <c r="F508" s="7"/>
      <c r="G508" s="6"/>
      <c r="H508" s="6"/>
      <c r="I508" s="6"/>
      <c r="J508" s="6"/>
      <c r="K508" s="5"/>
      <c r="L508" s="7"/>
      <c r="M508" s="6"/>
      <c r="N508" s="6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x14ac:dyDescent="0.25" r="509" customHeight="1" ht="12.75">
      <c r="A509" s="3"/>
      <c r="B509" s="5"/>
      <c r="C509" s="7"/>
      <c r="D509" s="6"/>
      <c r="E509" s="6"/>
      <c r="F509" s="7"/>
      <c r="G509" s="6"/>
      <c r="H509" s="6"/>
      <c r="I509" s="6"/>
      <c r="J509" s="6"/>
      <c r="K509" s="5"/>
      <c r="L509" s="7"/>
      <c r="M509" s="6"/>
      <c r="N509" s="6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x14ac:dyDescent="0.25" r="510" customHeight="1" ht="12.75">
      <c r="A510" s="3"/>
      <c r="B510" s="5"/>
      <c r="C510" s="7"/>
      <c r="D510" s="6"/>
      <c r="E510" s="6"/>
      <c r="F510" s="7"/>
      <c r="G510" s="6"/>
      <c r="H510" s="6"/>
      <c r="I510" s="6"/>
      <c r="J510" s="6"/>
      <c r="K510" s="5"/>
      <c r="L510" s="7"/>
      <c r="M510" s="6"/>
      <c r="N510" s="6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x14ac:dyDescent="0.25" r="511" customHeight="1" ht="12.75">
      <c r="A511" s="3"/>
      <c r="B511" s="5"/>
      <c r="C511" s="7"/>
      <c r="D511" s="6"/>
      <c r="E511" s="6"/>
      <c r="F511" s="7"/>
      <c r="G511" s="6"/>
      <c r="H511" s="6"/>
      <c r="I511" s="6"/>
      <c r="J511" s="6"/>
      <c r="K511" s="5"/>
      <c r="L511" s="7"/>
      <c r="M511" s="6"/>
      <c r="N511" s="6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x14ac:dyDescent="0.25" r="512" customHeight="1" ht="12.75">
      <c r="A512" s="3"/>
      <c r="B512" s="5"/>
      <c r="C512" s="7"/>
      <c r="D512" s="6"/>
      <c r="E512" s="6"/>
      <c r="F512" s="7"/>
      <c r="G512" s="6"/>
      <c r="H512" s="6"/>
      <c r="I512" s="6"/>
      <c r="J512" s="6"/>
      <c r="K512" s="5"/>
      <c r="L512" s="7"/>
      <c r="M512" s="6"/>
      <c r="N512" s="6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x14ac:dyDescent="0.25" r="513" customHeight="1" ht="12.75">
      <c r="A513" s="3"/>
      <c r="B513" s="5"/>
      <c r="C513" s="7"/>
      <c r="D513" s="6"/>
      <c r="E513" s="6"/>
      <c r="F513" s="7"/>
      <c r="G513" s="6"/>
      <c r="H513" s="6"/>
      <c r="I513" s="6"/>
      <c r="J513" s="6"/>
      <c r="K513" s="5"/>
      <c r="L513" s="7"/>
      <c r="M513" s="6"/>
      <c r="N513" s="6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x14ac:dyDescent="0.25" r="514" customHeight="1" ht="12.75">
      <c r="A514" s="3"/>
      <c r="B514" s="5"/>
      <c r="C514" s="7"/>
      <c r="D514" s="6"/>
      <c r="E514" s="6"/>
      <c r="F514" s="7"/>
      <c r="G514" s="6"/>
      <c r="H514" s="6"/>
      <c r="I514" s="6"/>
      <c r="J514" s="6"/>
      <c r="K514" s="5"/>
      <c r="L514" s="7"/>
      <c r="M514" s="6"/>
      <c r="N514" s="6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x14ac:dyDescent="0.25" r="515" customHeight="1" ht="12.75">
      <c r="A515" s="3"/>
      <c r="B515" s="5"/>
      <c r="C515" s="7"/>
      <c r="D515" s="6"/>
      <c r="E515" s="6"/>
      <c r="F515" s="7"/>
      <c r="G515" s="6"/>
      <c r="H515" s="6"/>
      <c r="I515" s="6"/>
      <c r="J515" s="6"/>
      <c r="K515" s="5"/>
      <c r="L515" s="7"/>
      <c r="M515" s="6"/>
      <c r="N515" s="6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x14ac:dyDescent="0.25" r="516" customHeight="1" ht="12.75">
      <c r="A516" s="3"/>
      <c r="B516" s="5"/>
      <c r="C516" s="7"/>
      <c r="D516" s="6"/>
      <c r="E516" s="6"/>
      <c r="F516" s="7"/>
      <c r="G516" s="6"/>
      <c r="H516" s="6"/>
      <c r="I516" s="6"/>
      <c r="J516" s="6"/>
      <c r="K516" s="5"/>
      <c r="L516" s="7"/>
      <c r="M516" s="6"/>
      <c r="N516" s="6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x14ac:dyDescent="0.25" r="517" customHeight="1" ht="12.75">
      <c r="A517" s="3"/>
      <c r="B517" s="5"/>
      <c r="C517" s="7"/>
      <c r="D517" s="6"/>
      <c r="E517" s="6"/>
      <c r="F517" s="7"/>
      <c r="G517" s="6"/>
      <c r="H517" s="6"/>
      <c r="I517" s="6"/>
      <c r="J517" s="6"/>
      <c r="K517" s="5"/>
      <c r="L517" s="7"/>
      <c r="M517" s="6"/>
      <c r="N517" s="6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x14ac:dyDescent="0.25" r="518" customHeight="1" ht="12.75">
      <c r="A518" s="3"/>
      <c r="B518" s="5"/>
      <c r="C518" s="7"/>
      <c r="D518" s="6"/>
      <c r="E518" s="6"/>
      <c r="F518" s="7"/>
      <c r="G518" s="6"/>
      <c r="H518" s="6"/>
      <c r="I518" s="6"/>
      <c r="J518" s="6"/>
      <c r="K518" s="5"/>
      <c r="L518" s="7"/>
      <c r="M518" s="6"/>
      <c r="N518" s="6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x14ac:dyDescent="0.25" r="519" customHeight="1" ht="12.75">
      <c r="A519" s="3"/>
      <c r="B519" s="5"/>
      <c r="C519" s="7"/>
      <c r="D519" s="6"/>
      <c r="E519" s="6"/>
      <c r="F519" s="7"/>
      <c r="G519" s="6"/>
      <c r="H519" s="6"/>
      <c r="I519" s="6"/>
      <c r="J519" s="6"/>
      <c r="K519" s="5"/>
      <c r="L519" s="7"/>
      <c r="M519" s="6"/>
      <c r="N519" s="6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x14ac:dyDescent="0.25" r="520" customHeight="1" ht="12.75">
      <c r="A520" s="3"/>
      <c r="B520" s="5"/>
      <c r="C520" s="7"/>
      <c r="D520" s="6"/>
      <c r="E520" s="6"/>
      <c r="F520" s="7"/>
      <c r="G520" s="6"/>
      <c r="H520" s="6"/>
      <c r="I520" s="6"/>
      <c r="J520" s="6"/>
      <c r="K520" s="5"/>
      <c r="L520" s="7"/>
      <c r="M520" s="6"/>
      <c r="N520" s="6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x14ac:dyDescent="0.25" r="521" customHeight="1" ht="12.75">
      <c r="A521" s="3"/>
      <c r="B521" s="5"/>
      <c r="C521" s="7"/>
      <c r="D521" s="6"/>
      <c r="E521" s="6"/>
      <c r="F521" s="7"/>
      <c r="G521" s="6"/>
      <c r="H521" s="6"/>
      <c r="I521" s="6"/>
      <c r="J521" s="6"/>
      <c r="K521" s="5"/>
      <c r="L521" s="7"/>
      <c r="M521" s="6"/>
      <c r="N521" s="6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x14ac:dyDescent="0.25" r="522" customHeight="1" ht="12.75">
      <c r="A522" s="3"/>
      <c r="B522" s="5"/>
      <c r="C522" s="7"/>
      <c r="D522" s="6"/>
      <c r="E522" s="6"/>
      <c r="F522" s="7"/>
      <c r="G522" s="6"/>
      <c r="H522" s="6"/>
      <c r="I522" s="6"/>
      <c r="J522" s="6"/>
      <c r="K522" s="5"/>
      <c r="L522" s="7"/>
      <c r="M522" s="6"/>
      <c r="N522" s="6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x14ac:dyDescent="0.25" r="523" customHeight="1" ht="12.75">
      <c r="A523" s="3"/>
      <c r="B523" s="5"/>
      <c r="C523" s="7"/>
      <c r="D523" s="6"/>
      <c r="E523" s="6"/>
      <c r="F523" s="7"/>
      <c r="G523" s="6"/>
      <c r="H523" s="6"/>
      <c r="I523" s="6"/>
      <c r="J523" s="6"/>
      <c r="K523" s="5"/>
      <c r="L523" s="7"/>
      <c r="M523" s="6"/>
      <c r="N523" s="6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x14ac:dyDescent="0.25" r="524" customHeight="1" ht="12.75">
      <c r="A524" s="3"/>
      <c r="B524" s="5"/>
      <c r="C524" s="7"/>
      <c r="D524" s="6"/>
      <c r="E524" s="6"/>
      <c r="F524" s="7"/>
      <c r="G524" s="6"/>
      <c r="H524" s="6"/>
      <c r="I524" s="6"/>
      <c r="J524" s="6"/>
      <c r="K524" s="5"/>
      <c r="L524" s="7"/>
      <c r="M524" s="6"/>
      <c r="N524" s="6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x14ac:dyDescent="0.25" r="525" customHeight="1" ht="12.75">
      <c r="A525" s="3"/>
      <c r="B525" s="5"/>
      <c r="C525" s="7"/>
      <c r="D525" s="6"/>
      <c r="E525" s="6"/>
      <c r="F525" s="7"/>
      <c r="G525" s="6"/>
      <c r="H525" s="6"/>
      <c r="I525" s="6"/>
      <c r="J525" s="6"/>
      <c r="K525" s="5"/>
      <c r="L525" s="7"/>
      <c r="M525" s="6"/>
      <c r="N525" s="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x14ac:dyDescent="0.25" r="526" customHeight="1" ht="12.75">
      <c r="A526" s="3"/>
      <c r="B526" s="5"/>
      <c r="C526" s="7"/>
      <c r="D526" s="6"/>
      <c r="E526" s="6"/>
      <c r="F526" s="7"/>
      <c r="G526" s="6"/>
      <c r="H526" s="6"/>
      <c r="I526" s="6"/>
      <c r="J526" s="6"/>
      <c r="K526" s="5"/>
      <c r="L526" s="7"/>
      <c r="M526" s="6"/>
      <c r="N526" s="6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x14ac:dyDescent="0.25" r="527" customHeight="1" ht="12.75">
      <c r="A527" s="3"/>
      <c r="B527" s="5"/>
      <c r="C527" s="7"/>
      <c r="D527" s="6"/>
      <c r="E527" s="6"/>
      <c r="F527" s="7"/>
      <c r="G527" s="6"/>
      <c r="H527" s="6"/>
      <c r="I527" s="6"/>
      <c r="J527" s="6"/>
      <c r="K527" s="5"/>
      <c r="L527" s="7"/>
      <c r="M527" s="6"/>
      <c r="N527" s="6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x14ac:dyDescent="0.25" r="528" customHeight="1" ht="12.75">
      <c r="A528" s="3"/>
      <c r="B528" s="5"/>
      <c r="C528" s="7"/>
      <c r="D528" s="6"/>
      <c r="E528" s="6"/>
      <c r="F528" s="7"/>
      <c r="G528" s="6"/>
      <c r="H528" s="6"/>
      <c r="I528" s="6"/>
      <c r="J528" s="6"/>
      <c r="K528" s="5"/>
      <c r="L528" s="7"/>
      <c r="M528" s="6"/>
      <c r="N528" s="6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x14ac:dyDescent="0.25" r="529" customHeight="1" ht="12.75">
      <c r="A529" s="3"/>
      <c r="B529" s="5"/>
      <c r="C529" s="7"/>
      <c r="D529" s="6"/>
      <c r="E529" s="6"/>
      <c r="F529" s="7"/>
      <c r="G529" s="6"/>
      <c r="H529" s="6"/>
      <c r="I529" s="6"/>
      <c r="J529" s="6"/>
      <c r="K529" s="5"/>
      <c r="L529" s="7"/>
      <c r="M529" s="6"/>
      <c r="N529" s="6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x14ac:dyDescent="0.25" r="530" customHeight="1" ht="12.75">
      <c r="A530" s="3"/>
      <c r="B530" s="5"/>
      <c r="C530" s="7"/>
      <c r="D530" s="6"/>
      <c r="E530" s="6"/>
      <c r="F530" s="7"/>
      <c r="G530" s="6"/>
      <c r="H530" s="6"/>
      <c r="I530" s="6"/>
      <c r="J530" s="6"/>
      <c r="K530" s="5"/>
      <c r="L530" s="7"/>
      <c r="M530" s="6"/>
      <c r="N530" s="6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x14ac:dyDescent="0.25" r="531" customHeight="1" ht="12.75">
      <c r="A531" s="3"/>
      <c r="B531" s="5"/>
      <c r="C531" s="7"/>
      <c r="D531" s="6"/>
      <c r="E531" s="6"/>
      <c r="F531" s="7"/>
      <c r="G531" s="6"/>
      <c r="H531" s="6"/>
      <c r="I531" s="6"/>
      <c r="J531" s="6"/>
      <c r="K531" s="5"/>
      <c r="L531" s="7"/>
      <c r="M531" s="6"/>
      <c r="N531" s="6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x14ac:dyDescent="0.25" r="532" customHeight="1" ht="12.75">
      <c r="A532" s="3"/>
      <c r="B532" s="5"/>
      <c r="C532" s="7"/>
      <c r="D532" s="6"/>
      <c r="E532" s="6"/>
      <c r="F532" s="7"/>
      <c r="G532" s="6"/>
      <c r="H532" s="6"/>
      <c r="I532" s="6"/>
      <c r="J532" s="6"/>
      <c r="K532" s="5"/>
      <c r="L532" s="7"/>
      <c r="M532" s="6"/>
      <c r="N532" s="6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x14ac:dyDescent="0.25" r="533" customHeight="1" ht="12.75">
      <c r="A533" s="3"/>
      <c r="B533" s="5"/>
      <c r="C533" s="7"/>
      <c r="D533" s="6"/>
      <c r="E533" s="6"/>
      <c r="F533" s="7"/>
      <c r="G533" s="6"/>
      <c r="H533" s="6"/>
      <c r="I533" s="6"/>
      <c r="J533" s="6"/>
      <c r="K533" s="5"/>
      <c r="L533" s="7"/>
      <c r="M533" s="6"/>
      <c r="N533" s="6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x14ac:dyDescent="0.25" r="534" customHeight="1" ht="12.75">
      <c r="A534" s="3"/>
      <c r="B534" s="5"/>
      <c r="C534" s="7"/>
      <c r="D534" s="6"/>
      <c r="E534" s="6"/>
      <c r="F534" s="7"/>
      <c r="G534" s="6"/>
      <c r="H534" s="6"/>
      <c r="I534" s="6"/>
      <c r="J534" s="6"/>
      <c r="K534" s="5"/>
      <c r="L534" s="7"/>
      <c r="M534" s="6"/>
      <c r="N534" s="6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x14ac:dyDescent="0.25" r="535" customHeight="1" ht="12.75">
      <c r="A535" s="3"/>
      <c r="B535" s="5"/>
      <c r="C535" s="7"/>
      <c r="D535" s="6"/>
      <c r="E535" s="6"/>
      <c r="F535" s="7"/>
      <c r="G535" s="6"/>
      <c r="H535" s="6"/>
      <c r="I535" s="6"/>
      <c r="J535" s="6"/>
      <c r="K535" s="5"/>
      <c r="L535" s="7"/>
      <c r="M535" s="6"/>
      <c r="N535" s="6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x14ac:dyDescent="0.25" r="536" customHeight="1" ht="12.75">
      <c r="A536" s="3"/>
      <c r="B536" s="5"/>
      <c r="C536" s="7"/>
      <c r="D536" s="6"/>
      <c r="E536" s="6"/>
      <c r="F536" s="7"/>
      <c r="G536" s="6"/>
      <c r="H536" s="6"/>
      <c r="I536" s="6"/>
      <c r="J536" s="6"/>
      <c r="K536" s="5"/>
      <c r="L536" s="7"/>
      <c r="M536" s="6"/>
      <c r="N536" s="6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x14ac:dyDescent="0.25" r="537" customHeight="1" ht="12.75">
      <c r="A537" s="3"/>
      <c r="B537" s="5"/>
      <c r="C537" s="7"/>
      <c r="D537" s="6"/>
      <c r="E537" s="6"/>
      <c r="F537" s="7"/>
      <c r="G537" s="6"/>
      <c r="H537" s="6"/>
      <c r="I537" s="6"/>
      <c r="J537" s="6"/>
      <c r="K537" s="5"/>
      <c r="L537" s="7"/>
      <c r="M537" s="6"/>
      <c r="N537" s="6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x14ac:dyDescent="0.25" r="538" customHeight="1" ht="12.75">
      <c r="A538" s="3"/>
      <c r="B538" s="5"/>
      <c r="C538" s="7"/>
      <c r="D538" s="6"/>
      <c r="E538" s="6"/>
      <c r="F538" s="7"/>
      <c r="G538" s="6"/>
      <c r="H538" s="6"/>
      <c r="I538" s="6"/>
      <c r="J538" s="6"/>
      <c r="K538" s="5"/>
      <c r="L538" s="7"/>
      <c r="M538" s="6"/>
      <c r="N538" s="6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x14ac:dyDescent="0.25" r="539" customHeight="1" ht="12.75">
      <c r="A539" s="3"/>
      <c r="B539" s="5"/>
      <c r="C539" s="7"/>
      <c r="D539" s="6"/>
      <c r="E539" s="6"/>
      <c r="F539" s="7"/>
      <c r="G539" s="6"/>
      <c r="H539" s="6"/>
      <c r="I539" s="6"/>
      <c r="J539" s="6"/>
      <c r="K539" s="5"/>
      <c r="L539" s="7"/>
      <c r="M539" s="6"/>
      <c r="N539" s="6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x14ac:dyDescent="0.25" r="540" customHeight="1" ht="12.75">
      <c r="A540" s="3"/>
      <c r="B540" s="5"/>
      <c r="C540" s="7"/>
      <c r="D540" s="6"/>
      <c r="E540" s="6"/>
      <c r="F540" s="7"/>
      <c r="G540" s="6"/>
      <c r="H540" s="6"/>
      <c r="I540" s="6"/>
      <c r="J540" s="6"/>
      <c r="K540" s="5"/>
      <c r="L540" s="7"/>
      <c r="M540" s="6"/>
      <c r="N540" s="6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x14ac:dyDescent="0.25" r="541" customHeight="1" ht="12.75">
      <c r="A541" s="3"/>
      <c r="B541" s="5"/>
      <c r="C541" s="7"/>
      <c r="D541" s="6"/>
      <c r="E541" s="6"/>
      <c r="F541" s="7"/>
      <c r="G541" s="6"/>
      <c r="H541" s="6"/>
      <c r="I541" s="6"/>
      <c r="J541" s="6"/>
      <c r="K541" s="5"/>
      <c r="L541" s="7"/>
      <c r="M541" s="6"/>
      <c r="N541" s="6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x14ac:dyDescent="0.25" r="542" customHeight="1" ht="12.75">
      <c r="A542" s="3"/>
      <c r="B542" s="5"/>
      <c r="C542" s="7"/>
      <c r="D542" s="6"/>
      <c r="E542" s="6"/>
      <c r="F542" s="7"/>
      <c r="G542" s="6"/>
      <c r="H542" s="6"/>
      <c r="I542" s="6"/>
      <c r="J542" s="6"/>
      <c r="K542" s="5"/>
      <c r="L542" s="7"/>
      <c r="M542" s="6"/>
      <c r="N542" s="6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x14ac:dyDescent="0.25" r="543" customHeight="1" ht="12.75">
      <c r="A543" s="3"/>
      <c r="B543" s="5"/>
      <c r="C543" s="7"/>
      <c r="D543" s="6"/>
      <c r="E543" s="6"/>
      <c r="F543" s="7"/>
      <c r="G543" s="6"/>
      <c r="H543" s="6"/>
      <c r="I543" s="6"/>
      <c r="J543" s="6"/>
      <c r="K543" s="5"/>
      <c r="L543" s="7"/>
      <c r="M543" s="6"/>
      <c r="N543" s="6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x14ac:dyDescent="0.25" r="544" customHeight="1" ht="12.75">
      <c r="A544" s="3"/>
      <c r="B544" s="5"/>
      <c r="C544" s="7"/>
      <c r="D544" s="6"/>
      <c r="E544" s="6"/>
      <c r="F544" s="7"/>
      <c r="G544" s="6"/>
      <c r="H544" s="6"/>
      <c r="I544" s="6"/>
      <c r="J544" s="6"/>
      <c r="K544" s="5"/>
      <c r="L544" s="7"/>
      <c r="M544" s="6"/>
      <c r="N544" s="6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x14ac:dyDescent="0.25" r="545" customHeight="1" ht="12.75">
      <c r="A545" s="3"/>
      <c r="B545" s="5"/>
      <c r="C545" s="7"/>
      <c r="D545" s="6"/>
      <c r="E545" s="6"/>
      <c r="F545" s="7"/>
      <c r="G545" s="6"/>
      <c r="H545" s="6"/>
      <c r="I545" s="6"/>
      <c r="J545" s="6"/>
      <c r="K545" s="5"/>
      <c r="L545" s="7"/>
      <c r="M545" s="6"/>
      <c r="N545" s="6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x14ac:dyDescent="0.25" r="546" customHeight="1" ht="12.75">
      <c r="A546" s="3"/>
      <c r="B546" s="5"/>
      <c r="C546" s="7"/>
      <c r="D546" s="6"/>
      <c r="E546" s="6"/>
      <c r="F546" s="7"/>
      <c r="G546" s="6"/>
      <c r="H546" s="6"/>
      <c r="I546" s="6"/>
      <c r="J546" s="6"/>
      <c r="K546" s="5"/>
      <c r="L546" s="7"/>
      <c r="M546" s="6"/>
      <c r="N546" s="6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x14ac:dyDescent="0.25" r="547" customHeight="1" ht="12.75">
      <c r="A547" s="3"/>
      <c r="B547" s="5"/>
      <c r="C547" s="7"/>
      <c r="D547" s="6"/>
      <c r="E547" s="6"/>
      <c r="F547" s="7"/>
      <c r="G547" s="6"/>
      <c r="H547" s="6"/>
      <c r="I547" s="6"/>
      <c r="J547" s="6"/>
      <c r="K547" s="5"/>
      <c r="L547" s="7"/>
      <c r="M547" s="6"/>
      <c r="N547" s="6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x14ac:dyDescent="0.25" r="548" customHeight="1" ht="12.75">
      <c r="A548" s="3"/>
      <c r="B548" s="5"/>
      <c r="C548" s="7"/>
      <c r="D548" s="6"/>
      <c r="E548" s="6"/>
      <c r="F548" s="7"/>
      <c r="G548" s="6"/>
      <c r="H548" s="6"/>
      <c r="I548" s="6"/>
      <c r="J548" s="6"/>
      <c r="K548" s="5"/>
      <c r="L548" s="7"/>
      <c r="M548" s="6"/>
      <c r="N548" s="6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x14ac:dyDescent="0.25" r="549" customHeight="1" ht="12.75">
      <c r="A549" s="3"/>
      <c r="B549" s="5"/>
      <c r="C549" s="7"/>
      <c r="D549" s="6"/>
      <c r="E549" s="6"/>
      <c r="F549" s="7"/>
      <c r="G549" s="6"/>
      <c r="H549" s="6"/>
      <c r="I549" s="6"/>
      <c r="J549" s="6"/>
      <c r="K549" s="5"/>
      <c r="L549" s="7"/>
      <c r="M549" s="6"/>
      <c r="N549" s="6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x14ac:dyDescent="0.25" r="550" customHeight="1" ht="12.75">
      <c r="A550" s="3"/>
      <c r="B550" s="5"/>
      <c r="C550" s="7"/>
      <c r="D550" s="6"/>
      <c r="E550" s="6"/>
      <c r="F550" s="7"/>
      <c r="G550" s="6"/>
      <c r="H550" s="6"/>
      <c r="I550" s="6"/>
      <c r="J550" s="6"/>
      <c r="K550" s="5"/>
      <c r="L550" s="7"/>
      <c r="M550" s="6"/>
      <c r="N550" s="6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x14ac:dyDescent="0.25" r="551" customHeight="1" ht="12.75">
      <c r="A551" s="3"/>
      <c r="B551" s="5"/>
      <c r="C551" s="7"/>
      <c r="D551" s="6"/>
      <c r="E551" s="6"/>
      <c r="F551" s="7"/>
      <c r="G551" s="6"/>
      <c r="H551" s="6"/>
      <c r="I551" s="6"/>
      <c r="J551" s="6"/>
      <c r="K551" s="5"/>
      <c r="L551" s="7"/>
      <c r="M551" s="6"/>
      <c r="N551" s="6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x14ac:dyDescent="0.25" r="552" customHeight="1" ht="12.75">
      <c r="A552" s="3"/>
      <c r="B552" s="5"/>
      <c r="C552" s="7"/>
      <c r="D552" s="6"/>
      <c r="E552" s="6"/>
      <c r="F552" s="7"/>
      <c r="G552" s="6"/>
      <c r="H552" s="6"/>
      <c r="I552" s="6"/>
      <c r="J552" s="6"/>
      <c r="K552" s="5"/>
      <c r="L552" s="7"/>
      <c r="M552" s="6"/>
      <c r="N552" s="6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x14ac:dyDescent="0.25" r="553" customHeight="1" ht="12.75">
      <c r="A553" s="3"/>
      <c r="B553" s="5"/>
      <c r="C553" s="7"/>
      <c r="D553" s="6"/>
      <c r="E553" s="6"/>
      <c r="F553" s="7"/>
      <c r="G553" s="6"/>
      <c r="H553" s="6"/>
      <c r="I553" s="6"/>
      <c r="J553" s="6"/>
      <c r="K553" s="5"/>
      <c r="L553" s="7"/>
      <c r="M553" s="6"/>
      <c r="N553" s="6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x14ac:dyDescent="0.25" r="554" customHeight="1" ht="12.75">
      <c r="A554" s="3"/>
      <c r="B554" s="5"/>
      <c r="C554" s="7"/>
      <c r="D554" s="6"/>
      <c r="E554" s="6"/>
      <c r="F554" s="7"/>
      <c r="G554" s="6"/>
      <c r="H554" s="6"/>
      <c r="I554" s="6"/>
      <c r="J554" s="6"/>
      <c r="K554" s="5"/>
      <c r="L554" s="7"/>
      <c r="M554" s="6"/>
      <c r="N554" s="6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x14ac:dyDescent="0.25" r="555" customHeight="1" ht="12.75">
      <c r="A555" s="3"/>
      <c r="B555" s="5"/>
      <c r="C555" s="7"/>
      <c r="D555" s="6"/>
      <c r="E555" s="6"/>
      <c r="F555" s="7"/>
      <c r="G555" s="6"/>
      <c r="H555" s="6"/>
      <c r="I555" s="6"/>
      <c r="J555" s="6"/>
      <c r="K555" s="5"/>
      <c r="L555" s="7"/>
      <c r="M555" s="6"/>
      <c r="N555" s="6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x14ac:dyDescent="0.25" r="556" customHeight="1" ht="12.75">
      <c r="A556" s="3"/>
      <c r="B556" s="5"/>
      <c r="C556" s="7"/>
      <c r="D556" s="6"/>
      <c r="E556" s="6"/>
      <c r="F556" s="7"/>
      <c r="G556" s="6"/>
      <c r="H556" s="6"/>
      <c r="I556" s="6"/>
      <c r="J556" s="6"/>
      <c r="K556" s="5"/>
      <c r="L556" s="7"/>
      <c r="M556" s="6"/>
      <c r="N556" s="6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x14ac:dyDescent="0.25" r="557" customHeight="1" ht="12.75">
      <c r="A557" s="3"/>
      <c r="B557" s="5"/>
      <c r="C557" s="7"/>
      <c r="D557" s="6"/>
      <c r="E557" s="6"/>
      <c r="F557" s="7"/>
      <c r="G557" s="6"/>
      <c r="H557" s="6"/>
      <c r="I557" s="6"/>
      <c r="J557" s="6"/>
      <c r="K557" s="5"/>
      <c r="L557" s="7"/>
      <c r="M557" s="6"/>
      <c r="N557" s="6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x14ac:dyDescent="0.25" r="558" customHeight="1" ht="12.75">
      <c r="A558" s="3"/>
      <c r="B558" s="5"/>
      <c r="C558" s="7"/>
      <c r="D558" s="6"/>
      <c r="E558" s="6"/>
      <c r="F558" s="7"/>
      <c r="G558" s="6"/>
      <c r="H558" s="6"/>
      <c r="I558" s="6"/>
      <c r="J558" s="6"/>
      <c r="K558" s="5"/>
      <c r="L558" s="7"/>
      <c r="M558" s="6"/>
      <c r="N558" s="6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x14ac:dyDescent="0.25" r="559" customHeight="1" ht="12.75">
      <c r="A559" s="3"/>
      <c r="B559" s="5"/>
      <c r="C559" s="7"/>
      <c r="D559" s="6"/>
      <c r="E559" s="6"/>
      <c r="F559" s="7"/>
      <c r="G559" s="6"/>
      <c r="H559" s="6"/>
      <c r="I559" s="6"/>
      <c r="J559" s="6"/>
      <c r="K559" s="5"/>
      <c r="L559" s="7"/>
      <c r="M559" s="6"/>
      <c r="N559" s="6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x14ac:dyDescent="0.25" r="560" customHeight="1" ht="12.75">
      <c r="A560" s="3"/>
      <c r="B560" s="5"/>
      <c r="C560" s="7"/>
      <c r="D560" s="6"/>
      <c r="E560" s="6"/>
      <c r="F560" s="7"/>
      <c r="G560" s="6"/>
      <c r="H560" s="6"/>
      <c r="I560" s="6"/>
      <c r="J560" s="6"/>
      <c r="K560" s="5"/>
      <c r="L560" s="7"/>
      <c r="M560" s="6"/>
      <c r="N560" s="6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x14ac:dyDescent="0.25" r="561" customHeight="1" ht="12.75">
      <c r="A561" s="3"/>
      <c r="B561" s="5"/>
      <c r="C561" s="7"/>
      <c r="D561" s="6"/>
      <c r="E561" s="6"/>
      <c r="F561" s="7"/>
      <c r="G561" s="6"/>
      <c r="H561" s="6"/>
      <c r="I561" s="6"/>
      <c r="J561" s="6"/>
      <c r="K561" s="5"/>
      <c r="L561" s="7"/>
      <c r="M561" s="6"/>
      <c r="N561" s="6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x14ac:dyDescent="0.25" r="562" customHeight="1" ht="12.75">
      <c r="A562" s="3"/>
      <c r="B562" s="5"/>
      <c r="C562" s="7"/>
      <c r="D562" s="6"/>
      <c r="E562" s="6"/>
      <c r="F562" s="7"/>
      <c r="G562" s="6"/>
      <c r="H562" s="6"/>
      <c r="I562" s="6"/>
      <c r="J562" s="6"/>
      <c r="K562" s="5"/>
      <c r="L562" s="7"/>
      <c r="M562" s="6"/>
      <c r="N562" s="6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x14ac:dyDescent="0.25" r="563" customHeight="1" ht="12.75">
      <c r="A563" s="3"/>
      <c r="B563" s="5"/>
      <c r="C563" s="7"/>
      <c r="D563" s="6"/>
      <c r="E563" s="6"/>
      <c r="F563" s="7"/>
      <c r="G563" s="6"/>
      <c r="H563" s="6"/>
      <c r="I563" s="6"/>
      <c r="J563" s="6"/>
      <c r="K563" s="5"/>
      <c r="L563" s="7"/>
      <c r="M563" s="6"/>
      <c r="N563" s="6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x14ac:dyDescent="0.25" r="564" customHeight="1" ht="12.75">
      <c r="A564" s="3"/>
      <c r="B564" s="5"/>
      <c r="C564" s="7"/>
      <c r="D564" s="6"/>
      <c r="E564" s="6"/>
      <c r="F564" s="7"/>
      <c r="G564" s="6"/>
      <c r="H564" s="6"/>
      <c r="I564" s="6"/>
      <c r="J564" s="6"/>
      <c r="K564" s="5"/>
      <c r="L564" s="7"/>
      <c r="M564" s="6"/>
      <c r="N564" s="6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x14ac:dyDescent="0.25" r="565" customHeight="1" ht="12.75">
      <c r="A565" s="3"/>
      <c r="B565" s="5"/>
      <c r="C565" s="7"/>
      <c r="D565" s="6"/>
      <c r="E565" s="6"/>
      <c r="F565" s="7"/>
      <c r="G565" s="6"/>
      <c r="H565" s="6"/>
      <c r="I565" s="6"/>
      <c r="J565" s="6"/>
      <c r="K565" s="5"/>
      <c r="L565" s="7"/>
      <c r="M565" s="6"/>
      <c r="N565" s="6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x14ac:dyDescent="0.25" r="566" customHeight="1" ht="12.75">
      <c r="A566" s="3"/>
      <c r="B566" s="5"/>
      <c r="C566" s="7"/>
      <c r="D566" s="6"/>
      <c r="E566" s="6"/>
      <c r="F566" s="7"/>
      <c r="G566" s="6"/>
      <c r="H566" s="6"/>
      <c r="I566" s="6"/>
      <c r="J566" s="6"/>
      <c r="K566" s="5"/>
      <c r="L566" s="7"/>
      <c r="M566" s="6"/>
      <c r="N566" s="6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x14ac:dyDescent="0.25" r="567" customHeight="1" ht="12.75">
      <c r="A567" s="3"/>
      <c r="B567" s="5"/>
      <c r="C567" s="7"/>
      <c r="D567" s="6"/>
      <c r="E567" s="6"/>
      <c r="F567" s="7"/>
      <c r="G567" s="6"/>
      <c r="H567" s="6"/>
      <c r="I567" s="6"/>
      <c r="J567" s="6"/>
      <c r="K567" s="5"/>
      <c r="L567" s="7"/>
      <c r="M567" s="6"/>
      <c r="N567" s="6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x14ac:dyDescent="0.25" r="568" customHeight="1" ht="12.75">
      <c r="A568" s="3"/>
      <c r="B568" s="5"/>
      <c r="C568" s="7"/>
      <c r="D568" s="6"/>
      <c r="E568" s="6"/>
      <c r="F568" s="7"/>
      <c r="G568" s="6"/>
      <c r="H568" s="6"/>
      <c r="I568" s="6"/>
      <c r="J568" s="6"/>
      <c r="K568" s="5"/>
      <c r="L568" s="7"/>
      <c r="M568" s="6"/>
      <c r="N568" s="6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x14ac:dyDescent="0.25" r="569" customHeight="1" ht="12.75">
      <c r="A569" s="3"/>
      <c r="B569" s="5"/>
      <c r="C569" s="7"/>
      <c r="D569" s="6"/>
      <c r="E569" s="6"/>
      <c r="F569" s="7"/>
      <c r="G569" s="6"/>
      <c r="H569" s="6"/>
      <c r="I569" s="6"/>
      <c r="J569" s="6"/>
      <c r="K569" s="5"/>
      <c r="L569" s="7"/>
      <c r="M569" s="6"/>
      <c r="N569" s="6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x14ac:dyDescent="0.25" r="570" customHeight="1" ht="12.75">
      <c r="A570" s="3"/>
      <c r="B570" s="5"/>
      <c r="C570" s="7"/>
      <c r="D570" s="6"/>
      <c r="E570" s="6"/>
      <c r="F570" s="7"/>
      <c r="G570" s="6"/>
      <c r="H570" s="6"/>
      <c r="I570" s="6"/>
      <c r="J570" s="6"/>
      <c r="K570" s="5"/>
      <c r="L570" s="7"/>
      <c r="M570" s="6"/>
      <c r="N570" s="6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x14ac:dyDescent="0.25" r="571" customHeight="1" ht="12.75">
      <c r="A571" s="3"/>
      <c r="B571" s="5"/>
      <c r="C571" s="7"/>
      <c r="D571" s="6"/>
      <c r="E571" s="6"/>
      <c r="F571" s="7"/>
      <c r="G571" s="6"/>
      <c r="H571" s="6"/>
      <c r="I571" s="6"/>
      <c r="J571" s="6"/>
      <c r="K571" s="5"/>
      <c r="L571" s="7"/>
      <c r="M571" s="6"/>
      <c r="N571" s="6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x14ac:dyDescent="0.25" r="572" customHeight="1" ht="12.75">
      <c r="A572" s="3"/>
      <c r="B572" s="5"/>
      <c r="C572" s="7"/>
      <c r="D572" s="6"/>
      <c r="E572" s="6"/>
      <c r="F572" s="7"/>
      <c r="G572" s="6"/>
      <c r="H572" s="6"/>
      <c r="I572" s="6"/>
      <c r="J572" s="6"/>
      <c r="K572" s="5"/>
      <c r="L572" s="7"/>
      <c r="M572" s="6"/>
      <c r="N572" s="6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x14ac:dyDescent="0.25" r="573" customHeight="1" ht="12.75">
      <c r="A573" s="3"/>
      <c r="B573" s="5"/>
      <c r="C573" s="7"/>
      <c r="D573" s="6"/>
      <c r="E573" s="6"/>
      <c r="F573" s="7"/>
      <c r="G573" s="6"/>
      <c r="H573" s="6"/>
      <c r="I573" s="6"/>
      <c r="J573" s="6"/>
      <c r="K573" s="5"/>
      <c r="L573" s="7"/>
      <c r="M573" s="6"/>
      <c r="N573" s="6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x14ac:dyDescent="0.25" r="574" customHeight="1" ht="12.75">
      <c r="A574" s="3"/>
      <c r="B574" s="5"/>
      <c r="C574" s="7"/>
      <c r="D574" s="6"/>
      <c r="E574" s="6"/>
      <c r="F574" s="7"/>
      <c r="G574" s="6"/>
      <c r="H574" s="6"/>
      <c r="I574" s="6"/>
      <c r="J574" s="6"/>
      <c r="K574" s="5"/>
      <c r="L574" s="7"/>
      <c r="M574" s="6"/>
      <c r="N574" s="6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x14ac:dyDescent="0.25" r="575" customHeight="1" ht="12.75">
      <c r="A575" s="3"/>
      <c r="B575" s="5"/>
      <c r="C575" s="7"/>
      <c r="D575" s="6"/>
      <c r="E575" s="6"/>
      <c r="F575" s="7"/>
      <c r="G575" s="6"/>
      <c r="H575" s="6"/>
      <c r="I575" s="6"/>
      <c r="J575" s="6"/>
      <c r="K575" s="5"/>
      <c r="L575" s="7"/>
      <c r="M575" s="6"/>
      <c r="N575" s="6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x14ac:dyDescent="0.25" r="576" customHeight="1" ht="12.75">
      <c r="A576" s="3"/>
      <c r="B576" s="5"/>
      <c r="C576" s="7"/>
      <c r="D576" s="6"/>
      <c r="E576" s="6"/>
      <c r="F576" s="7"/>
      <c r="G576" s="6"/>
      <c r="H576" s="6"/>
      <c r="I576" s="6"/>
      <c r="J576" s="6"/>
      <c r="K576" s="5"/>
      <c r="L576" s="7"/>
      <c r="M576" s="6"/>
      <c r="N576" s="6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x14ac:dyDescent="0.25" r="577" customHeight="1" ht="12.75">
      <c r="A577" s="3"/>
      <c r="B577" s="5"/>
      <c r="C577" s="7"/>
      <c r="D577" s="6"/>
      <c r="E577" s="6"/>
      <c r="F577" s="7"/>
      <c r="G577" s="6"/>
      <c r="H577" s="6"/>
      <c r="I577" s="6"/>
      <c r="J577" s="6"/>
      <c r="K577" s="5"/>
      <c r="L577" s="7"/>
      <c r="M577" s="6"/>
      <c r="N577" s="6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x14ac:dyDescent="0.25" r="578" customHeight="1" ht="12.75">
      <c r="A578" s="3"/>
      <c r="B578" s="5"/>
      <c r="C578" s="7"/>
      <c r="D578" s="6"/>
      <c r="E578" s="6"/>
      <c r="F578" s="7"/>
      <c r="G578" s="6"/>
      <c r="H578" s="6"/>
      <c r="I578" s="6"/>
      <c r="J578" s="6"/>
      <c r="K578" s="5"/>
      <c r="L578" s="7"/>
      <c r="M578" s="6"/>
      <c r="N578" s="6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x14ac:dyDescent="0.25" r="579" customHeight="1" ht="12.75">
      <c r="A579" s="3"/>
      <c r="B579" s="5"/>
      <c r="C579" s="7"/>
      <c r="D579" s="6"/>
      <c r="E579" s="6"/>
      <c r="F579" s="7"/>
      <c r="G579" s="6"/>
      <c r="H579" s="6"/>
      <c r="I579" s="6"/>
      <c r="J579" s="6"/>
      <c r="K579" s="5"/>
      <c r="L579" s="7"/>
      <c r="M579" s="6"/>
      <c r="N579" s="6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x14ac:dyDescent="0.25" r="580" customHeight="1" ht="12.75">
      <c r="A580" s="3"/>
      <c r="B580" s="5"/>
      <c r="C580" s="7"/>
      <c r="D580" s="6"/>
      <c r="E580" s="6"/>
      <c r="F580" s="7"/>
      <c r="G580" s="6"/>
      <c r="H580" s="6"/>
      <c r="I580" s="6"/>
      <c r="J580" s="6"/>
      <c r="K580" s="5"/>
      <c r="L580" s="7"/>
      <c r="M580" s="6"/>
      <c r="N580" s="6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x14ac:dyDescent="0.25" r="581" customHeight="1" ht="12.75">
      <c r="A581" s="3"/>
      <c r="B581" s="5"/>
      <c r="C581" s="7"/>
      <c r="D581" s="6"/>
      <c r="E581" s="6"/>
      <c r="F581" s="7"/>
      <c r="G581" s="6"/>
      <c r="H581" s="6"/>
      <c r="I581" s="6"/>
      <c r="J581" s="6"/>
      <c r="K581" s="5"/>
      <c r="L581" s="7"/>
      <c r="M581" s="6"/>
      <c r="N581" s="6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x14ac:dyDescent="0.25" r="582" customHeight="1" ht="12.75">
      <c r="A582" s="3"/>
      <c r="B582" s="5"/>
      <c r="C582" s="7"/>
      <c r="D582" s="6"/>
      <c r="E582" s="6"/>
      <c r="F582" s="7"/>
      <c r="G582" s="6"/>
      <c r="H582" s="6"/>
      <c r="I582" s="6"/>
      <c r="J582" s="6"/>
      <c r="K582" s="5"/>
      <c r="L582" s="7"/>
      <c r="M582" s="6"/>
      <c r="N582" s="6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x14ac:dyDescent="0.25" r="583" customHeight="1" ht="12.75">
      <c r="A583" s="3"/>
      <c r="B583" s="5"/>
      <c r="C583" s="7"/>
      <c r="D583" s="6"/>
      <c r="E583" s="6"/>
      <c r="F583" s="7"/>
      <c r="G583" s="6"/>
      <c r="H583" s="6"/>
      <c r="I583" s="6"/>
      <c r="J583" s="6"/>
      <c r="K583" s="5"/>
      <c r="L583" s="7"/>
      <c r="M583" s="6"/>
      <c r="N583" s="6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x14ac:dyDescent="0.25" r="584" customHeight="1" ht="12.75">
      <c r="A584" s="3"/>
      <c r="B584" s="5"/>
      <c r="C584" s="7"/>
      <c r="D584" s="6"/>
      <c r="E584" s="6"/>
      <c r="F584" s="7"/>
      <c r="G584" s="6"/>
      <c r="H584" s="6"/>
      <c r="I584" s="6"/>
      <c r="J584" s="6"/>
      <c r="K584" s="5"/>
      <c r="L584" s="7"/>
      <c r="M584" s="6"/>
      <c r="N584" s="6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x14ac:dyDescent="0.25" r="585" customHeight="1" ht="12.75">
      <c r="A585" s="3"/>
      <c r="B585" s="5"/>
      <c r="C585" s="7"/>
      <c r="D585" s="6"/>
      <c r="E585" s="6"/>
      <c r="F585" s="7"/>
      <c r="G585" s="6"/>
      <c r="H585" s="6"/>
      <c r="I585" s="6"/>
      <c r="J585" s="6"/>
      <c r="K585" s="5"/>
      <c r="L585" s="7"/>
      <c r="M585" s="6"/>
      <c r="N585" s="6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x14ac:dyDescent="0.25" r="586" customHeight="1" ht="12.75">
      <c r="A586" s="3"/>
      <c r="B586" s="5"/>
      <c r="C586" s="7"/>
      <c r="D586" s="6"/>
      <c r="E586" s="6"/>
      <c r="F586" s="7"/>
      <c r="G586" s="6"/>
      <c r="H586" s="6"/>
      <c r="I586" s="6"/>
      <c r="J586" s="6"/>
      <c r="K586" s="5"/>
      <c r="L586" s="7"/>
      <c r="M586" s="6"/>
      <c r="N586" s="6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x14ac:dyDescent="0.25" r="587" customHeight="1" ht="12.75">
      <c r="A587" s="3"/>
      <c r="B587" s="5"/>
      <c r="C587" s="7"/>
      <c r="D587" s="6"/>
      <c r="E587" s="6"/>
      <c r="F587" s="7"/>
      <c r="G587" s="6"/>
      <c r="H587" s="6"/>
      <c r="I587" s="6"/>
      <c r="J587" s="6"/>
      <c r="K587" s="5"/>
      <c r="L587" s="7"/>
      <c r="M587" s="6"/>
      <c r="N587" s="6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x14ac:dyDescent="0.25" r="588" customHeight="1" ht="12.75">
      <c r="A588" s="3"/>
      <c r="B588" s="5"/>
      <c r="C588" s="7"/>
      <c r="D588" s="6"/>
      <c r="E588" s="6"/>
      <c r="F588" s="7"/>
      <c r="G588" s="6"/>
      <c r="H588" s="6"/>
      <c r="I588" s="6"/>
      <c r="J588" s="6"/>
      <c r="K588" s="5"/>
      <c r="L588" s="7"/>
      <c r="M588" s="6"/>
      <c r="N588" s="6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x14ac:dyDescent="0.25" r="589" customHeight="1" ht="12.75">
      <c r="A589" s="3"/>
      <c r="B589" s="5"/>
      <c r="C589" s="7"/>
      <c r="D589" s="6"/>
      <c r="E589" s="6"/>
      <c r="F589" s="7"/>
      <c r="G589" s="6"/>
      <c r="H589" s="6"/>
      <c r="I589" s="6"/>
      <c r="J589" s="6"/>
      <c r="K589" s="5"/>
      <c r="L589" s="7"/>
      <c r="M589" s="6"/>
      <c r="N589" s="6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x14ac:dyDescent="0.25" r="590" customHeight="1" ht="12.75">
      <c r="A590" s="3"/>
      <c r="B590" s="5"/>
      <c r="C590" s="7"/>
      <c r="D590" s="6"/>
      <c r="E590" s="6"/>
      <c r="F590" s="7"/>
      <c r="G590" s="6"/>
      <c r="H590" s="6"/>
      <c r="I590" s="6"/>
      <c r="J590" s="6"/>
      <c r="K590" s="5"/>
      <c r="L590" s="7"/>
      <c r="M590" s="6"/>
      <c r="N590" s="6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x14ac:dyDescent="0.25" r="591" customHeight="1" ht="12.75">
      <c r="A591" s="3"/>
      <c r="B591" s="5"/>
      <c r="C591" s="7"/>
      <c r="D591" s="6"/>
      <c r="E591" s="6"/>
      <c r="F591" s="7"/>
      <c r="G591" s="6"/>
      <c r="H591" s="6"/>
      <c r="I591" s="6"/>
      <c r="J591" s="6"/>
      <c r="K591" s="5"/>
      <c r="L591" s="7"/>
      <c r="M591" s="6"/>
      <c r="N591" s="6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x14ac:dyDescent="0.25" r="592" customHeight="1" ht="12.75">
      <c r="A592" s="3"/>
      <c r="B592" s="5"/>
      <c r="C592" s="7"/>
      <c r="D592" s="6"/>
      <c r="E592" s="6"/>
      <c r="F592" s="7"/>
      <c r="G592" s="6"/>
      <c r="H592" s="6"/>
      <c r="I592" s="6"/>
      <c r="J592" s="6"/>
      <c r="K592" s="5"/>
      <c r="L592" s="7"/>
      <c r="M592" s="6"/>
      <c r="N592" s="6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x14ac:dyDescent="0.25" r="593" customHeight="1" ht="12.75">
      <c r="A593" s="3"/>
      <c r="B593" s="5"/>
      <c r="C593" s="7"/>
      <c r="D593" s="6"/>
      <c r="E593" s="6"/>
      <c r="F593" s="7"/>
      <c r="G593" s="6"/>
      <c r="H593" s="6"/>
      <c r="I593" s="6"/>
      <c r="J593" s="6"/>
      <c r="K593" s="5"/>
      <c r="L593" s="7"/>
      <c r="M593" s="6"/>
      <c r="N593" s="6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x14ac:dyDescent="0.25" r="594" customHeight="1" ht="12.75">
      <c r="A594" s="3"/>
      <c r="B594" s="5"/>
      <c r="C594" s="7"/>
      <c r="D594" s="6"/>
      <c r="E594" s="6"/>
      <c r="F594" s="7"/>
      <c r="G594" s="6"/>
      <c r="H594" s="6"/>
      <c r="I594" s="6"/>
      <c r="J594" s="6"/>
      <c r="K594" s="5"/>
      <c r="L594" s="7"/>
      <c r="M594" s="6"/>
      <c r="N594" s="6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x14ac:dyDescent="0.25" r="595" customHeight="1" ht="12.75">
      <c r="A595" s="3"/>
      <c r="B595" s="5"/>
      <c r="C595" s="7"/>
      <c r="D595" s="6"/>
      <c r="E595" s="6"/>
      <c r="F595" s="7"/>
      <c r="G595" s="6"/>
      <c r="H595" s="6"/>
      <c r="I595" s="6"/>
      <c r="J595" s="6"/>
      <c r="K595" s="5"/>
      <c r="L595" s="7"/>
      <c r="M595" s="6"/>
      <c r="N595" s="6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x14ac:dyDescent="0.25" r="596" customHeight="1" ht="12.75">
      <c r="A596" s="3"/>
      <c r="B596" s="5"/>
      <c r="C596" s="7"/>
      <c r="D596" s="6"/>
      <c r="E596" s="6"/>
      <c r="F596" s="7"/>
      <c r="G596" s="6"/>
      <c r="H596" s="6"/>
      <c r="I596" s="6"/>
      <c r="J596" s="6"/>
      <c r="K596" s="5"/>
      <c r="L596" s="7"/>
      <c r="M596" s="6"/>
      <c r="N596" s="6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x14ac:dyDescent="0.25" r="597" customHeight="1" ht="12.75">
      <c r="A597" s="3"/>
      <c r="B597" s="5"/>
      <c r="C597" s="7"/>
      <c r="D597" s="6"/>
      <c r="E597" s="6"/>
      <c r="F597" s="7"/>
      <c r="G597" s="6"/>
      <c r="H597" s="6"/>
      <c r="I597" s="6"/>
      <c r="J597" s="6"/>
      <c r="K597" s="5"/>
      <c r="L597" s="7"/>
      <c r="M597" s="6"/>
      <c r="N597" s="6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x14ac:dyDescent="0.25" r="598" customHeight="1" ht="12.75">
      <c r="A598" s="3"/>
      <c r="B598" s="5"/>
      <c r="C598" s="7"/>
      <c r="D598" s="6"/>
      <c r="E598" s="6"/>
      <c r="F598" s="7"/>
      <c r="G598" s="6"/>
      <c r="H598" s="6"/>
      <c r="I598" s="6"/>
      <c r="J598" s="6"/>
      <c r="K598" s="5"/>
      <c r="L598" s="7"/>
      <c r="M598" s="6"/>
      <c r="N598" s="6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x14ac:dyDescent="0.25" r="599" customHeight="1" ht="12.75">
      <c r="A599" s="3"/>
      <c r="B599" s="5"/>
      <c r="C599" s="7"/>
      <c r="D599" s="6"/>
      <c r="E599" s="6"/>
      <c r="F599" s="7"/>
      <c r="G599" s="6"/>
      <c r="H599" s="6"/>
      <c r="I599" s="6"/>
      <c r="J599" s="6"/>
      <c r="K599" s="5"/>
      <c r="L599" s="7"/>
      <c r="M599" s="6"/>
      <c r="N599" s="6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x14ac:dyDescent="0.25" r="600" customHeight="1" ht="12.75">
      <c r="A600" s="3"/>
      <c r="B600" s="5"/>
      <c r="C600" s="7"/>
      <c r="D600" s="6"/>
      <c r="E600" s="6"/>
      <c r="F600" s="7"/>
      <c r="G600" s="6"/>
      <c r="H600" s="6"/>
      <c r="I600" s="6"/>
      <c r="J600" s="6"/>
      <c r="K600" s="5"/>
      <c r="L600" s="7"/>
      <c r="M600" s="6"/>
      <c r="N600" s="6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x14ac:dyDescent="0.25" r="601" customHeight="1" ht="12.75">
      <c r="A601" s="3"/>
      <c r="B601" s="5"/>
      <c r="C601" s="7"/>
      <c r="D601" s="6"/>
      <c r="E601" s="6"/>
      <c r="F601" s="7"/>
      <c r="G601" s="6"/>
      <c r="H601" s="6"/>
      <c r="I601" s="6"/>
      <c r="J601" s="6"/>
      <c r="K601" s="5"/>
      <c r="L601" s="7"/>
      <c r="M601" s="6"/>
      <c r="N601" s="6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x14ac:dyDescent="0.25" r="602" customHeight="1" ht="12.75">
      <c r="A602" s="3"/>
      <c r="B602" s="5"/>
      <c r="C602" s="7"/>
      <c r="D602" s="6"/>
      <c r="E602" s="6"/>
      <c r="F602" s="7"/>
      <c r="G602" s="6"/>
      <c r="H602" s="6"/>
      <c r="I602" s="6"/>
      <c r="J602" s="6"/>
      <c r="K602" s="5"/>
      <c r="L602" s="7"/>
      <c r="M602" s="6"/>
      <c r="N602" s="6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x14ac:dyDescent="0.25" r="603" customHeight="1" ht="12.75">
      <c r="A603" s="3"/>
      <c r="B603" s="5"/>
      <c r="C603" s="7"/>
      <c r="D603" s="6"/>
      <c r="E603" s="6"/>
      <c r="F603" s="7"/>
      <c r="G603" s="6"/>
      <c r="H603" s="6"/>
      <c r="I603" s="6"/>
      <c r="J603" s="6"/>
      <c r="K603" s="5"/>
      <c r="L603" s="7"/>
      <c r="M603" s="6"/>
      <c r="N603" s="6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x14ac:dyDescent="0.25" r="604" customHeight="1" ht="12.75">
      <c r="A604" s="3"/>
      <c r="B604" s="5"/>
      <c r="C604" s="7"/>
      <c r="D604" s="6"/>
      <c r="E604" s="6"/>
      <c r="F604" s="7"/>
      <c r="G604" s="6"/>
      <c r="H604" s="6"/>
      <c r="I604" s="6"/>
      <c r="J604" s="6"/>
      <c r="K604" s="5"/>
      <c r="L604" s="7"/>
      <c r="M604" s="6"/>
      <c r="N604" s="6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x14ac:dyDescent="0.25" r="605" customHeight="1" ht="12.75">
      <c r="A605" s="3"/>
      <c r="B605" s="5"/>
      <c r="C605" s="7"/>
      <c r="D605" s="6"/>
      <c r="E605" s="6"/>
      <c r="F605" s="7"/>
      <c r="G605" s="6"/>
      <c r="H605" s="6"/>
      <c r="I605" s="6"/>
      <c r="J605" s="6"/>
      <c r="K605" s="5"/>
      <c r="L605" s="7"/>
      <c r="M605" s="6"/>
      <c r="N605" s="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x14ac:dyDescent="0.25" r="606" customHeight="1" ht="12.75">
      <c r="A606" s="3"/>
      <c r="B606" s="5"/>
      <c r="C606" s="7"/>
      <c r="D606" s="6"/>
      <c r="E606" s="6"/>
      <c r="F606" s="7"/>
      <c r="G606" s="6"/>
      <c r="H606" s="6"/>
      <c r="I606" s="6"/>
      <c r="J606" s="6"/>
      <c r="K606" s="5"/>
      <c r="L606" s="7"/>
      <c r="M606" s="6"/>
      <c r="N606" s="6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x14ac:dyDescent="0.25" r="607" customHeight="1" ht="12.75">
      <c r="A607" s="3"/>
      <c r="B607" s="5"/>
      <c r="C607" s="7"/>
      <c r="D607" s="6"/>
      <c r="E607" s="6"/>
      <c r="F607" s="7"/>
      <c r="G607" s="6"/>
      <c r="H607" s="6"/>
      <c r="I607" s="6"/>
      <c r="J607" s="6"/>
      <c r="K607" s="5"/>
      <c r="L607" s="7"/>
      <c r="M607" s="6"/>
      <c r="N607" s="6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x14ac:dyDescent="0.25" r="608" customHeight="1" ht="12.75">
      <c r="A608" s="3"/>
      <c r="B608" s="5"/>
      <c r="C608" s="7"/>
      <c r="D608" s="6"/>
      <c r="E608" s="6"/>
      <c r="F608" s="7"/>
      <c r="G608" s="6"/>
      <c r="H608" s="6"/>
      <c r="I608" s="6"/>
      <c r="J608" s="6"/>
      <c r="K608" s="5"/>
      <c r="L608" s="7"/>
      <c r="M608" s="6"/>
      <c r="N608" s="6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x14ac:dyDescent="0.25" r="609" customHeight="1" ht="12.75">
      <c r="A609" s="3"/>
      <c r="B609" s="5"/>
      <c r="C609" s="7"/>
      <c r="D609" s="6"/>
      <c r="E609" s="6"/>
      <c r="F609" s="7"/>
      <c r="G609" s="6"/>
      <c r="H609" s="6"/>
      <c r="I609" s="6"/>
      <c r="J609" s="6"/>
      <c r="K609" s="5"/>
      <c r="L609" s="7"/>
      <c r="M609" s="6"/>
      <c r="N609" s="6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x14ac:dyDescent="0.25" r="610" customHeight="1" ht="12.75">
      <c r="A610" s="3"/>
      <c r="B610" s="5"/>
      <c r="C610" s="7"/>
      <c r="D610" s="6"/>
      <c r="E610" s="6"/>
      <c r="F610" s="7"/>
      <c r="G610" s="6"/>
      <c r="H610" s="6"/>
      <c r="I610" s="6"/>
      <c r="J610" s="6"/>
      <c r="K610" s="5"/>
      <c r="L610" s="7"/>
      <c r="M610" s="6"/>
      <c r="N610" s="6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x14ac:dyDescent="0.25" r="611" customHeight="1" ht="12.75">
      <c r="A611" s="3"/>
      <c r="B611" s="5"/>
      <c r="C611" s="7"/>
      <c r="D611" s="6"/>
      <c r="E611" s="6"/>
      <c r="F611" s="7"/>
      <c r="G611" s="6"/>
      <c r="H611" s="6"/>
      <c r="I611" s="6"/>
      <c r="J611" s="6"/>
      <c r="K611" s="5"/>
      <c r="L611" s="7"/>
      <c r="M611" s="6"/>
      <c r="N611" s="6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x14ac:dyDescent="0.25" r="612" customHeight="1" ht="12.75">
      <c r="A612" s="3"/>
      <c r="B612" s="5"/>
      <c r="C612" s="7"/>
      <c r="D612" s="6"/>
      <c r="E612" s="6"/>
      <c r="F612" s="7"/>
      <c r="G612" s="6"/>
      <c r="H612" s="6"/>
      <c r="I612" s="6"/>
      <c r="J612" s="6"/>
      <c r="K612" s="5"/>
      <c r="L612" s="7"/>
      <c r="M612" s="6"/>
      <c r="N612" s="6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x14ac:dyDescent="0.25" r="613" customHeight="1" ht="12.75">
      <c r="A613" s="3"/>
      <c r="B613" s="5"/>
      <c r="C613" s="7"/>
      <c r="D613" s="6"/>
      <c r="E613" s="6"/>
      <c r="F613" s="7"/>
      <c r="G613" s="6"/>
      <c r="H613" s="6"/>
      <c r="I613" s="6"/>
      <c r="J613" s="6"/>
      <c r="K613" s="5"/>
      <c r="L613" s="7"/>
      <c r="M613" s="6"/>
      <c r="N613" s="6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x14ac:dyDescent="0.25" r="614" customHeight="1" ht="12.75">
      <c r="A614" s="3"/>
      <c r="B614" s="5"/>
      <c r="C614" s="7"/>
      <c r="D614" s="6"/>
      <c r="E614" s="6"/>
      <c r="F614" s="7"/>
      <c r="G614" s="6"/>
      <c r="H614" s="6"/>
      <c r="I614" s="6"/>
      <c r="J614" s="6"/>
      <c r="K614" s="5"/>
      <c r="L614" s="7"/>
      <c r="M614" s="6"/>
      <c r="N614" s="6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x14ac:dyDescent="0.25" r="615" customHeight="1" ht="12.75">
      <c r="A615" s="3"/>
      <c r="B615" s="5"/>
      <c r="C615" s="7"/>
      <c r="D615" s="6"/>
      <c r="E615" s="6"/>
      <c r="F615" s="7"/>
      <c r="G615" s="6"/>
      <c r="H615" s="6"/>
      <c r="I615" s="6"/>
      <c r="J615" s="6"/>
      <c r="K615" s="5"/>
      <c r="L615" s="7"/>
      <c r="M615" s="6"/>
      <c r="N615" s="6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x14ac:dyDescent="0.25" r="616" customHeight="1" ht="12.75">
      <c r="A616" s="3"/>
      <c r="B616" s="5"/>
      <c r="C616" s="7"/>
      <c r="D616" s="6"/>
      <c r="E616" s="6"/>
      <c r="F616" s="7"/>
      <c r="G616" s="6"/>
      <c r="H616" s="6"/>
      <c r="I616" s="6"/>
      <c r="J616" s="6"/>
      <c r="K616" s="5"/>
      <c r="L616" s="7"/>
      <c r="M616" s="6"/>
      <c r="N616" s="6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x14ac:dyDescent="0.25" r="617" customHeight="1" ht="12.75">
      <c r="A617" s="3"/>
      <c r="B617" s="5"/>
      <c r="C617" s="7"/>
      <c r="D617" s="6"/>
      <c r="E617" s="6"/>
      <c r="F617" s="7"/>
      <c r="G617" s="6"/>
      <c r="H617" s="6"/>
      <c r="I617" s="6"/>
      <c r="J617" s="6"/>
      <c r="K617" s="5"/>
      <c r="L617" s="7"/>
      <c r="M617" s="6"/>
      <c r="N617" s="6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x14ac:dyDescent="0.25" r="618" customHeight="1" ht="12.75">
      <c r="A618" s="3"/>
      <c r="B618" s="5"/>
      <c r="C618" s="7"/>
      <c r="D618" s="6"/>
      <c r="E618" s="6"/>
      <c r="F618" s="7"/>
      <c r="G618" s="6"/>
      <c r="H618" s="6"/>
      <c r="I618" s="6"/>
      <c r="J618" s="6"/>
      <c r="K618" s="5"/>
      <c r="L618" s="7"/>
      <c r="M618" s="6"/>
      <c r="N618" s="6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x14ac:dyDescent="0.25" r="619" customHeight="1" ht="12.75">
      <c r="A619" s="3"/>
      <c r="B619" s="5"/>
      <c r="C619" s="7"/>
      <c r="D619" s="6"/>
      <c r="E619" s="6"/>
      <c r="F619" s="7"/>
      <c r="G619" s="6"/>
      <c r="H619" s="6"/>
      <c r="I619" s="6"/>
      <c r="J619" s="6"/>
      <c r="K619" s="5"/>
      <c r="L619" s="7"/>
      <c r="M619" s="6"/>
      <c r="N619" s="6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x14ac:dyDescent="0.25" r="620" customHeight="1" ht="12.75">
      <c r="A620" s="3"/>
      <c r="B620" s="5"/>
      <c r="C620" s="7"/>
      <c r="D620" s="6"/>
      <c r="E620" s="6"/>
      <c r="F620" s="7"/>
      <c r="G620" s="6"/>
      <c r="H620" s="6"/>
      <c r="I620" s="6"/>
      <c r="J620" s="6"/>
      <c r="K620" s="5"/>
      <c r="L620" s="7"/>
      <c r="M620" s="6"/>
      <c r="N620" s="6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x14ac:dyDescent="0.25" r="621" customHeight="1" ht="12.75">
      <c r="A621" s="3"/>
      <c r="B621" s="5"/>
      <c r="C621" s="7"/>
      <c r="D621" s="6"/>
      <c r="E621" s="6"/>
      <c r="F621" s="7"/>
      <c r="G621" s="6"/>
      <c r="H621" s="6"/>
      <c r="I621" s="6"/>
      <c r="J621" s="6"/>
      <c r="K621" s="5"/>
      <c r="L621" s="7"/>
      <c r="M621" s="6"/>
      <c r="N621" s="6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x14ac:dyDescent="0.25" r="622" customHeight="1" ht="12.75">
      <c r="A622" s="3"/>
      <c r="B622" s="5"/>
      <c r="C622" s="7"/>
      <c r="D622" s="6"/>
      <c r="E622" s="6"/>
      <c r="F622" s="7"/>
      <c r="G622" s="6"/>
      <c r="H622" s="6"/>
      <c r="I622" s="6"/>
      <c r="J622" s="6"/>
      <c r="K622" s="5"/>
      <c r="L622" s="7"/>
      <c r="M622" s="6"/>
      <c r="N622" s="6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x14ac:dyDescent="0.25" r="623" customHeight="1" ht="12.75">
      <c r="A623" s="3"/>
      <c r="B623" s="5"/>
      <c r="C623" s="7"/>
      <c r="D623" s="6"/>
      <c r="E623" s="6"/>
      <c r="F623" s="7"/>
      <c r="G623" s="6"/>
      <c r="H623" s="6"/>
      <c r="I623" s="6"/>
      <c r="J623" s="6"/>
      <c r="K623" s="5"/>
      <c r="L623" s="7"/>
      <c r="M623" s="6"/>
      <c r="N623" s="6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x14ac:dyDescent="0.25" r="624" customHeight="1" ht="12.75">
      <c r="A624" s="3"/>
      <c r="B624" s="5"/>
      <c r="C624" s="7"/>
      <c r="D624" s="6"/>
      <c r="E624" s="6"/>
      <c r="F624" s="7"/>
      <c r="G624" s="6"/>
      <c r="H624" s="6"/>
      <c r="I624" s="6"/>
      <c r="J624" s="6"/>
      <c r="K624" s="5"/>
      <c r="L624" s="7"/>
      <c r="M624" s="6"/>
      <c r="N624" s="6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x14ac:dyDescent="0.25" r="625" customHeight="1" ht="12.75">
      <c r="A625" s="3"/>
      <c r="B625" s="5"/>
      <c r="C625" s="7"/>
      <c r="D625" s="6"/>
      <c r="E625" s="6"/>
      <c r="F625" s="7"/>
      <c r="G625" s="6"/>
      <c r="H625" s="6"/>
      <c r="I625" s="6"/>
      <c r="J625" s="6"/>
      <c r="K625" s="5"/>
      <c r="L625" s="7"/>
      <c r="M625" s="6"/>
      <c r="N625" s="6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x14ac:dyDescent="0.25" r="626" customHeight="1" ht="12.75">
      <c r="A626" s="3"/>
      <c r="B626" s="5"/>
      <c r="C626" s="7"/>
      <c r="D626" s="6"/>
      <c r="E626" s="6"/>
      <c r="F626" s="7"/>
      <c r="G626" s="6"/>
      <c r="H626" s="6"/>
      <c r="I626" s="6"/>
      <c r="J626" s="6"/>
      <c r="K626" s="5"/>
      <c r="L626" s="7"/>
      <c r="M626" s="6"/>
      <c r="N626" s="6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x14ac:dyDescent="0.25" r="627" customHeight="1" ht="12.75">
      <c r="A627" s="3"/>
      <c r="B627" s="5"/>
      <c r="C627" s="7"/>
      <c r="D627" s="6"/>
      <c r="E627" s="6"/>
      <c r="F627" s="7"/>
      <c r="G627" s="6"/>
      <c r="H627" s="6"/>
      <c r="I627" s="6"/>
      <c r="J627" s="6"/>
      <c r="K627" s="5"/>
      <c r="L627" s="7"/>
      <c r="M627" s="6"/>
      <c r="N627" s="6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x14ac:dyDescent="0.25" r="628" customHeight="1" ht="12.75">
      <c r="A628" s="3"/>
      <c r="B628" s="5"/>
      <c r="C628" s="7"/>
      <c r="D628" s="6"/>
      <c r="E628" s="6"/>
      <c r="F628" s="7"/>
      <c r="G628" s="6"/>
      <c r="H628" s="6"/>
      <c r="I628" s="6"/>
      <c r="J628" s="6"/>
      <c r="K628" s="5"/>
      <c r="L628" s="7"/>
      <c r="M628" s="6"/>
      <c r="N628" s="6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x14ac:dyDescent="0.25" r="629" customHeight="1" ht="12.75">
      <c r="A629" s="3"/>
      <c r="B629" s="5"/>
      <c r="C629" s="7"/>
      <c r="D629" s="6"/>
      <c r="E629" s="6"/>
      <c r="F629" s="7"/>
      <c r="G629" s="6"/>
      <c r="H629" s="6"/>
      <c r="I629" s="6"/>
      <c r="J629" s="6"/>
      <c r="K629" s="5"/>
      <c r="L629" s="7"/>
      <c r="M629" s="6"/>
      <c r="N629" s="6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x14ac:dyDescent="0.25" r="630" customHeight="1" ht="12.75">
      <c r="A630" s="3"/>
      <c r="B630" s="5"/>
      <c r="C630" s="7"/>
      <c r="D630" s="6"/>
      <c r="E630" s="6"/>
      <c r="F630" s="7"/>
      <c r="G630" s="6"/>
      <c r="H630" s="6"/>
      <c r="I630" s="6"/>
      <c r="J630" s="6"/>
      <c r="K630" s="5"/>
      <c r="L630" s="7"/>
      <c r="M630" s="6"/>
      <c r="N630" s="6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x14ac:dyDescent="0.25" r="631" customHeight="1" ht="12.75">
      <c r="A631" s="3"/>
      <c r="B631" s="5"/>
      <c r="C631" s="7"/>
      <c r="D631" s="6"/>
      <c r="E631" s="6"/>
      <c r="F631" s="7"/>
      <c r="G631" s="6"/>
      <c r="H631" s="6"/>
      <c r="I631" s="6"/>
      <c r="J631" s="6"/>
      <c r="K631" s="5"/>
      <c r="L631" s="7"/>
      <c r="M631" s="6"/>
      <c r="N631" s="6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x14ac:dyDescent="0.25" r="632" customHeight="1" ht="12.75">
      <c r="A632" s="3"/>
      <c r="B632" s="5"/>
      <c r="C632" s="7"/>
      <c r="D632" s="6"/>
      <c r="E632" s="6"/>
      <c r="F632" s="7"/>
      <c r="G632" s="6"/>
      <c r="H632" s="6"/>
      <c r="I632" s="6"/>
      <c r="J632" s="6"/>
      <c r="K632" s="5"/>
      <c r="L632" s="7"/>
      <c r="M632" s="6"/>
      <c r="N632" s="6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x14ac:dyDescent="0.25" r="633" customHeight="1" ht="12.75">
      <c r="A633" s="3"/>
      <c r="B633" s="5"/>
      <c r="C633" s="7"/>
      <c r="D633" s="6"/>
      <c r="E633" s="6"/>
      <c r="F633" s="7"/>
      <c r="G633" s="6"/>
      <c r="H633" s="6"/>
      <c r="I633" s="6"/>
      <c r="J633" s="6"/>
      <c r="K633" s="5"/>
      <c r="L633" s="7"/>
      <c r="M633" s="6"/>
      <c r="N633" s="6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x14ac:dyDescent="0.25" r="634" customHeight="1" ht="12.75">
      <c r="A634" s="3"/>
      <c r="B634" s="5"/>
      <c r="C634" s="7"/>
      <c r="D634" s="6"/>
      <c r="E634" s="6"/>
      <c r="F634" s="7"/>
      <c r="G634" s="6"/>
      <c r="H634" s="6"/>
      <c r="I634" s="6"/>
      <c r="J634" s="6"/>
      <c r="K634" s="5"/>
      <c r="L634" s="7"/>
      <c r="M634" s="6"/>
      <c r="N634" s="6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x14ac:dyDescent="0.25" r="635" customHeight="1" ht="12.75">
      <c r="A635" s="3"/>
      <c r="B635" s="5"/>
      <c r="C635" s="7"/>
      <c r="D635" s="6"/>
      <c r="E635" s="6"/>
      <c r="F635" s="7"/>
      <c r="G635" s="6"/>
      <c r="H635" s="6"/>
      <c r="I635" s="6"/>
      <c r="J635" s="6"/>
      <c r="K635" s="5"/>
      <c r="L635" s="7"/>
      <c r="M635" s="6"/>
      <c r="N635" s="6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x14ac:dyDescent="0.25" r="636" customHeight="1" ht="12.75">
      <c r="A636" s="3"/>
      <c r="B636" s="5"/>
      <c r="C636" s="7"/>
      <c r="D636" s="6"/>
      <c r="E636" s="6"/>
      <c r="F636" s="7"/>
      <c r="G636" s="6"/>
      <c r="H636" s="6"/>
      <c r="I636" s="6"/>
      <c r="J636" s="6"/>
      <c r="K636" s="5"/>
      <c r="L636" s="7"/>
      <c r="M636" s="6"/>
      <c r="N636" s="6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x14ac:dyDescent="0.25" r="637" customHeight="1" ht="12.75">
      <c r="A637" s="3"/>
      <c r="B637" s="5"/>
      <c r="C637" s="7"/>
      <c r="D637" s="6"/>
      <c r="E637" s="6"/>
      <c r="F637" s="7"/>
      <c r="G637" s="6"/>
      <c r="H637" s="6"/>
      <c r="I637" s="6"/>
      <c r="J637" s="6"/>
      <c r="K637" s="5"/>
      <c r="L637" s="7"/>
      <c r="M637" s="6"/>
      <c r="N637" s="6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x14ac:dyDescent="0.25" r="638" customHeight="1" ht="12.75">
      <c r="A638" s="3"/>
      <c r="B638" s="5"/>
      <c r="C638" s="7"/>
      <c r="D638" s="6"/>
      <c r="E638" s="6"/>
      <c r="F638" s="7"/>
      <c r="G638" s="6"/>
      <c r="H638" s="6"/>
      <c r="I638" s="6"/>
      <c r="J638" s="6"/>
      <c r="K638" s="5"/>
      <c r="L638" s="7"/>
      <c r="M638" s="6"/>
      <c r="N638" s="6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x14ac:dyDescent="0.25" r="639" customHeight="1" ht="12.75">
      <c r="A639" s="3"/>
      <c r="B639" s="5"/>
      <c r="C639" s="7"/>
      <c r="D639" s="6"/>
      <c r="E639" s="6"/>
      <c r="F639" s="7"/>
      <c r="G639" s="6"/>
      <c r="H639" s="6"/>
      <c r="I639" s="6"/>
      <c r="J639" s="6"/>
      <c r="K639" s="5"/>
      <c r="L639" s="7"/>
      <c r="M639" s="6"/>
      <c r="N639" s="6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x14ac:dyDescent="0.25" r="640" customHeight="1" ht="12.75">
      <c r="A640" s="3"/>
      <c r="B640" s="5"/>
      <c r="C640" s="7"/>
      <c r="D640" s="6"/>
      <c r="E640" s="6"/>
      <c r="F640" s="7"/>
      <c r="G640" s="6"/>
      <c r="H640" s="6"/>
      <c r="I640" s="6"/>
      <c r="J640" s="6"/>
      <c r="K640" s="5"/>
      <c r="L640" s="7"/>
      <c r="M640" s="6"/>
      <c r="N640" s="6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x14ac:dyDescent="0.25" r="641" customHeight="1" ht="12.75">
      <c r="A641" s="3"/>
      <c r="B641" s="5"/>
      <c r="C641" s="7"/>
      <c r="D641" s="6"/>
      <c r="E641" s="6"/>
      <c r="F641" s="7"/>
      <c r="G641" s="6"/>
      <c r="H641" s="6"/>
      <c r="I641" s="6"/>
      <c r="J641" s="6"/>
      <c r="K641" s="5"/>
      <c r="L641" s="7"/>
      <c r="M641" s="6"/>
      <c r="N641" s="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x14ac:dyDescent="0.25" r="642" customHeight="1" ht="12.75">
      <c r="A642" s="3"/>
      <c r="B642" s="5"/>
      <c r="C642" s="7"/>
      <c r="D642" s="6"/>
      <c r="E642" s="6"/>
      <c r="F642" s="7"/>
      <c r="G642" s="6"/>
      <c r="H642" s="6"/>
      <c r="I642" s="6"/>
      <c r="J642" s="6"/>
      <c r="K642" s="5"/>
      <c r="L642" s="7"/>
      <c r="M642" s="6"/>
      <c r="N642" s="6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x14ac:dyDescent="0.25" r="643" customHeight="1" ht="12.75">
      <c r="A643" s="3"/>
      <c r="B643" s="5"/>
      <c r="C643" s="7"/>
      <c r="D643" s="6"/>
      <c r="E643" s="6"/>
      <c r="F643" s="7"/>
      <c r="G643" s="6"/>
      <c r="H643" s="6"/>
      <c r="I643" s="6"/>
      <c r="J643" s="6"/>
      <c r="K643" s="5"/>
      <c r="L643" s="7"/>
      <c r="M643" s="6"/>
      <c r="N643" s="6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x14ac:dyDescent="0.25" r="644" customHeight="1" ht="12.75">
      <c r="A644" s="3"/>
      <c r="B644" s="5"/>
      <c r="C644" s="7"/>
      <c r="D644" s="6"/>
      <c r="E644" s="6"/>
      <c r="F644" s="7"/>
      <c r="G644" s="6"/>
      <c r="H644" s="6"/>
      <c r="I644" s="6"/>
      <c r="J644" s="6"/>
      <c r="K644" s="5"/>
      <c r="L644" s="7"/>
      <c r="M644" s="6"/>
      <c r="N644" s="6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x14ac:dyDescent="0.25" r="645" customHeight="1" ht="12.75">
      <c r="A645" s="3"/>
      <c r="B645" s="5"/>
      <c r="C645" s="7"/>
      <c r="D645" s="6"/>
      <c r="E645" s="6"/>
      <c r="F645" s="7"/>
      <c r="G645" s="6"/>
      <c r="H645" s="6"/>
      <c r="I645" s="6"/>
      <c r="J645" s="6"/>
      <c r="K645" s="5"/>
      <c r="L645" s="7"/>
      <c r="M645" s="6"/>
      <c r="N645" s="6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x14ac:dyDescent="0.25" r="646" customHeight="1" ht="12.75">
      <c r="A646" s="3"/>
      <c r="B646" s="5"/>
      <c r="C646" s="7"/>
      <c r="D646" s="6"/>
      <c r="E646" s="6"/>
      <c r="F646" s="7"/>
      <c r="G646" s="6"/>
      <c r="H646" s="6"/>
      <c r="I646" s="6"/>
      <c r="J646" s="6"/>
      <c r="K646" s="5"/>
      <c r="L646" s="7"/>
      <c r="M646" s="6"/>
      <c r="N646" s="6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x14ac:dyDescent="0.25" r="647" customHeight="1" ht="12.75">
      <c r="A647" s="3"/>
      <c r="B647" s="5"/>
      <c r="C647" s="7"/>
      <c r="D647" s="6"/>
      <c r="E647" s="6"/>
      <c r="F647" s="7"/>
      <c r="G647" s="6"/>
      <c r="H647" s="6"/>
      <c r="I647" s="6"/>
      <c r="J647" s="6"/>
      <c r="K647" s="5"/>
      <c r="L647" s="7"/>
      <c r="M647" s="6"/>
      <c r="N647" s="6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x14ac:dyDescent="0.25" r="648" customHeight="1" ht="12.75">
      <c r="A648" s="3"/>
      <c r="B648" s="5"/>
      <c r="C648" s="7"/>
      <c r="D648" s="6"/>
      <c r="E648" s="6"/>
      <c r="F648" s="7"/>
      <c r="G648" s="6"/>
      <c r="H648" s="6"/>
      <c r="I648" s="6"/>
      <c r="J648" s="6"/>
      <c r="K648" s="5"/>
      <c r="L648" s="7"/>
      <c r="M648" s="6"/>
      <c r="N648" s="6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x14ac:dyDescent="0.25" r="649" customHeight="1" ht="12.75">
      <c r="A649" s="3"/>
      <c r="B649" s="5"/>
      <c r="C649" s="7"/>
      <c r="D649" s="6"/>
      <c r="E649" s="6"/>
      <c r="F649" s="7"/>
      <c r="G649" s="6"/>
      <c r="H649" s="6"/>
      <c r="I649" s="6"/>
      <c r="J649" s="6"/>
      <c r="K649" s="5"/>
      <c r="L649" s="7"/>
      <c r="M649" s="6"/>
      <c r="N649" s="6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x14ac:dyDescent="0.25" r="650" customHeight="1" ht="12.75">
      <c r="A650" s="3"/>
      <c r="B650" s="5"/>
      <c r="C650" s="7"/>
      <c r="D650" s="6"/>
      <c r="E650" s="6"/>
      <c r="F650" s="7"/>
      <c r="G650" s="6"/>
      <c r="H650" s="6"/>
      <c r="I650" s="6"/>
      <c r="J650" s="6"/>
      <c r="K650" s="5"/>
      <c r="L650" s="7"/>
      <c r="M650" s="6"/>
      <c r="N650" s="6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x14ac:dyDescent="0.25" r="651" customHeight="1" ht="12.75">
      <c r="A651" s="3"/>
      <c r="B651" s="5"/>
      <c r="C651" s="7"/>
      <c r="D651" s="6"/>
      <c r="E651" s="6"/>
      <c r="F651" s="7"/>
      <c r="G651" s="6"/>
      <c r="H651" s="6"/>
      <c r="I651" s="6"/>
      <c r="J651" s="6"/>
      <c r="K651" s="5"/>
      <c r="L651" s="7"/>
      <c r="M651" s="6"/>
      <c r="N651" s="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x14ac:dyDescent="0.25" r="652" customHeight="1" ht="12.75">
      <c r="A652" s="3"/>
      <c r="B652" s="5"/>
      <c r="C652" s="7"/>
      <c r="D652" s="6"/>
      <c r="E652" s="6"/>
      <c r="F652" s="7"/>
      <c r="G652" s="6"/>
      <c r="H652" s="6"/>
      <c r="I652" s="6"/>
      <c r="J652" s="6"/>
      <c r="K652" s="5"/>
      <c r="L652" s="7"/>
      <c r="M652" s="6"/>
      <c r="N652" s="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x14ac:dyDescent="0.25" r="653" customHeight="1" ht="12.75">
      <c r="A653" s="3"/>
      <c r="B653" s="5"/>
      <c r="C653" s="7"/>
      <c r="D653" s="6"/>
      <c r="E653" s="6"/>
      <c r="F653" s="7"/>
      <c r="G653" s="6"/>
      <c r="H653" s="6"/>
      <c r="I653" s="6"/>
      <c r="J653" s="6"/>
      <c r="K653" s="5"/>
      <c r="L653" s="7"/>
      <c r="M653" s="6"/>
      <c r="N653" s="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x14ac:dyDescent="0.25" r="654" customHeight="1" ht="12.75">
      <c r="A654" s="3"/>
      <c r="B654" s="5"/>
      <c r="C654" s="7"/>
      <c r="D654" s="6"/>
      <c r="E654" s="6"/>
      <c r="F654" s="7"/>
      <c r="G654" s="6"/>
      <c r="H654" s="6"/>
      <c r="I654" s="6"/>
      <c r="J654" s="6"/>
      <c r="K654" s="5"/>
      <c r="L654" s="7"/>
      <c r="M654" s="6"/>
      <c r="N654" s="6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x14ac:dyDescent="0.25" r="655" customHeight="1" ht="12.75">
      <c r="A655" s="3"/>
      <c r="B655" s="5"/>
      <c r="C655" s="7"/>
      <c r="D655" s="6"/>
      <c r="E655" s="6"/>
      <c r="F655" s="7"/>
      <c r="G655" s="6"/>
      <c r="H655" s="6"/>
      <c r="I655" s="6"/>
      <c r="J655" s="6"/>
      <c r="K655" s="5"/>
      <c r="L655" s="7"/>
      <c r="M655" s="6"/>
      <c r="N655" s="6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x14ac:dyDescent="0.25" r="656" customHeight="1" ht="12.75">
      <c r="A656" s="3"/>
      <c r="B656" s="5"/>
      <c r="C656" s="7"/>
      <c r="D656" s="6"/>
      <c r="E656" s="6"/>
      <c r="F656" s="7"/>
      <c r="G656" s="6"/>
      <c r="H656" s="6"/>
      <c r="I656" s="6"/>
      <c r="J656" s="6"/>
      <c r="K656" s="5"/>
      <c r="L656" s="7"/>
      <c r="M656" s="6"/>
      <c r="N656" s="6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x14ac:dyDescent="0.25" r="657" customHeight="1" ht="12.75">
      <c r="A657" s="3"/>
      <c r="B657" s="5"/>
      <c r="C657" s="7"/>
      <c r="D657" s="6"/>
      <c r="E657" s="6"/>
      <c r="F657" s="7"/>
      <c r="G657" s="6"/>
      <c r="H657" s="6"/>
      <c r="I657" s="6"/>
      <c r="J657" s="6"/>
      <c r="K657" s="5"/>
      <c r="L657" s="7"/>
      <c r="M657" s="6"/>
      <c r="N657" s="6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x14ac:dyDescent="0.25" r="658" customHeight="1" ht="12.75">
      <c r="A658" s="3"/>
      <c r="B658" s="5"/>
      <c r="C658" s="7"/>
      <c r="D658" s="6"/>
      <c r="E658" s="6"/>
      <c r="F658" s="7"/>
      <c r="G658" s="6"/>
      <c r="H658" s="6"/>
      <c r="I658" s="6"/>
      <c r="J658" s="6"/>
      <c r="K658" s="5"/>
      <c r="L658" s="7"/>
      <c r="M658" s="6"/>
      <c r="N658" s="6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x14ac:dyDescent="0.25" r="659" customHeight="1" ht="12.75">
      <c r="A659" s="3"/>
      <c r="B659" s="5"/>
      <c r="C659" s="7"/>
      <c r="D659" s="6"/>
      <c r="E659" s="6"/>
      <c r="F659" s="7"/>
      <c r="G659" s="6"/>
      <c r="H659" s="6"/>
      <c r="I659" s="6"/>
      <c r="J659" s="6"/>
      <c r="K659" s="5"/>
      <c r="L659" s="7"/>
      <c r="M659" s="6"/>
      <c r="N659" s="6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x14ac:dyDescent="0.25" r="660" customHeight="1" ht="12.75">
      <c r="A660" s="3"/>
      <c r="B660" s="5"/>
      <c r="C660" s="7"/>
      <c r="D660" s="6"/>
      <c r="E660" s="6"/>
      <c r="F660" s="7"/>
      <c r="G660" s="6"/>
      <c r="H660" s="6"/>
      <c r="I660" s="6"/>
      <c r="J660" s="6"/>
      <c r="K660" s="5"/>
      <c r="L660" s="7"/>
      <c r="M660" s="6"/>
      <c r="N660" s="6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x14ac:dyDescent="0.25" r="661" customHeight="1" ht="12.75">
      <c r="A661" s="3"/>
      <c r="B661" s="5"/>
      <c r="C661" s="7"/>
      <c r="D661" s="6"/>
      <c r="E661" s="6"/>
      <c r="F661" s="7"/>
      <c r="G661" s="6"/>
      <c r="H661" s="6"/>
      <c r="I661" s="6"/>
      <c r="J661" s="6"/>
      <c r="K661" s="5"/>
      <c r="L661" s="7"/>
      <c r="M661" s="6"/>
      <c r="N661" s="6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x14ac:dyDescent="0.25" r="662" customHeight="1" ht="12.75">
      <c r="A662" s="3"/>
      <c r="B662" s="5"/>
      <c r="C662" s="7"/>
      <c r="D662" s="6"/>
      <c r="E662" s="6"/>
      <c r="F662" s="7"/>
      <c r="G662" s="6"/>
      <c r="H662" s="6"/>
      <c r="I662" s="6"/>
      <c r="J662" s="6"/>
      <c r="K662" s="5"/>
      <c r="L662" s="7"/>
      <c r="M662" s="6"/>
      <c r="N662" s="6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x14ac:dyDescent="0.25" r="663" customHeight="1" ht="12.75">
      <c r="A663" s="3"/>
      <c r="B663" s="5"/>
      <c r="C663" s="7"/>
      <c r="D663" s="6"/>
      <c r="E663" s="6"/>
      <c r="F663" s="7"/>
      <c r="G663" s="6"/>
      <c r="H663" s="6"/>
      <c r="I663" s="6"/>
      <c r="J663" s="6"/>
      <c r="K663" s="5"/>
      <c r="L663" s="7"/>
      <c r="M663" s="6"/>
      <c r="N663" s="6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x14ac:dyDescent="0.25" r="664" customHeight="1" ht="12.75">
      <c r="A664" s="3"/>
      <c r="B664" s="5"/>
      <c r="C664" s="7"/>
      <c r="D664" s="6"/>
      <c r="E664" s="6"/>
      <c r="F664" s="7"/>
      <c r="G664" s="6"/>
      <c r="H664" s="6"/>
      <c r="I664" s="6"/>
      <c r="J664" s="6"/>
      <c r="K664" s="5"/>
      <c r="L664" s="7"/>
      <c r="M664" s="6"/>
      <c r="N664" s="6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x14ac:dyDescent="0.25" r="665" customHeight="1" ht="12.75">
      <c r="A665" s="3"/>
      <c r="B665" s="5"/>
      <c r="C665" s="7"/>
      <c r="D665" s="6"/>
      <c r="E665" s="6"/>
      <c r="F665" s="7"/>
      <c r="G665" s="6"/>
      <c r="H665" s="6"/>
      <c r="I665" s="6"/>
      <c r="J665" s="6"/>
      <c r="K665" s="5"/>
      <c r="L665" s="7"/>
      <c r="M665" s="6"/>
      <c r="N665" s="6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x14ac:dyDescent="0.25" r="666" customHeight="1" ht="12.75">
      <c r="A666" s="3"/>
      <c r="B666" s="5"/>
      <c r="C666" s="7"/>
      <c r="D666" s="6"/>
      <c r="E666" s="6"/>
      <c r="F666" s="7"/>
      <c r="G666" s="6"/>
      <c r="H666" s="6"/>
      <c r="I666" s="6"/>
      <c r="J666" s="6"/>
      <c r="K666" s="5"/>
      <c r="L666" s="7"/>
      <c r="M666" s="6"/>
      <c r="N666" s="6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x14ac:dyDescent="0.25" r="667" customHeight="1" ht="12.75">
      <c r="A667" s="3"/>
      <c r="B667" s="5"/>
      <c r="C667" s="7"/>
      <c r="D667" s="6"/>
      <c r="E667" s="6"/>
      <c r="F667" s="7"/>
      <c r="G667" s="6"/>
      <c r="H667" s="6"/>
      <c r="I667" s="6"/>
      <c r="J667" s="6"/>
      <c r="K667" s="5"/>
      <c r="L667" s="7"/>
      <c r="M667" s="6"/>
      <c r="N667" s="6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x14ac:dyDescent="0.25" r="668" customHeight="1" ht="12.75">
      <c r="A668" s="3"/>
      <c r="B668" s="5"/>
      <c r="C668" s="7"/>
      <c r="D668" s="6"/>
      <c r="E668" s="6"/>
      <c r="F668" s="7"/>
      <c r="G668" s="6"/>
      <c r="H668" s="6"/>
      <c r="I668" s="6"/>
      <c r="J668" s="6"/>
      <c r="K668" s="5"/>
      <c r="L668" s="7"/>
      <c r="M668" s="6"/>
      <c r="N668" s="6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x14ac:dyDescent="0.25" r="669" customHeight="1" ht="12.75">
      <c r="A669" s="3"/>
      <c r="B669" s="5"/>
      <c r="C669" s="7"/>
      <c r="D669" s="6"/>
      <c r="E669" s="6"/>
      <c r="F669" s="7"/>
      <c r="G669" s="6"/>
      <c r="H669" s="6"/>
      <c r="I669" s="6"/>
      <c r="J669" s="6"/>
      <c r="K669" s="5"/>
      <c r="L669" s="7"/>
      <c r="M669" s="6"/>
      <c r="N669" s="6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x14ac:dyDescent="0.25" r="670" customHeight="1" ht="12.75">
      <c r="A670" s="3"/>
      <c r="B670" s="5"/>
      <c r="C670" s="7"/>
      <c r="D670" s="6"/>
      <c r="E670" s="6"/>
      <c r="F670" s="7"/>
      <c r="G670" s="6"/>
      <c r="H670" s="6"/>
      <c r="I670" s="6"/>
      <c r="J670" s="6"/>
      <c r="K670" s="5"/>
      <c r="L670" s="7"/>
      <c r="M670" s="6"/>
      <c r="N670" s="6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x14ac:dyDescent="0.25" r="671" customHeight="1" ht="12.75">
      <c r="A671" s="3"/>
      <c r="B671" s="5"/>
      <c r="C671" s="7"/>
      <c r="D671" s="6"/>
      <c r="E671" s="6"/>
      <c r="F671" s="7"/>
      <c r="G671" s="6"/>
      <c r="H671" s="6"/>
      <c r="I671" s="6"/>
      <c r="J671" s="6"/>
      <c r="K671" s="5"/>
      <c r="L671" s="7"/>
      <c r="M671" s="6"/>
      <c r="N671" s="6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x14ac:dyDescent="0.25" r="672" customHeight="1" ht="12.75">
      <c r="A672" s="3"/>
      <c r="B672" s="5"/>
      <c r="C672" s="7"/>
      <c r="D672" s="6"/>
      <c r="E672" s="6"/>
      <c r="F672" s="7"/>
      <c r="G672" s="6"/>
      <c r="H672" s="6"/>
      <c r="I672" s="6"/>
      <c r="J672" s="6"/>
      <c r="K672" s="5"/>
      <c r="L672" s="7"/>
      <c r="M672" s="6"/>
      <c r="N672" s="6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x14ac:dyDescent="0.25" r="673" customHeight="1" ht="12.75">
      <c r="A673" s="3"/>
      <c r="B673" s="5"/>
      <c r="C673" s="7"/>
      <c r="D673" s="6"/>
      <c r="E673" s="6"/>
      <c r="F673" s="7"/>
      <c r="G673" s="6"/>
      <c r="H673" s="6"/>
      <c r="I673" s="6"/>
      <c r="J673" s="6"/>
      <c r="K673" s="5"/>
      <c r="L673" s="7"/>
      <c r="M673" s="6"/>
      <c r="N673" s="6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x14ac:dyDescent="0.25" r="674" customHeight="1" ht="12.75">
      <c r="A674" s="3"/>
      <c r="B674" s="5"/>
      <c r="C674" s="7"/>
      <c r="D674" s="6"/>
      <c r="E674" s="6"/>
      <c r="F674" s="7"/>
      <c r="G674" s="6"/>
      <c r="H674" s="6"/>
      <c r="I674" s="6"/>
      <c r="J674" s="6"/>
      <c r="K674" s="5"/>
      <c r="L674" s="7"/>
      <c r="M674" s="6"/>
      <c r="N674" s="6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x14ac:dyDescent="0.25" r="675" customHeight="1" ht="12.75">
      <c r="A675" s="3"/>
      <c r="B675" s="5"/>
      <c r="C675" s="7"/>
      <c r="D675" s="6"/>
      <c r="E675" s="6"/>
      <c r="F675" s="7"/>
      <c r="G675" s="6"/>
      <c r="H675" s="6"/>
      <c r="I675" s="6"/>
      <c r="J675" s="6"/>
      <c r="K675" s="5"/>
      <c r="L675" s="7"/>
      <c r="M675" s="6"/>
      <c r="N675" s="6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x14ac:dyDescent="0.25" r="676" customHeight="1" ht="12.75">
      <c r="A676" s="3"/>
      <c r="B676" s="5"/>
      <c r="C676" s="7"/>
      <c r="D676" s="6"/>
      <c r="E676" s="6"/>
      <c r="F676" s="7"/>
      <c r="G676" s="6"/>
      <c r="H676" s="6"/>
      <c r="I676" s="6"/>
      <c r="J676" s="6"/>
      <c r="K676" s="5"/>
      <c r="L676" s="7"/>
      <c r="M676" s="6"/>
      <c r="N676" s="6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x14ac:dyDescent="0.25" r="677" customHeight="1" ht="12.75">
      <c r="A677" s="3"/>
      <c r="B677" s="5"/>
      <c r="C677" s="7"/>
      <c r="D677" s="6"/>
      <c r="E677" s="6"/>
      <c r="F677" s="7"/>
      <c r="G677" s="6"/>
      <c r="H677" s="6"/>
      <c r="I677" s="6"/>
      <c r="J677" s="6"/>
      <c r="K677" s="5"/>
      <c r="L677" s="7"/>
      <c r="M677" s="6"/>
      <c r="N677" s="6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x14ac:dyDescent="0.25" r="678" customHeight="1" ht="12.75">
      <c r="A678" s="3"/>
      <c r="B678" s="5"/>
      <c r="C678" s="7"/>
      <c r="D678" s="6"/>
      <c r="E678" s="6"/>
      <c r="F678" s="7"/>
      <c r="G678" s="6"/>
      <c r="H678" s="6"/>
      <c r="I678" s="6"/>
      <c r="J678" s="6"/>
      <c r="K678" s="5"/>
      <c r="L678" s="7"/>
      <c r="M678" s="6"/>
      <c r="N678" s="6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x14ac:dyDescent="0.25" r="679" customHeight="1" ht="12.75">
      <c r="A679" s="3"/>
      <c r="B679" s="5"/>
      <c r="C679" s="7"/>
      <c r="D679" s="6"/>
      <c r="E679" s="6"/>
      <c r="F679" s="7"/>
      <c r="G679" s="6"/>
      <c r="H679" s="6"/>
      <c r="I679" s="6"/>
      <c r="J679" s="6"/>
      <c r="K679" s="5"/>
      <c r="L679" s="7"/>
      <c r="M679" s="6"/>
      <c r="N679" s="6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x14ac:dyDescent="0.25" r="680" customHeight="1" ht="12.75">
      <c r="A680" s="3"/>
      <c r="B680" s="5"/>
      <c r="C680" s="7"/>
      <c r="D680" s="6"/>
      <c r="E680" s="6"/>
      <c r="F680" s="7"/>
      <c r="G680" s="6"/>
      <c r="H680" s="6"/>
      <c r="I680" s="6"/>
      <c r="J680" s="6"/>
      <c r="K680" s="5"/>
      <c r="L680" s="7"/>
      <c r="M680" s="6"/>
      <c r="N680" s="6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x14ac:dyDescent="0.25" r="681" customHeight="1" ht="12.75">
      <c r="A681" s="3"/>
      <c r="B681" s="5"/>
      <c r="C681" s="7"/>
      <c r="D681" s="6"/>
      <c r="E681" s="6"/>
      <c r="F681" s="7"/>
      <c r="G681" s="6"/>
      <c r="H681" s="6"/>
      <c r="I681" s="6"/>
      <c r="J681" s="6"/>
      <c r="K681" s="5"/>
      <c r="L681" s="7"/>
      <c r="M681" s="6"/>
      <c r="N681" s="6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x14ac:dyDescent="0.25" r="682" customHeight="1" ht="12.75">
      <c r="A682" s="3"/>
      <c r="B682" s="5"/>
      <c r="C682" s="7"/>
      <c r="D682" s="6"/>
      <c r="E682" s="6"/>
      <c r="F682" s="7"/>
      <c r="G682" s="6"/>
      <c r="H682" s="6"/>
      <c r="I682" s="6"/>
      <c r="J682" s="6"/>
      <c r="K682" s="5"/>
      <c r="L682" s="7"/>
      <c r="M682" s="6"/>
      <c r="N682" s="6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x14ac:dyDescent="0.25" r="683" customHeight="1" ht="12.75">
      <c r="A683" s="3"/>
      <c r="B683" s="5"/>
      <c r="C683" s="7"/>
      <c r="D683" s="6"/>
      <c r="E683" s="6"/>
      <c r="F683" s="7"/>
      <c r="G683" s="6"/>
      <c r="H683" s="6"/>
      <c r="I683" s="6"/>
      <c r="J683" s="6"/>
      <c r="K683" s="5"/>
      <c r="L683" s="7"/>
      <c r="M683" s="6"/>
      <c r="N683" s="6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x14ac:dyDescent="0.25" r="684" customHeight="1" ht="12.75">
      <c r="A684" s="3"/>
      <c r="B684" s="5"/>
      <c r="C684" s="7"/>
      <c r="D684" s="6"/>
      <c r="E684" s="6"/>
      <c r="F684" s="7"/>
      <c r="G684" s="6"/>
      <c r="H684" s="6"/>
      <c r="I684" s="6"/>
      <c r="J684" s="6"/>
      <c r="K684" s="5"/>
      <c r="L684" s="7"/>
      <c r="M684" s="6"/>
      <c r="N684" s="6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x14ac:dyDescent="0.25" r="685" customHeight="1" ht="12.75">
      <c r="A685" s="3"/>
      <c r="B685" s="5"/>
      <c r="C685" s="7"/>
      <c r="D685" s="6"/>
      <c r="E685" s="6"/>
      <c r="F685" s="7"/>
      <c r="G685" s="6"/>
      <c r="H685" s="6"/>
      <c r="I685" s="6"/>
      <c r="J685" s="6"/>
      <c r="K685" s="5"/>
      <c r="L685" s="7"/>
      <c r="M685" s="6"/>
      <c r="N685" s="6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x14ac:dyDescent="0.25" r="686" customHeight="1" ht="12.75">
      <c r="A686" s="3"/>
      <c r="B686" s="5"/>
      <c r="C686" s="7"/>
      <c r="D686" s="6"/>
      <c r="E686" s="6"/>
      <c r="F686" s="7"/>
      <c r="G686" s="6"/>
      <c r="H686" s="6"/>
      <c r="I686" s="6"/>
      <c r="J686" s="6"/>
      <c r="K686" s="5"/>
      <c r="L686" s="7"/>
      <c r="M686" s="6"/>
      <c r="N686" s="6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x14ac:dyDescent="0.25" r="687" customHeight="1" ht="12.75">
      <c r="A687" s="3"/>
      <c r="B687" s="5"/>
      <c r="C687" s="7"/>
      <c r="D687" s="6"/>
      <c r="E687" s="6"/>
      <c r="F687" s="7"/>
      <c r="G687" s="6"/>
      <c r="H687" s="6"/>
      <c r="I687" s="6"/>
      <c r="J687" s="6"/>
      <c r="K687" s="5"/>
      <c r="L687" s="7"/>
      <c r="M687" s="6"/>
      <c r="N687" s="6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x14ac:dyDescent="0.25" r="688" customHeight="1" ht="12.75">
      <c r="A688" s="3"/>
      <c r="B688" s="5"/>
      <c r="C688" s="7"/>
      <c r="D688" s="6"/>
      <c r="E688" s="6"/>
      <c r="F688" s="7"/>
      <c r="G688" s="6"/>
      <c r="H688" s="6"/>
      <c r="I688" s="6"/>
      <c r="J688" s="6"/>
      <c r="K688" s="5"/>
      <c r="L688" s="7"/>
      <c r="M688" s="6"/>
      <c r="N688" s="6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x14ac:dyDescent="0.25" r="689" customHeight="1" ht="12.75">
      <c r="A689" s="3"/>
      <c r="B689" s="5"/>
      <c r="C689" s="7"/>
      <c r="D689" s="6"/>
      <c r="E689" s="6"/>
      <c r="F689" s="7"/>
      <c r="G689" s="6"/>
      <c r="H689" s="6"/>
      <c r="I689" s="6"/>
      <c r="J689" s="6"/>
      <c r="K689" s="5"/>
      <c r="L689" s="7"/>
      <c r="M689" s="6"/>
      <c r="N689" s="6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x14ac:dyDescent="0.25" r="690" customHeight="1" ht="12.75">
      <c r="A690" s="3"/>
      <c r="B690" s="5"/>
      <c r="C690" s="7"/>
      <c r="D690" s="6"/>
      <c r="E690" s="6"/>
      <c r="F690" s="7"/>
      <c r="G690" s="6"/>
      <c r="H690" s="6"/>
      <c r="I690" s="6"/>
      <c r="J690" s="6"/>
      <c r="K690" s="5"/>
      <c r="L690" s="7"/>
      <c r="M690" s="6"/>
      <c r="N690" s="6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x14ac:dyDescent="0.25" r="691" customHeight="1" ht="12.75">
      <c r="A691" s="3"/>
      <c r="B691" s="5"/>
      <c r="C691" s="7"/>
      <c r="D691" s="6"/>
      <c r="E691" s="6"/>
      <c r="F691" s="7"/>
      <c r="G691" s="6"/>
      <c r="H691" s="6"/>
      <c r="I691" s="6"/>
      <c r="J691" s="6"/>
      <c r="K691" s="5"/>
      <c r="L691" s="7"/>
      <c r="M691" s="6"/>
      <c r="N691" s="6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x14ac:dyDescent="0.25" r="692" customHeight="1" ht="12.75">
      <c r="A692" s="3"/>
      <c r="B692" s="5"/>
      <c r="C692" s="7"/>
      <c r="D692" s="6"/>
      <c r="E692" s="6"/>
      <c r="F692" s="7"/>
      <c r="G692" s="6"/>
      <c r="H692" s="6"/>
      <c r="I692" s="6"/>
      <c r="J692" s="6"/>
      <c r="K692" s="5"/>
      <c r="L692" s="7"/>
      <c r="M692" s="6"/>
      <c r="N692" s="6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x14ac:dyDescent="0.25" r="693" customHeight="1" ht="12.75">
      <c r="A693" s="3"/>
      <c r="B693" s="5"/>
      <c r="C693" s="7"/>
      <c r="D693" s="6"/>
      <c r="E693" s="6"/>
      <c r="F693" s="7"/>
      <c r="G693" s="6"/>
      <c r="H693" s="6"/>
      <c r="I693" s="6"/>
      <c r="J693" s="6"/>
      <c r="K693" s="5"/>
      <c r="L693" s="7"/>
      <c r="M693" s="6"/>
      <c r="N693" s="6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x14ac:dyDescent="0.25" r="694" customHeight="1" ht="12.75">
      <c r="A694" s="3"/>
      <c r="B694" s="5"/>
      <c r="C694" s="7"/>
      <c r="D694" s="6"/>
      <c r="E694" s="6"/>
      <c r="F694" s="7"/>
      <c r="G694" s="6"/>
      <c r="H694" s="6"/>
      <c r="I694" s="6"/>
      <c r="J694" s="6"/>
      <c r="K694" s="5"/>
      <c r="L694" s="7"/>
      <c r="M694" s="6"/>
      <c r="N694" s="6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x14ac:dyDescent="0.25" r="695" customHeight="1" ht="12.75">
      <c r="A695" s="3"/>
      <c r="B695" s="5"/>
      <c r="C695" s="7"/>
      <c r="D695" s="6"/>
      <c r="E695" s="6"/>
      <c r="F695" s="7"/>
      <c r="G695" s="6"/>
      <c r="H695" s="6"/>
      <c r="I695" s="6"/>
      <c r="J695" s="6"/>
      <c r="K695" s="5"/>
      <c r="L695" s="7"/>
      <c r="M695" s="6"/>
      <c r="N695" s="6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x14ac:dyDescent="0.25" r="696" customHeight="1" ht="12.75">
      <c r="A696" s="3"/>
      <c r="B696" s="5"/>
      <c r="C696" s="7"/>
      <c r="D696" s="6"/>
      <c r="E696" s="6"/>
      <c r="F696" s="7"/>
      <c r="G696" s="6"/>
      <c r="H696" s="6"/>
      <c r="I696" s="6"/>
      <c r="J696" s="6"/>
      <c r="K696" s="5"/>
      <c r="L696" s="7"/>
      <c r="M696" s="6"/>
      <c r="N696" s="6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x14ac:dyDescent="0.25" r="697" customHeight="1" ht="12.75">
      <c r="A697" s="3"/>
      <c r="B697" s="5"/>
      <c r="C697" s="7"/>
      <c r="D697" s="6"/>
      <c r="E697" s="6"/>
      <c r="F697" s="7"/>
      <c r="G697" s="6"/>
      <c r="H697" s="6"/>
      <c r="I697" s="6"/>
      <c r="J697" s="6"/>
      <c r="K697" s="5"/>
      <c r="L697" s="7"/>
      <c r="M697" s="6"/>
      <c r="N697" s="6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x14ac:dyDescent="0.25" r="698" customHeight="1" ht="12.75">
      <c r="A698" s="3"/>
      <c r="B698" s="5"/>
      <c r="C698" s="7"/>
      <c r="D698" s="6"/>
      <c r="E698" s="6"/>
      <c r="F698" s="7"/>
      <c r="G698" s="6"/>
      <c r="H698" s="6"/>
      <c r="I698" s="6"/>
      <c r="J698" s="6"/>
      <c r="K698" s="5"/>
      <c r="L698" s="7"/>
      <c r="M698" s="6"/>
      <c r="N698" s="6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x14ac:dyDescent="0.25" r="699" customHeight="1" ht="12.75">
      <c r="A699" s="3"/>
      <c r="B699" s="5"/>
      <c r="C699" s="7"/>
      <c r="D699" s="6"/>
      <c r="E699" s="6"/>
      <c r="F699" s="7"/>
      <c r="G699" s="6"/>
      <c r="H699" s="6"/>
      <c r="I699" s="6"/>
      <c r="J699" s="6"/>
      <c r="K699" s="5"/>
      <c r="L699" s="7"/>
      <c r="M699" s="6"/>
      <c r="N699" s="6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x14ac:dyDescent="0.25" r="700" customHeight="1" ht="12.75">
      <c r="A700" s="3"/>
      <c r="B700" s="5"/>
      <c r="C700" s="7"/>
      <c r="D700" s="6"/>
      <c r="E700" s="6"/>
      <c r="F700" s="7"/>
      <c r="G700" s="6"/>
      <c r="H700" s="6"/>
      <c r="I700" s="6"/>
      <c r="J700" s="6"/>
      <c r="K700" s="5"/>
      <c r="L700" s="7"/>
      <c r="M700" s="6"/>
      <c r="N700" s="6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x14ac:dyDescent="0.25" r="701" customHeight="1" ht="12.75">
      <c r="A701" s="3"/>
      <c r="B701" s="5"/>
      <c r="C701" s="7"/>
      <c r="D701" s="6"/>
      <c r="E701" s="6"/>
      <c r="F701" s="7"/>
      <c r="G701" s="6"/>
      <c r="H701" s="6"/>
      <c r="I701" s="6"/>
      <c r="J701" s="6"/>
      <c r="K701" s="5"/>
      <c r="L701" s="7"/>
      <c r="M701" s="6"/>
      <c r="N701" s="6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x14ac:dyDescent="0.25" r="702" customHeight="1" ht="12.75">
      <c r="A702" s="3"/>
      <c r="B702" s="5"/>
      <c r="C702" s="7"/>
      <c r="D702" s="6"/>
      <c r="E702" s="6"/>
      <c r="F702" s="7"/>
      <c r="G702" s="6"/>
      <c r="H702" s="6"/>
      <c r="I702" s="6"/>
      <c r="J702" s="6"/>
      <c r="K702" s="5"/>
      <c r="L702" s="7"/>
      <c r="M702" s="6"/>
      <c r="N702" s="6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x14ac:dyDescent="0.25" r="703" customHeight="1" ht="12.75">
      <c r="A703" s="3"/>
      <c r="B703" s="5"/>
      <c r="C703" s="7"/>
      <c r="D703" s="6"/>
      <c r="E703" s="6"/>
      <c r="F703" s="7"/>
      <c r="G703" s="6"/>
      <c r="H703" s="6"/>
      <c r="I703" s="6"/>
      <c r="J703" s="6"/>
      <c r="K703" s="5"/>
      <c r="L703" s="7"/>
      <c r="M703" s="6"/>
      <c r="N703" s="6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x14ac:dyDescent="0.25" r="704" customHeight="1" ht="12.75">
      <c r="A704" s="3"/>
      <c r="B704" s="5"/>
      <c r="C704" s="7"/>
      <c r="D704" s="6"/>
      <c r="E704" s="6"/>
      <c r="F704" s="7"/>
      <c r="G704" s="6"/>
      <c r="H704" s="6"/>
      <c r="I704" s="6"/>
      <c r="J704" s="6"/>
      <c r="K704" s="5"/>
      <c r="L704" s="7"/>
      <c r="M704" s="6"/>
      <c r="N704" s="6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x14ac:dyDescent="0.25" r="705" customHeight="1" ht="12.75">
      <c r="A705" s="3"/>
      <c r="B705" s="5"/>
      <c r="C705" s="7"/>
      <c r="D705" s="6"/>
      <c r="E705" s="6"/>
      <c r="F705" s="7"/>
      <c r="G705" s="6"/>
      <c r="H705" s="6"/>
      <c r="I705" s="6"/>
      <c r="J705" s="6"/>
      <c r="K705" s="5"/>
      <c r="L705" s="7"/>
      <c r="M705" s="6"/>
      <c r="N705" s="6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x14ac:dyDescent="0.25" r="706" customHeight="1" ht="12.75">
      <c r="A706" s="3"/>
      <c r="B706" s="5"/>
      <c r="C706" s="7"/>
      <c r="D706" s="6"/>
      <c r="E706" s="6"/>
      <c r="F706" s="7"/>
      <c r="G706" s="6"/>
      <c r="H706" s="6"/>
      <c r="I706" s="6"/>
      <c r="J706" s="6"/>
      <c r="K706" s="5"/>
      <c r="L706" s="7"/>
      <c r="M706" s="6"/>
      <c r="N706" s="6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x14ac:dyDescent="0.25" r="707" customHeight="1" ht="12.75">
      <c r="A707" s="3"/>
      <c r="B707" s="5"/>
      <c r="C707" s="7"/>
      <c r="D707" s="6"/>
      <c r="E707" s="6"/>
      <c r="F707" s="7"/>
      <c r="G707" s="6"/>
      <c r="H707" s="6"/>
      <c r="I707" s="6"/>
      <c r="J707" s="6"/>
      <c r="K707" s="5"/>
      <c r="L707" s="7"/>
      <c r="M707" s="6"/>
      <c r="N707" s="6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x14ac:dyDescent="0.25" r="708" customHeight="1" ht="12.75">
      <c r="A708" s="3"/>
      <c r="B708" s="5"/>
      <c r="C708" s="7"/>
      <c r="D708" s="6"/>
      <c r="E708" s="6"/>
      <c r="F708" s="7"/>
      <c r="G708" s="6"/>
      <c r="H708" s="6"/>
      <c r="I708" s="6"/>
      <c r="J708" s="6"/>
      <c r="K708" s="5"/>
      <c r="L708" s="7"/>
      <c r="M708" s="6"/>
      <c r="N708" s="6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x14ac:dyDescent="0.25" r="709" customHeight="1" ht="12.75">
      <c r="A709" s="3"/>
      <c r="B709" s="5"/>
      <c r="C709" s="7"/>
      <c r="D709" s="6"/>
      <c r="E709" s="6"/>
      <c r="F709" s="7"/>
      <c r="G709" s="6"/>
      <c r="H709" s="6"/>
      <c r="I709" s="6"/>
      <c r="J709" s="6"/>
      <c r="K709" s="5"/>
      <c r="L709" s="7"/>
      <c r="M709" s="6"/>
      <c r="N709" s="6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x14ac:dyDescent="0.25" r="710" customHeight="1" ht="12.75">
      <c r="A710" s="3"/>
      <c r="B710" s="5"/>
      <c r="C710" s="7"/>
      <c r="D710" s="6"/>
      <c r="E710" s="6"/>
      <c r="F710" s="7"/>
      <c r="G710" s="6"/>
      <c r="H710" s="6"/>
      <c r="I710" s="6"/>
      <c r="J710" s="6"/>
      <c r="K710" s="5"/>
      <c r="L710" s="7"/>
      <c r="M710" s="6"/>
      <c r="N710" s="6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x14ac:dyDescent="0.25" r="711" customHeight="1" ht="12.75">
      <c r="A711" s="3"/>
      <c r="B711" s="5"/>
      <c r="C711" s="7"/>
      <c r="D711" s="6"/>
      <c r="E711" s="6"/>
      <c r="F711" s="7"/>
      <c r="G711" s="6"/>
      <c r="H711" s="6"/>
      <c r="I711" s="6"/>
      <c r="J711" s="6"/>
      <c r="K711" s="5"/>
      <c r="L711" s="7"/>
      <c r="M711" s="6"/>
      <c r="N711" s="6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x14ac:dyDescent="0.25" r="712" customHeight="1" ht="12.75">
      <c r="A712" s="3"/>
      <c r="B712" s="5"/>
      <c r="C712" s="7"/>
      <c r="D712" s="6"/>
      <c r="E712" s="6"/>
      <c r="F712" s="7"/>
      <c r="G712" s="6"/>
      <c r="H712" s="6"/>
      <c r="I712" s="6"/>
      <c r="J712" s="6"/>
      <c r="K712" s="5"/>
      <c r="L712" s="7"/>
      <c r="M712" s="6"/>
      <c r="N712" s="6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x14ac:dyDescent="0.25" r="713" customHeight="1" ht="12.75">
      <c r="A713" s="3"/>
      <c r="B713" s="5"/>
      <c r="C713" s="7"/>
      <c r="D713" s="6"/>
      <c r="E713" s="6"/>
      <c r="F713" s="7"/>
      <c r="G713" s="6"/>
      <c r="H713" s="6"/>
      <c r="I713" s="6"/>
      <c r="J713" s="6"/>
      <c r="K713" s="5"/>
      <c r="L713" s="7"/>
      <c r="M713" s="6"/>
      <c r="N713" s="6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x14ac:dyDescent="0.25" r="714" customHeight="1" ht="12.75">
      <c r="A714" s="3"/>
      <c r="B714" s="5"/>
      <c r="C714" s="7"/>
      <c r="D714" s="6"/>
      <c r="E714" s="6"/>
      <c r="F714" s="7"/>
      <c r="G714" s="6"/>
      <c r="H714" s="6"/>
      <c r="I714" s="6"/>
      <c r="J714" s="6"/>
      <c r="K714" s="5"/>
      <c r="L714" s="7"/>
      <c r="M714" s="6"/>
      <c r="N714" s="6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x14ac:dyDescent="0.25" r="715" customHeight="1" ht="12.75">
      <c r="A715" s="3"/>
      <c r="B715" s="5"/>
      <c r="C715" s="7"/>
      <c r="D715" s="6"/>
      <c r="E715" s="6"/>
      <c r="F715" s="7"/>
      <c r="G715" s="6"/>
      <c r="H715" s="6"/>
      <c r="I715" s="6"/>
      <c r="J715" s="6"/>
      <c r="K715" s="5"/>
      <c r="L715" s="7"/>
      <c r="M715" s="6"/>
      <c r="N715" s="6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x14ac:dyDescent="0.25" r="716" customHeight="1" ht="12.75">
      <c r="A716" s="3"/>
      <c r="B716" s="5"/>
      <c r="C716" s="7"/>
      <c r="D716" s="6"/>
      <c r="E716" s="6"/>
      <c r="F716" s="7"/>
      <c r="G716" s="6"/>
      <c r="H716" s="6"/>
      <c r="I716" s="6"/>
      <c r="J716" s="6"/>
      <c r="K716" s="5"/>
      <c r="L716" s="7"/>
      <c r="M716" s="6"/>
      <c r="N716" s="6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x14ac:dyDescent="0.25" r="717" customHeight="1" ht="12.75">
      <c r="A717" s="3"/>
      <c r="B717" s="5"/>
      <c r="C717" s="7"/>
      <c r="D717" s="6"/>
      <c r="E717" s="6"/>
      <c r="F717" s="7"/>
      <c r="G717" s="6"/>
      <c r="H717" s="6"/>
      <c r="I717" s="6"/>
      <c r="J717" s="6"/>
      <c r="K717" s="5"/>
      <c r="L717" s="7"/>
      <c r="M717" s="6"/>
      <c r="N717" s="6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x14ac:dyDescent="0.25" r="718" customHeight="1" ht="12.75">
      <c r="A718" s="3"/>
      <c r="B718" s="5"/>
      <c r="C718" s="7"/>
      <c r="D718" s="6"/>
      <c r="E718" s="6"/>
      <c r="F718" s="7"/>
      <c r="G718" s="6"/>
      <c r="H718" s="6"/>
      <c r="I718" s="6"/>
      <c r="J718" s="6"/>
      <c r="K718" s="5"/>
      <c r="L718" s="7"/>
      <c r="M718" s="6"/>
      <c r="N718" s="6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x14ac:dyDescent="0.25" r="719" customHeight="1" ht="12.75">
      <c r="A719" s="3"/>
      <c r="B719" s="5"/>
      <c r="C719" s="7"/>
      <c r="D719" s="6"/>
      <c r="E719" s="6"/>
      <c r="F719" s="7"/>
      <c r="G719" s="6"/>
      <c r="H719" s="6"/>
      <c r="I719" s="6"/>
      <c r="J719" s="6"/>
      <c r="K719" s="5"/>
      <c r="L719" s="7"/>
      <c r="M719" s="6"/>
      <c r="N719" s="6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x14ac:dyDescent="0.25" r="720" customHeight="1" ht="12.75">
      <c r="A720" s="3"/>
      <c r="B720" s="5"/>
      <c r="C720" s="7"/>
      <c r="D720" s="6"/>
      <c r="E720" s="6"/>
      <c r="F720" s="7"/>
      <c r="G720" s="6"/>
      <c r="H720" s="6"/>
      <c r="I720" s="6"/>
      <c r="J720" s="6"/>
      <c r="K720" s="5"/>
      <c r="L720" s="7"/>
      <c r="M720" s="6"/>
      <c r="N720" s="6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x14ac:dyDescent="0.25" r="721" customHeight="1" ht="12.75">
      <c r="A721" s="3"/>
      <c r="B721" s="5"/>
      <c r="C721" s="7"/>
      <c r="D721" s="6"/>
      <c r="E721" s="6"/>
      <c r="F721" s="7"/>
      <c r="G721" s="6"/>
      <c r="H721" s="6"/>
      <c r="I721" s="6"/>
      <c r="J721" s="6"/>
      <c r="K721" s="5"/>
      <c r="L721" s="7"/>
      <c r="M721" s="6"/>
      <c r="N721" s="6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x14ac:dyDescent="0.25" r="722" customHeight="1" ht="12.75">
      <c r="A722" s="3"/>
      <c r="B722" s="5"/>
      <c r="C722" s="7"/>
      <c r="D722" s="6"/>
      <c r="E722" s="6"/>
      <c r="F722" s="7"/>
      <c r="G722" s="6"/>
      <c r="H722" s="6"/>
      <c r="I722" s="6"/>
      <c r="J722" s="6"/>
      <c r="K722" s="5"/>
      <c r="L722" s="7"/>
      <c r="M722" s="6"/>
      <c r="N722" s="6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x14ac:dyDescent="0.25" r="723" customHeight="1" ht="12.75">
      <c r="A723" s="3"/>
      <c r="B723" s="5"/>
      <c r="C723" s="7"/>
      <c r="D723" s="6"/>
      <c r="E723" s="6"/>
      <c r="F723" s="7"/>
      <c r="G723" s="6"/>
      <c r="H723" s="6"/>
      <c r="I723" s="6"/>
      <c r="J723" s="6"/>
      <c r="K723" s="5"/>
      <c r="L723" s="7"/>
      <c r="M723" s="6"/>
      <c r="N723" s="6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x14ac:dyDescent="0.25" r="724" customHeight="1" ht="12.75">
      <c r="A724" s="3"/>
      <c r="B724" s="5"/>
      <c r="C724" s="7"/>
      <c r="D724" s="6"/>
      <c r="E724" s="6"/>
      <c r="F724" s="7"/>
      <c r="G724" s="6"/>
      <c r="H724" s="6"/>
      <c r="I724" s="6"/>
      <c r="J724" s="6"/>
      <c r="K724" s="5"/>
      <c r="L724" s="7"/>
      <c r="M724" s="6"/>
      <c r="N724" s="6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x14ac:dyDescent="0.25" r="725" customHeight="1" ht="12.75">
      <c r="A725" s="3"/>
      <c r="B725" s="5"/>
      <c r="C725" s="7"/>
      <c r="D725" s="6"/>
      <c r="E725" s="6"/>
      <c r="F725" s="7"/>
      <c r="G725" s="6"/>
      <c r="H725" s="6"/>
      <c r="I725" s="6"/>
      <c r="J725" s="6"/>
      <c r="K725" s="5"/>
      <c r="L725" s="7"/>
      <c r="M725" s="6"/>
      <c r="N725" s="6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x14ac:dyDescent="0.25" r="726" customHeight="1" ht="12.75">
      <c r="A726" s="3"/>
      <c r="B726" s="5"/>
      <c r="C726" s="7"/>
      <c r="D726" s="6"/>
      <c r="E726" s="6"/>
      <c r="F726" s="7"/>
      <c r="G726" s="6"/>
      <c r="H726" s="6"/>
      <c r="I726" s="6"/>
      <c r="J726" s="6"/>
      <c r="K726" s="5"/>
      <c r="L726" s="7"/>
      <c r="M726" s="6"/>
      <c r="N726" s="6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x14ac:dyDescent="0.25" r="727" customHeight="1" ht="12.75">
      <c r="A727" s="3"/>
      <c r="B727" s="5"/>
      <c r="C727" s="7"/>
      <c r="D727" s="6"/>
      <c r="E727" s="6"/>
      <c r="F727" s="7"/>
      <c r="G727" s="6"/>
      <c r="H727" s="6"/>
      <c r="I727" s="6"/>
      <c r="J727" s="6"/>
      <c r="K727" s="5"/>
      <c r="L727" s="7"/>
      <c r="M727" s="6"/>
      <c r="N727" s="6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x14ac:dyDescent="0.25" r="728" customHeight="1" ht="12.75">
      <c r="A728" s="3"/>
      <c r="B728" s="5"/>
      <c r="C728" s="7"/>
      <c r="D728" s="6"/>
      <c r="E728" s="6"/>
      <c r="F728" s="7"/>
      <c r="G728" s="6"/>
      <c r="H728" s="6"/>
      <c r="I728" s="6"/>
      <c r="J728" s="6"/>
      <c r="K728" s="5"/>
      <c r="L728" s="7"/>
      <c r="M728" s="6"/>
      <c r="N728" s="6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x14ac:dyDescent="0.25" r="729" customHeight="1" ht="12.75">
      <c r="A729" s="3"/>
      <c r="B729" s="5"/>
      <c r="C729" s="7"/>
      <c r="D729" s="6"/>
      <c r="E729" s="6"/>
      <c r="F729" s="7"/>
      <c r="G729" s="6"/>
      <c r="H729" s="6"/>
      <c r="I729" s="6"/>
      <c r="J729" s="6"/>
      <c r="K729" s="5"/>
      <c r="L729" s="7"/>
      <c r="M729" s="6"/>
      <c r="N729" s="6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x14ac:dyDescent="0.25" r="730" customHeight="1" ht="12.75">
      <c r="A730" s="3"/>
      <c r="B730" s="5"/>
      <c r="C730" s="7"/>
      <c r="D730" s="6"/>
      <c r="E730" s="6"/>
      <c r="F730" s="7"/>
      <c r="G730" s="6"/>
      <c r="H730" s="6"/>
      <c r="I730" s="6"/>
      <c r="J730" s="6"/>
      <c r="K730" s="5"/>
      <c r="L730" s="7"/>
      <c r="M730" s="6"/>
      <c r="N730" s="6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x14ac:dyDescent="0.25" r="731" customHeight="1" ht="12.75">
      <c r="A731" s="3"/>
      <c r="B731" s="5"/>
      <c r="C731" s="7"/>
      <c r="D731" s="6"/>
      <c r="E731" s="6"/>
      <c r="F731" s="7"/>
      <c r="G731" s="6"/>
      <c r="H731" s="6"/>
      <c r="I731" s="6"/>
      <c r="J731" s="6"/>
      <c r="K731" s="5"/>
      <c r="L731" s="7"/>
      <c r="M731" s="6"/>
      <c r="N731" s="6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x14ac:dyDescent="0.25" r="732" customHeight="1" ht="12.75">
      <c r="A732" s="3"/>
      <c r="B732" s="5"/>
      <c r="C732" s="7"/>
      <c r="D732" s="6"/>
      <c r="E732" s="6"/>
      <c r="F732" s="7"/>
      <c r="G732" s="6"/>
      <c r="H732" s="6"/>
      <c r="I732" s="6"/>
      <c r="J732" s="6"/>
      <c r="K732" s="5"/>
      <c r="L732" s="7"/>
      <c r="M732" s="6"/>
      <c r="N732" s="6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x14ac:dyDescent="0.25" r="733" customHeight="1" ht="12.75">
      <c r="A733" s="3"/>
      <c r="B733" s="5"/>
      <c r="C733" s="7"/>
      <c r="D733" s="6"/>
      <c r="E733" s="6"/>
      <c r="F733" s="7"/>
      <c r="G733" s="6"/>
      <c r="H733" s="6"/>
      <c r="I733" s="6"/>
      <c r="J733" s="6"/>
      <c r="K733" s="5"/>
      <c r="L733" s="7"/>
      <c r="M733" s="6"/>
      <c r="N733" s="6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x14ac:dyDescent="0.25" r="734" customHeight="1" ht="12.75">
      <c r="A734" s="3"/>
      <c r="B734" s="5"/>
      <c r="C734" s="7"/>
      <c r="D734" s="6"/>
      <c r="E734" s="6"/>
      <c r="F734" s="7"/>
      <c r="G734" s="6"/>
      <c r="H734" s="6"/>
      <c r="I734" s="6"/>
      <c r="J734" s="6"/>
      <c r="K734" s="5"/>
      <c r="L734" s="7"/>
      <c r="M734" s="6"/>
      <c r="N734" s="6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x14ac:dyDescent="0.25" r="735" customHeight="1" ht="12.75">
      <c r="A735" s="3"/>
      <c r="B735" s="5"/>
      <c r="C735" s="7"/>
      <c r="D735" s="6"/>
      <c r="E735" s="6"/>
      <c r="F735" s="7"/>
      <c r="G735" s="6"/>
      <c r="H735" s="6"/>
      <c r="I735" s="6"/>
      <c r="J735" s="6"/>
      <c r="K735" s="5"/>
      <c r="L735" s="7"/>
      <c r="M735" s="6"/>
      <c r="N735" s="6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x14ac:dyDescent="0.25" r="736" customHeight="1" ht="12.75">
      <c r="A736" s="3"/>
      <c r="B736" s="5"/>
      <c r="C736" s="7"/>
      <c r="D736" s="6"/>
      <c r="E736" s="6"/>
      <c r="F736" s="7"/>
      <c r="G736" s="6"/>
      <c r="H736" s="6"/>
      <c r="I736" s="6"/>
      <c r="J736" s="6"/>
      <c r="K736" s="5"/>
      <c r="L736" s="7"/>
      <c r="M736" s="6"/>
      <c r="N736" s="6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x14ac:dyDescent="0.25" r="737" customHeight="1" ht="12.75">
      <c r="A737" s="3"/>
      <c r="B737" s="5"/>
      <c r="C737" s="7"/>
      <c r="D737" s="6"/>
      <c r="E737" s="6"/>
      <c r="F737" s="7"/>
      <c r="G737" s="6"/>
      <c r="H737" s="6"/>
      <c r="I737" s="6"/>
      <c r="J737" s="6"/>
      <c r="K737" s="5"/>
      <c r="L737" s="7"/>
      <c r="M737" s="6"/>
      <c r="N737" s="6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x14ac:dyDescent="0.25" r="738" customHeight="1" ht="12.75">
      <c r="A738" s="3"/>
      <c r="B738" s="5"/>
      <c r="C738" s="7"/>
      <c r="D738" s="6"/>
      <c r="E738" s="6"/>
      <c r="F738" s="7"/>
      <c r="G738" s="6"/>
      <c r="H738" s="6"/>
      <c r="I738" s="6"/>
      <c r="J738" s="6"/>
      <c r="K738" s="5"/>
      <c r="L738" s="7"/>
      <c r="M738" s="6"/>
      <c r="N738" s="6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x14ac:dyDescent="0.25" r="739" customHeight="1" ht="12.75">
      <c r="A739" s="3"/>
      <c r="B739" s="5"/>
      <c r="C739" s="7"/>
      <c r="D739" s="6"/>
      <c r="E739" s="6"/>
      <c r="F739" s="7"/>
      <c r="G739" s="6"/>
      <c r="H739" s="6"/>
      <c r="I739" s="6"/>
      <c r="J739" s="6"/>
      <c r="K739" s="5"/>
      <c r="L739" s="7"/>
      <c r="M739" s="6"/>
      <c r="N739" s="6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x14ac:dyDescent="0.25" r="740" customHeight="1" ht="12.75">
      <c r="A740" s="3"/>
      <c r="B740" s="5"/>
      <c r="C740" s="7"/>
      <c r="D740" s="6"/>
      <c r="E740" s="6"/>
      <c r="F740" s="7"/>
      <c r="G740" s="6"/>
      <c r="H740" s="6"/>
      <c r="I740" s="6"/>
      <c r="J740" s="6"/>
      <c r="K740" s="5"/>
      <c r="L740" s="7"/>
      <c r="M740" s="6"/>
      <c r="N740" s="6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x14ac:dyDescent="0.25" r="741" customHeight="1" ht="12.75">
      <c r="A741" s="3"/>
      <c r="B741" s="5"/>
      <c r="C741" s="7"/>
      <c r="D741" s="6"/>
      <c r="E741" s="6"/>
      <c r="F741" s="7"/>
      <c r="G741" s="6"/>
      <c r="H741" s="6"/>
      <c r="I741" s="6"/>
      <c r="J741" s="6"/>
      <c r="K741" s="5"/>
      <c r="L741" s="7"/>
      <c r="M741" s="6"/>
      <c r="N741" s="6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x14ac:dyDescent="0.25" r="742" customHeight="1" ht="12.75">
      <c r="A742" s="3"/>
      <c r="B742" s="5"/>
      <c r="C742" s="7"/>
      <c r="D742" s="6"/>
      <c r="E742" s="6"/>
      <c r="F742" s="7"/>
      <c r="G742" s="6"/>
      <c r="H742" s="6"/>
      <c r="I742" s="6"/>
      <c r="J742" s="6"/>
      <c r="K742" s="5"/>
      <c r="L742" s="7"/>
      <c r="M742" s="6"/>
      <c r="N742" s="6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x14ac:dyDescent="0.25" r="743" customHeight="1" ht="12.75">
      <c r="A743" s="3"/>
      <c r="B743" s="5"/>
      <c r="C743" s="7"/>
      <c r="D743" s="6"/>
      <c r="E743" s="6"/>
      <c r="F743" s="7"/>
      <c r="G743" s="6"/>
      <c r="H743" s="6"/>
      <c r="I743" s="6"/>
      <c r="J743" s="6"/>
      <c r="K743" s="5"/>
      <c r="L743" s="7"/>
      <c r="M743" s="6"/>
      <c r="N743" s="6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x14ac:dyDescent="0.25" r="744" customHeight="1" ht="12.75">
      <c r="A744" s="3"/>
      <c r="B744" s="5"/>
      <c r="C744" s="7"/>
      <c r="D744" s="6"/>
      <c r="E744" s="6"/>
      <c r="F744" s="7"/>
      <c r="G744" s="6"/>
      <c r="H744" s="6"/>
      <c r="I744" s="6"/>
      <c r="J744" s="6"/>
      <c r="K744" s="5"/>
      <c r="L744" s="7"/>
      <c r="M744" s="6"/>
      <c r="N744" s="6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x14ac:dyDescent="0.25" r="745" customHeight="1" ht="12.75">
      <c r="A745" s="3"/>
      <c r="B745" s="5"/>
      <c r="C745" s="7"/>
      <c r="D745" s="6"/>
      <c r="E745" s="6"/>
      <c r="F745" s="7"/>
      <c r="G745" s="6"/>
      <c r="H745" s="6"/>
      <c r="I745" s="6"/>
      <c r="J745" s="6"/>
      <c r="K745" s="5"/>
      <c r="L745" s="7"/>
      <c r="M745" s="6"/>
      <c r="N745" s="6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x14ac:dyDescent="0.25" r="746" customHeight="1" ht="12.75">
      <c r="A746" s="3"/>
      <c r="B746" s="5"/>
      <c r="C746" s="7"/>
      <c r="D746" s="6"/>
      <c r="E746" s="6"/>
      <c r="F746" s="7"/>
      <c r="G746" s="6"/>
      <c r="H746" s="6"/>
      <c r="I746" s="6"/>
      <c r="J746" s="6"/>
      <c r="K746" s="5"/>
      <c r="L746" s="7"/>
      <c r="M746" s="6"/>
      <c r="N746" s="6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x14ac:dyDescent="0.25" r="747" customHeight="1" ht="12.75">
      <c r="A747" s="3"/>
      <c r="B747" s="5"/>
      <c r="C747" s="7"/>
      <c r="D747" s="6"/>
      <c r="E747" s="6"/>
      <c r="F747" s="7"/>
      <c r="G747" s="6"/>
      <c r="H747" s="6"/>
      <c r="I747" s="6"/>
      <c r="J747" s="6"/>
      <c r="K747" s="5"/>
      <c r="L747" s="7"/>
      <c r="M747" s="6"/>
      <c r="N747" s="6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x14ac:dyDescent="0.25" r="748" customHeight="1" ht="12.75">
      <c r="A748" s="3"/>
      <c r="B748" s="5"/>
      <c r="C748" s="7"/>
      <c r="D748" s="6"/>
      <c r="E748" s="6"/>
      <c r="F748" s="7"/>
      <c r="G748" s="6"/>
      <c r="H748" s="6"/>
      <c r="I748" s="6"/>
      <c r="J748" s="6"/>
      <c r="K748" s="5"/>
      <c r="L748" s="7"/>
      <c r="M748" s="6"/>
      <c r="N748" s="6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x14ac:dyDescent="0.25" r="749" customHeight="1" ht="12.75">
      <c r="A749" s="3"/>
      <c r="B749" s="5"/>
      <c r="C749" s="7"/>
      <c r="D749" s="6"/>
      <c r="E749" s="6"/>
      <c r="F749" s="7"/>
      <c r="G749" s="6"/>
      <c r="H749" s="6"/>
      <c r="I749" s="6"/>
      <c r="J749" s="6"/>
      <c r="K749" s="5"/>
      <c r="L749" s="7"/>
      <c r="M749" s="6"/>
      <c r="N749" s="6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x14ac:dyDescent="0.25" r="750" customHeight="1" ht="12.75">
      <c r="A750" s="3"/>
      <c r="B750" s="5"/>
      <c r="C750" s="7"/>
      <c r="D750" s="6"/>
      <c r="E750" s="6"/>
      <c r="F750" s="7"/>
      <c r="G750" s="6"/>
      <c r="H750" s="6"/>
      <c r="I750" s="6"/>
      <c r="J750" s="6"/>
      <c r="K750" s="5"/>
      <c r="L750" s="7"/>
      <c r="M750" s="6"/>
      <c r="N750" s="6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x14ac:dyDescent="0.25" r="751" customHeight="1" ht="12.75">
      <c r="A751" s="3"/>
      <c r="B751" s="5"/>
      <c r="C751" s="7"/>
      <c r="D751" s="6"/>
      <c r="E751" s="6"/>
      <c r="F751" s="7"/>
      <c r="G751" s="6"/>
      <c r="H751" s="6"/>
      <c r="I751" s="6"/>
      <c r="J751" s="6"/>
      <c r="K751" s="5"/>
      <c r="L751" s="7"/>
      <c r="M751" s="6"/>
      <c r="N751" s="6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x14ac:dyDescent="0.25" r="752" customHeight="1" ht="12.75">
      <c r="A752" s="3"/>
      <c r="B752" s="5"/>
      <c r="C752" s="7"/>
      <c r="D752" s="6"/>
      <c r="E752" s="6"/>
      <c r="F752" s="7"/>
      <c r="G752" s="6"/>
      <c r="H752" s="6"/>
      <c r="I752" s="6"/>
      <c r="J752" s="6"/>
      <c r="K752" s="5"/>
      <c r="L752" s="7"/>
      <c r="M752" s="6"/>
      <c r="N752" s="6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x14ac:dyDescent="0.25" r="753" customHeight="1" ht="12.75">
      <c r="A753" s="3"/>
      <c r="B753" s="5"/>
      <c r="C753" s="7"/>
      <c r="D753" s="6"/>
      <c r="E753" s="6"/>
      <c r="F753" s="7"/>
      <c r="G753" s="6"/>
      <c r="H753" s="6"/>
      <c r="I753" s="6"/>
      <c r="J753" s="6"/>
      <c r="K753" s="5"/>
      <c r="L753" s="7"/>
      <c r="M753" s="6"/>
      <c r="N753" s="6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x14ac:dyDescent="0.25" r="754" customHeight="1" ht="12.75">
      <c r="A754" s="3"/>
      <c r="B754" s="5"/>
      <c r="C754" s="7"/>
      <c r="D754" s="6"/>
      <c r="E754" s="6"/>
      <c r="F754" s="7"/>
      <c r="G754" s="6"/>
      <c r="H754" s="6"/>
      <c r="I754" s="6"/>
      <c r="J754" s="6"/>
      <c r="K754" s="5"/>
      <c r="L754" s="7"/>
      <c r="M754" s="6"/>
      <c r="N754" s="6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x14ac:dyDescent="0.25" r="755" customHeight="1" ht="12.75">
      <c r="A755" s="3"/>
      <c r="B755" s="5"/>
      <c r="C755" s="7"/>
      <c r="D755" s="6"/>
      <c r="E755" s="6"/>
      <c r="F755" s="7"/>
      <c r="G755" s="6"/>
      <c r="H755" s="6"/>
      <c r="I755" s="6"/>
      <c r="J755" s="6"/>
      <c r="K755" s="5"/>
      <c r="L755" s="7"/>
      <c r="M755" s="6"/>
      <c r="N755" s="6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x14ac:dyDescent="0.25" r="756" customHeight="1" ht="12.75">
      <c r="A756" s="3"/>
      <c r="B756" s="5"/>
      <c r="C756" s="7"/>
      <c r="D756" s="6"/>
      <c r="E756" s="6"/>
      <c r="F756" s="7"/>
      <c r="G756" s="6"/>
      <c r="H756" s="6"/>
      <c r="I756" s="6"/>
      <c r="J756" s="6"/>
      <c r="K756" s="5"/>
      <c r="L756" s="7"/>
      <c r="M756" s="6"/>
      <c r="N756" s="6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x14ac:dyDescent="0.25" r="757" customHeight="1" ht="12.75">
      <c r="A757" s="3"/>
      <c r="B757" s="5"/>
      <c r="C757" s="7"/>
      <c r="D757" s="6"/>
      <c r="E757" s="6"/>
      <c r="F757" s="7"/>
      <c r="G757" s="6"/>
      <c r="H757" s="6"/>
      <c r="I757" s="6"/>
      <c r="J757" s="6"/>
      <c r="K757" s="5"/>
      <c r="L757" s="7"/>
      <c r="M757" s="6"/>
      <c r="N757" s="6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x14ac:dyDescent="0.25" r="758" customHeight="1" ht="12.75">
      <c r="A758" s="3"/>
      <c r="B758" s="5"/>
      <c r="C758" s="7"/>
      <c r="D758" s="6"/>
      <c r="E758" s="6"/>
      <c r="F758" s="7"/>
      <c r="G758" s="6"/>
      <c r="H758" s="6"/>
      <c r="I758" s="6"/>
      <c r="J758" s="6"/>
      <c r="K758" s="5"/>
      <c r="L758" s="7"/>
      <c r="M758" s="6"/>
      <c r="N758" s="6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x14ac:dyDescent="0.25" r="759" customHeight="1" ht="12.75">
      <c r="A759" s="3"/>
      <c r="B759" s="5"/>
      <c r="C759" s="7"/>
      <c r="D759" s="6"/>
      <c r="E759" s="6"/>
      <c r="F759" s="7"/>
      <c r="G759" s="6"/>
      <c r="H759" s="6"/>
      <c r="I759" s="6"/>
      <c r="J759" s="6"/>
      <c r="K759" s="5"/>
      <c r="L759" s="7"/>
      <c r="M759" s="6"/>
      <c r="N759" s="6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x14ac:dyDescent="0.25" r="760" customHeight="1" ht="12.75">
      <c r="A760" s="3"/>
      <c r="B760" s="5"/>
      <c r="C760" s="7"/>
      <c r="D760" s="6"/>
      <c r="E760" s="6"/>
      <c r="F760" s="7"/>
      <c r="G760" s="6"/>
      <c r="H760" s="6"/>
      <c r="I760" s="6"/>
      <c r="J760" s="6"/>
      <c r="K760" s="5"/>
      <c r="L760" s="7"/>
      <c r="M760" s="6"/>
      <c r="N760" s="6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x14ac:dyDescent="0.25" r="761" customHeight="1" ht="12.75">
      <c r="A761" s="3"/>
      <c r="B761" s="5"/>
      <c r="C761" s="7"/>
      <c r="D761" s="6"/>
      <c r="E761" s="6"/>
      <c r="F761" s="7"/>
      <c r="G761" s="6"/>
      <c r="H761" s="6"/>
      <c r="I761" s="6"/>
      <c r="J761" s="6"/>
      <c r="K761" s="5"/>
      <c r="L761" s="7"/>
      <c r="M761" s="6"/>
      <c r="N761" s="6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x14ac:dyDescent="0.25" r="762" customHeight="1" ht="12.75">
      <c r="A762" s="3"/>
      <c r="B762" s="5"/>
      <c r="C762" s="7"/>
      <c r="D762" s="6"/>
      <c r="E762" s="6"/>
      <c r="F762" s="7"/>
      <c r="G762" s="6"/>
      <c r="H762" s="6"/>
      <c r="I762" s="6"/>
      <c r="J762" s="6"/>
      <c r="K762" s="5"/>
      <c r="L762" s="7"/>
      <c r="M762" s="6"/>
      <c r="N762" s="6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x14ac:dyDescent="0.25" r="763" customHeight="1" ht="12.75">
      <c r="A763" s="3"/>
      <c r="B763" s="5"/>
      <c r="C763" s="7"/>
      <c r="D763" s="6"/>
      <c r="E763" s="6"/>
      <c r="F763" s="7"/>
      <c r="G763" s="6"/>
      <c r="H763" s="6"/>
      <c r="I763" s="6"/>
      <c r="J763" s="6"/>
      <c r="K763" s="5"/>
      <c r="L763" s="7"/>
      <c r="M763" s="6"/>
      <c r="N763" s="6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x14ac:dyDescent="0.25" r="764" customHeight="1" ht="12.75">
      <c r="A764" s="3"/>
      <c r="B764" s="5"/>
      <c r="C764" s="7"/>
      <c r="D764" s="6"/>
      <c r="E764" s="6"/>
      <c r="F764" s="7"/>
      <c r="G764" s="6"/>
      <c r="H764" s="6"/>
      <c r="I764" s="6"/>
      <c r="J764" s="6"/>
      <c r="K764" s="5"/>
      <c r="L764" s="7"/>
      <c r="M764" s="6"/>
      <c r="N764" s="6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x14ac:dyDescent="0.25" r="765" customHeight="1" ht="12.75">
      <c r="A765" s="3"/>
      <c r="B765" s="5"/>
      <c r="C765" s="7"/>
      <c r="D765" s="6"/>
      <c r="E765" s="6"/>
      <c r="F765" s="7"/>
      <c r="G765" s="6"/>
      <c r="H765" s="6"/>
      <c r="I765" s="6"/>
      <c r="J765" s="6"/>
      <c r="K765" s="5"/>
      <c r="L765" s="7"/>
      <c r="M765" s="6"/>
      <c r="N765" s="6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x14ac:dyDescent="0.25" r="766" customHeight="1" ht="12.75">
      <c r="A766" s="3"/>
      <c r="B766" s="5"/>
      <c r="C766" s="7"/>
      <c r="D766" s="6"/>
      <c r="E766" s="6"/>
      <c r="F766" s="7"/>
      <c r="G766" s="6"/>
      <c r="H766" s="6"/>
      <c r="I766" s="6"/>
      <c r="J766" s="6"/>
      <c r="K766" s="5"/>
      <c r="L766" s="7"/>
      <c r="M766" s="6"/>
      <c r="N766" s="6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x14ac:dyDescent="0.25" r="767" customHeight="1" ht="12.75">
      <c r="A767" s="3"/>
      <c r="B767" s="5"/>
      <c r="C767" s="7"/>
      <c r="D767" s="6"/>
      <c r="E767" s="6"/>
      <c r="F767" s="7"/>
      <c r="G767" s="6"/>
      <c r="H767" s="6"/>
      <c r="I767" s="6"/>
      <c r="J767" s="6"/>
      <c r="K767" s="5"/>
      <c r="L767" s="7"/>
      <c r="M767" s="6"/>
      <c r="N767" s="6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x14ac:dyDescent="0.25" r="768" customHeight="1" ht="12.75">
      <c r="A768" s="3"/>
      <c r="B768" s="5"/>
      <c r="C768" s="7"/>
      <c r="D768" s="6"/>
      <c r="E768" s="6"/>
      <c r="F768" s="7"/>
      <c r="G768" s="6"/>
      <c r="H768" s="6"/>
      <c r="I768" s="6"/>
      <c r="J768" s="6"/>
      <c r="K768" s="5"/>
      <c r="L768" s="7"/>
      <c r="M768" s="6"/>
      <c r="N768" s="6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x14ac:dyDescent="0.25" r="769" customHeight="1" ht="12.75">
      <c r="A769" s="3"/>
      <c r="B769" s="5"/>
      <c r="C769" s="7"/>
      <c r="D769" s="6"/>
      <c r="E769" s="6"/>
      <c r="F769" s="7"/>
      <c r="G769" s="6"/>
      <c r="H769" s="6"/>
      <c r="I769" s="6"/>
      <c r="J769" s="6"/>
      <c r="K769" s="5"/>
      <c r="L769" s="7"/>
      <c r="M769" s="6"/>
      <c r="N769" s="6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x14ac:dyDescent="0.25" r="770" customHeight="1" ht="12.75">
      <c r="A770" s="3"/>
      <c r="B770" s="5"/>
      <c r="C770" s="7"/>
      <c r="D770" s="6"/>
      <c r="E770" s="6"/>
      <c r="F770" s="7"/>
      <c r="G770" s="6"/>
      <c r="H770" s="6"/>
      <c r="I770" s="6"/>
      <c r="J770" s="6"/>
      <c r="K770" s="5"/>
      <c r="L770" s="7"/>
      <c r="M770" s="6"/>
      <c r="N770" s="6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x14ac:dyDescent="0.25" r="771" customHeight="1" ht="12.75">
      <c r="A771" s="3"/>
      <c r="B771" s="5"/>
      <c r="C771" s="7"/>
      <c r="D771" s="6"/>
      <c r="E771" s="6"/>
      <c r="F771" s="7"/>
      <c r="G771" s="6"/>
      <c r="H771" s="6"/>
      <c r="I771" s="6"/>
      <c r="J771" s="6"/>
      <c r="K771" s="5"/>
      <c r="L771" s="7"/>
      <c r="M771" s="6"/>
      <c r="N771" s="6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x14ac:dyDescent="0.25" r="772" customHeight="1" ht="12.75">
      <c r="A772" s="3"/>
      <c r="B772" s="5"/>
      <c r="C772" s="7"/>
      <c r="D772" s="6"/>
      <c r="E772" s="6"/>
      <c r="F772" s="7"/>
      <c r="G772" s="6"/>
      <c r="H772" s="6"/>
      <c r="I772" s="6"/>
      <c r="J772" s="6"/>
      <c r="K772" s="5"/>
      <c r="L772" s="7"/>
      <c r="M772" s="6"/>
      <c r="N772" s="6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x14ac:dyDescent="0.25" r="773" customHeight="1" ht="12.75">
      <c r="A773" s="3"/>
      <c r="B773" s="5"/>
      <c r="C773" s="7"/>
      <c r="D773" s="6"/>
      <c r="E773" s="6"/>
      <c r="F773" s="7"/>
      <c r="G773" s="6"/>
      <c r="H773" s="6"/>
      <c r="I773" s="6"/>
      <c r="J773" s="6"/>
      <c r="K773" s="5"/>
      <c r="L773" s="7"/>
      <c r="M773" s="6"/>
      <c r="N773" s="6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x14ac:dyDescent="0.25" r="774" customHeight="1" ht="12.75">
      <c r="A774" s="3"/>
      <c r="B774" s="5"/>
      <c r="C774" s="7"/>
      <c r="D774" s="6"/>
      <c r="E774" s="6"/>
      <c r="F774" s="7"/>
      <c r="G774" s="6"/>
      <c r="H774" s="6"/>
      <c r="I774" s="6"/>
      <c r="J774" s="6"/>
      <c r="K774" s="5"/>
      <c r="L774" s="7"/>
      <c r="M774" s="6"/>
      <c r="N774" s="6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x14ac:dyDescent="0.25" r="775" customHeight="1" ht="12.75">
      <c r="A775" s="3"/>
      <c r="B775" s="5"/>
      <c r="C775" s="7"/>
      <c r="D775" s="6"/>
      <c r="E775" s="6"/>
      <c r="F775" s="7"/>
      <c r="G775" s="6"/>
      <c r="H775" s="6"/>
      <c r="I775" s="6"/>
      <c r="J775" s="6"/>
      <c r="K775" s="5"/>
      <c r="L775" s="7"/>
      <c r="M775" s="6"/>
      <c r="N775" s="6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x14ac:dyDescent="0.25" r="776" customHeight="1" ht="12.75">
      <c r="A776" s="3"/>
      <c r="B776" s="5"/>
      <c r="C776" s="7"/>
      <c r="D776" s="6"/>
      <c r="E776" s="6"/>
      <c r="F776" s="7"/>
      <c r="G776" s="6"/>
      <c r="H776" s="6"/>
      <c r="I776" s="6"/>
      <c r="J776" s="6"/>
      <c r="K776" s="5"/>
      <c r="L776" s="7"/>
      <c r="M776" s="6"/>
      <c r="N776" s="6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x14ac:dyDescent="0.25" r="777" customHeight="1" ht="12.75">
      <c r="A777" s="3"/>
      <c r="B777" s="5"/>
      <c r="C777" s="7"/>
      <c r="D777" s="6"/>
      <c r="E777" s="6"/>
      <c r="F777" s="7"/>
      <c r="G777" s="6"/>
      <c r="H777" s="6"/>
      <c r="I777" s="6"/>
      <c r="J777" s="6"/>
      <c r="K777" s="5"/>
      <c r="L777" s="7"/>
      <c r="M777" s="6"/>
      <c r="N777" s="6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x14ac:dyDescent="0.25" r="778" customHeight="1" ht="12.75">
      <c r="A778" s="3"/>
      <c r="B778" s="5"/>
      <c r="C778" s="7"/>
      <c r="D778" s="6"/>
      <c r="E778" s="6"/>
      <c r="F778" s="7"/>
      <c r="G778" s="6"/>
      <c r="H778" s="6"/>
      <c r="I778" s="6"/>
      <c r="J778" s="6"/>
      <c r="K778" s="5"/>
      <c r="L778" s="7"/>
      <c r="M778" s="6"/>
      <c r="N778" s="6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x14ac:dyDescent="0.25" r="779" customHeight="1" ht="12.75">
      <c r="A779" s="3"/>
      <c r="B779" s="5"/>
      <c r="C779" s="7"/>
      <c r="D779" s="6"/>
      <c r="E779" s="6"/>
      <c r="F779" s="7"/>
      <c r="G779" s="6"/>
      <c r="H779" s="6"/>
      <c r="I779" s="6"/>
      <c r="J779" s="6"/>
      <c r="K779" s="5"/>
      <c r="L779" s="7"/>
      <c r="M779" s="6"/>
      <c r="N779" s="6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x14ac:dyDescent="0.25" r="780" customHeight="1" ht="12.75">
      <c r="A780" s="3"/>
      <c r="B780" s="5"/>
      <c r="C780" s="7"/>
      <c r="D780" s="6"/>
      <c r="E780" s="6"/>
      <c r="F780" s="7"/>
      <c r="G780" s="6"/>
      <c r="H780" s="6"/>
      <c r="I780" s="6"/>
      <c r="J780" s="6"/>
      <c r="K780" s="5"/>
      <c r="L780" s="7"/>
      <c r="M780" s="6"/>
      <c r="N780" s="6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x14ac:dyDescent="0.25" r="781" customHeight="1" ht="12.75">
      <c r="A781" s="3"/>
      <c r="B781" s="5"/>
      <c r="C781" s="7"/>
      <c r="D781" s="6"/>
      <c r="E781" s="6"/>
      <c r="F781" s="7"/>
      <c r="G781" s="6"/>
      <c r="H781" s="6"/>
      <c r="I781" s="6"/>
      <c r="J781" s="6"/>
      <c r="K781" s="5"/>
      <c r="L781" s="7"/>
      <c r="M781" s="6"/>
      <c r="N781" s="6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x14ac:dyDescent="0.25" r="782" customHeight="1" ht="12.75">
      <c r="A782" s="3"/>
      <c r="B782" s="5"/>
      <c r="C782" s="7"/>
      <c r="D782" s="6"/>
      <c r="E782" s="6"/>
      <c r="F782" s="7"/>
      <c r="G782" s="6"/>
      <c r="H782" s="6"/>
      <c r="I782" s="6"/>
      <c r="J782" s="6"/>
      <c r="K782" s="5"/>
      <c r="L782" s="7"/>
      <c r="M782" s="6"/>
      <c r="N782" s="6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x14ac:dyDescent="0.25" r="783" customHeight="1" ht="12.75">
      <c r="A783" s="3"/>
      <c r="B783" s="5"/>
      <c r="C783" s="7"/>
      <c r="D783" s="6"/>
      <c r="E783" s="6"/>
      <c r="F783" s="7"/>
      <c r="G783" s="6"/>
      <c r="H783" s="6"/>
      <c r="I783" s="6"/>
      <c r="J783" s="6"/>
      <c r="K783" s="5"/>
      <c r="L783" s="7"/>
      <c r="M783" s="6"/>
      <c r="N783" s="6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x14ac:dyDescent="0.25" r="784" customHeight="1" ht="12.75">
      <c r="A784" s="3"/>
      <c r="B784" s="5"/>
      <c r="C784" s="7"/>
      <c r="D784" s="6"/>
      <c r="E784" s="6"/>
      <c r="F784" s="7"/>
      <c r="G784" s="6"/>
      <c r="H784" s="6"/>
      <c r="I784" s="6"/>
      <c r="J784" s="6"/>
      <c r="K784" s="5"/>
      <c r="L784" s="7"/>
      <c r="M784" s="6"/>
      <c r="N784" s="6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x14ac:dyDescent="0.25" r="785" customHeight="1" ht="12.75">
      <c r="A785" s="3"/>
      <c r="B785" s="5"/>
      <c r="C785" s="7"/>
      <c r="D785" s="6"/>
      <c r="E785" s="6"/>
      <c r="F785" s="7"/>
      <c r="G785" s="6"/>
      <c r="H785" s="6"/>
      <c r="I785" s="6"/>
      <c r="J785" s="6"/>
      <c r="K785" s="5"/>
      <c r="L785" s="7"/>
      <c r="M785" s="6"/>
      <c r="N785" s="6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x14ac:dyDescent="0.25" r="786" customHeight="1" ht="12.75">
      <c r="A786" s="3"/>
      <c r="B786" s="5"/>
      <c r="C786" s="7"/>
      <c r="D786" s="6"/>
      <c r="E786" s="6"/>
      <c r="F786" s="7"/>
      <c r="G786" s="6"/>
      <c r="H786" s="6"/>
      <c r="I786" s="6"/>
      <c r="J786" s="6"/>
      <c r="K786" s="5"/>
      <c r="L786" s="7"/>
      <c r="M786" s="6"/>
      <c r="N786" s="6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x14ac:dyDescent="0.25" r="787" customHeight="1" ht="12.75">
      <c r="A787" s="3"/>
      <c r="B787" s="5"/>
      <c r="C787" s="7"/>
      <c r="D787" s="6"/>
      <c r="E787" s="6"/>
      <c r="F787" s="7"/>
      <c r="G787" s="6"/>
      <c r="H787" s="6"/>
      <c r="I787" s="6"/>
      <c r="J787" s="6"/>
      <c r="K787" s="5"/>
      <c r="L787" s="7"/>
      <c r="M787" s="6"/>
      <c r="N787" s="6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x14ac:dyDescent="0.25" r="788" customHeight="1" ht="12.75">
      <c r="A788" s="3"/>
      <c r="B788" s="5"/>
      <c r="C788" s="7"/>
      <c r="D788" s="6"/>
      <c r="E788" s="6"/>
      <c r="F788" s="7"/>
      <c r="G788" s="6"/>
      <c r="H788" s="6"/>
      <c r="I788" s="6"/>
      <c r="J788" s="6"/>
      <c r="K788" s="5"/>
      <c r="L788" s="7"/>
      <c r="M788" s="6"/>
      <c r="N788" s="6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x14ac:dyDescent="0.25" r="789" customHeight="1" ht="12.75">
      <c r="A789" s="3"/>
      <c r="B789" s="5"/>
      <c r="C789" s="7"/>
      <c r="D789" s="6"/>
      <c r="E789" s="6"/>
      <c r="F789" s="7"/>
      <c r="G789" s="6"/>
      <c r="H789" s="6"/>
      <c r="I789" s="6"/>
      <c r="J789" s="6"/>
      <c r="K789" s="5"/>
      <c r="L789" s="7"/>
      <c r="M789" s="6"/>
      <c r="N789" s="6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x14ac:dyDescent="0.25" r="790" customHeight="1" ht="12.75">
      <c r="A790" s="3"/>
      <c r="B790" s="5"/>
      <c r="C790" s="7"/>
      <c r="D790" s="6"/>
      <c r="E790" s="6"/>
      <c r="F790" s="7"/>
      <c r="G790" s="6"/>
      <c r="H790" s="6"/>
      <c r="I790" s="6"/>
      <c r="J790" s="6"/>
      <c r="K790" s="5"/>
      <c r="L790" s="7"/>
      <c r="M790" s="6"/>
      <c r="N790" s="6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x14ac:dyDescent="0.25" r="791" customHeight="1" ht="12.75">
      <c r="A791" s="3"/>
      <c r="B791" s="5"/>
      <c r="C791" s="7"/>
      <c r="D791" s="6"/>
      <c r="E791" s="6"/>
      <c r="F791" s="7"/>
      <c r="G791" s="6"/>
      <c r="H791" s="6"/>
      <c r="I791" s="6"/>
      <c r="J791" s="6"/>
      <c r="K791" s="5"/>
      <c r="L791" s="7"/>
      <c r="M791" s="6"/>
      <c r="N791" s="6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x14ac:dyDescent="0.25" r="792" customHeight="1" ht="12.75">
      <c r="A792" s="3"/>
      <c r="B792" s="5"/>
      <c r="C792" s="7"/>
      <c r="D792" s="6"/>
      <c r="E792" s="6"/>
      <c r="F792" s="7"/>
      <c r="G792" s="6"/>
      <c r="H792" s="6"/>
      <c r="I792" s="6"/>
      <c r="J792" s="6"/>
      <c r="K792" s="5"/>
      <c r="L792" s="7"/>
      <c r="M792" s="6"/>
      <c r="N792" s="6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x14ac:dyDescent="0.25" r="793" customHeight="1" ht="12.75">
      <c r="A793" s="3"/>
      <c r="B793" s="5"/>
      <c r="C793" s="7"/>
      <c r="D793" s="6"/>
      <c r="E793" s="6"/>
      <c r="F793" s="7"/>
      <c r="G793" s="6"/>
      <c r="H793" s="6"/>
      <c r="I793" s="6"/>
      <c r="J793" s="6"/>
      <c r="K793" s="5"/>
      <c r="L793" s="7"/>
      <c r="M793" s="6"/>
      <c r="N793" s="6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x14ac:dyDescent="0.25" r="794" customHeight="1" ht="12.75">
      <c r="A794" s="3"/>
      <c r="B794" s="5"/>
      <c r="C794" s="7"/>
      <c r="D794" s="6"/>
      <c r="E794" s="6"/>
      <c r="F794" s="7"/>
      <c r="G794" s="6"/>
      <c r="H794" s="6"/>
      <c r="I794" s="6"/>
      <c r="J794" s="6"/>
      <c r="K794" s="5"/>
      <c r="L794" s="7"/>
      <c r="M794" s="6"/>
      <c r="N794" s="6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x14ac:dyDescent="0.25" r="795" customHeight="1" ht="12.75">
      <c r="A795" s="3"/>
      <c r="B795" s="5"/>
      <c r="C795" s="7"/>
      <c r="D795" s="6"/>
      <c r="E795" s="6"/>
      <c r="F795" s="7"/>
      <c r="G795" s="6"/>
      <c r="H795" s="6"/>
      <c r="I795" s="6"/>
      <c r="J795" s="6"/>
      <c r="K795" s="5"/>
      <c r="L795" s="7"/>
      <c r="M795" s="6"/>
      <c r="N795" s="6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x14ac:dyDescent="0.25" r="796" customHeight="1" ht="12.75">
      <c r="A796" s="3"/>
      <c r="B796" s="5"/>
      <c r="C796" s="7"/>
      <c r="D796" s="6"/>
      <c r="E796" s="6"/>
      <c r="F796" s="7"/>
      <c r="G796" s="6"/>
      <c r="H796" s="6"/>
      <c r="I796" s="6"/>
      <c r="J796" s="6"/>
      <c r="K796" s="5"/>
      <c r="L796" s="7"/>
      <c r="M796" s="6"/>
      <c r="N796" s="6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x14ac:dyDescent="0.25" r="797" customHeight="1" ht="12.75">
      <c r="A797" s="3"/>
      <c r="B797" s="5"/>
      <c r="C797" s="7"/>
      <c r="D797" s="6"/>
      <c r="E797" s="6"/>
      <c r="F797" s="7"/>
      <c r="G797" s="6"/>
      <c r="H797" s="6"/>
      <c r="I797" s="6"/>
      <c r="J797" s="6"/>
      <c r="K797" s="5"/>
      <c r="L797" s="7"/>
      <c r="M797" s="6"/>
      <c r="N797" s="6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x14ac:dyDescent="0.25" r="798" customHeight="1" ht="12.75">
      <c r="A798" s="3"/>
      <c r="B798" s="5"/>
      <c r="C798" s="7"/>
      <c r="D798" s="6"/>
      <c r="E798" s="6"/>
      <c r="F798" s="7"/>
      <c r="G798" s="6"/>
      <c r="H798" s="6"/>
      <c r="I798" s="6"/>
      <c r="J798" s="6"/>
      <c r="K798" s="5"/>
      <c r="L798" s="7"/>
      <c r="M798" s="6"/>
      <c r="N798" s="6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x14ac:dyDescent="0.25" r="799" customHeight="1" ht="12.75">
      <c r="A799" s="3"/>
      <c r="B799" s="5"/>
      <c r="C799" s="7"/>
      <c r="D799" s="6"/>
      <c r="E799" s="6"/>
      <c r="F799" s="7"/>
      <c r="G799" s="6"/>
      <c r="H799" s="6"/>
      <c r="I799" s="6"/>
      <c r="J799" s="6"/>
      <c r="K799" s="5"/>
      <c r="L799" s="7"/>
      <c r="M799" s="6"/>
      <c r="N799" s="6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x14ac:dyDescent="0.25" r="800" customHeight="1" ht="12.75">
      <c r="A800" s="3"/>
      <c r="B800" s="5"/>
      <c r="C800" s="7"/>
      <c r="D800" s="6"/>
      <c r="E800" s="6"/>
      <c r="F800" s="7"/>
      <c r="G800" s="6"/>
      <c r="H800" s="6"/>
      <c r="I800" s="6"/>
      <c r="J800" s="6"/>
      <c r="K800" s="5"/>
      <c r="L800" s="7"/>
      <c r="M800" s="6"/>
      <c r="N800" s="6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x14ac:dyDescent="0.25" r="801" customHeight="1" ht="12.75">
      <c r="A801" s="3"/>
      <c r="B801" s="5"/>
      <c r="C801" s="7"/>
      <c r="D801" s="6"/>
      <c r="E801" s="6"/>
      <c r="F801" s="7"/>
      <c r="G801" s="6"/>
      <c r="H801" s="6"/>
      <c r="I801" s="6"/>
      <c r="J801" s="6"/>
      <c r="K801" s="5"/>
      <c r="L801" s="7"/>
      <c r="M801" s="6"/>
      <c r="N801" s="6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x14ac:dyDescent="0.25" r="802" customHeight="1" ht="12.75">
      <c r="A802" s="3"/>
      <c r="B802" s="5"/>
      <c r="C802" s="7"/>
      <c r="D802" s="6"/>
      <c r="E802" s="6"/>
      <c r="F802" s="7"/>
      <c r="G802" s="6"/>
      <c r="H802" s="6"/>
      <c r="I802" s="6"/>
      <c r="J802" s="6"/>
      <c r="K802" s="5"/>
      <c r="L802" s="7"/>
      <c r="M802" s="6"/>
      <c r="N802" s="6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x14ac:dyDescent="0.25" r="803" customHeight="1" ht="12.75">
      <c r="A803" s="3"/>
      <c r="B803" s="5"/>
      <c r="C803" s="7"/>
      <c r="D803" s="6"/>
      <c r="E803" s="6"/>
      <c r="F803" s="7"/>
      <c r="G803" s="6"/>
      <c r="H803" s="6"/>
      <c r="I803" s="6"/>
      <c r="J803" s="6"/>
      <c r="K803" s="5"/>
      <c r="L803" s="7"/>
      <c r="M803" s="6"/>
      <c r="N803" s="6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x14ac:dyDescent="0.25" r="804" customHeight="1" ht="12.75">
      <c r="A804" s="3"/>
      <c r="B804" s="5"/>
      <c r="C804" s="7"/>
      <c r="D804" s="6"/>
      <c r="E804" s="6"/>
      <c r="F804" s="7"/>
      <c r="G804" s="6"/>
      <c r="H804" s="6"/>
      <c r="I804" s="6"/>
      <c r="J804" s="6"/>
      <c r="K804" s="5"/>
      <c r="L804" s="7"/>
      <c r="M804" s="6"/>
      <c r="N804" s="6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x14ac:dyDescent="0.25" r="805" customHeight="1" ht="12.75">
      <c r="A805" s="3"/>
      <c r="B805" s="5"/>
      <c r="C805" s="7"/>
      <c r="D805" s="6"/>
      <c r="E805" s="6"/>
      <c r="F805" s="7"/>
      <c r="G805" s="6"/>
      <c r="H805" s="6"/>
      <c r="I805" s="6"/>
      <c r="J805" s="6"/>
      <c r="K805" s="5"/>
      <c r="L805" s="7"/>
      <c r="M805" s="6"/>
      <c r="N805" s="6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x14ac:dyDescent="0.25" r="806" customHeight="1" ht="12.75">
      <c r="A806" s="3"/>
      <c r="B806" s="5"/>
      <c r="C806" s="7"/>
      <c r="D806" s="6"/>
      <c r="E806" s="6"/>
      <c r="F806" s="7"/>
      <c r="G806" s="6"/>
      <c r="H806" s="6"/>
      <c r="I806" s="6"/>
      <c r="J806" s="6"/>
      <c r="K806" s="5"/>
      <c r="L806" s="7"/>
      <c r="M806" s="6"/>
      <c r="N806" s="6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x14ac:dyDescent="0.25" r="807" customHeight="1" ht="12.75">
      <c r="A807" s="3"/>
      <c r="B807" s="5"/>
      <c r="C807" s="7"/>
      <c r="D807" s="6"/>
      <c r="E807" s="6"/>
      <c r="F807" s="7"/>
      <c r="G807" s="6"/>
      <c r="H807" s="6"/>
      <c r="I807" s="6"/>
      <c r="J807" s="6"/>
      <c r="K807" s="5"/>
      <c r="L807" s="7"/>
      <c r="M807" s="6"/>
      <c r="N807" s="6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x14ac:dyDescent="0.25" r="808" customHeight="1" ht="12.75">
      <c r="A808" s="3"/>
      <c r="B808" s="5"/>
      <c r="C808" s="7"/>
      <c r="D808" s="6"/>
      <c r="E808" s="6"/>
      <c r="F808" s="7"/>
      <c r="G808" s="6"/>
      <c r="H808" s="6"/>
      <c r="I808" s="6"/>
      <c r="J808" s="6"/>
      <c r="K808" s="5"/>
      <c r="L808" s="7"/>
      <c r="M808" s="6"/>
      <c r="N808" s="6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x14ac:dyDescent="0.25" r="809" customHeight="1" ht="12.75">
      <c r="A809" s="3"/>
      <c r="B809" s="5"/>
      <c r="C809" s="7"/>
      <c r="D809" s="6"/>
      <c r="E809" s="6"/>
      <c r="F809" s="7"/>
      <c r="G809" s="6"/>
      <c r="H809" s="6"/>
      <c r="I809" s="6"/>
      <c r="J809" s="6"/>
      <c r="K809" s="5"/>
      <c r="L809" s="7"/>
      <c r="M809" s="6"/>
      <c r="N809" s="6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x14ac:dyDescent="0.25" r="810" customHeight="1" ht="12.75">
      <c r="A810" s="3"/>
      <c r="B810" s="5"/>
      <c r="C810" s="7"/>
      <c r="D810" s="6"/>
      <c r="E810" s="6"/>
      <c r="F810" s="7"/>
      <c r="G810" s="6"/>
      <c r="H810" s="6"/>
      <c r="I810" s="6"/>
      <c r="J810" s="6"/>
      <c r="K810" s="5"/>
      <c r="L810" s="7"/>
      <c r="M810" s="6"/>
      <c r="N810" s="6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x14ac:dyDescent="0.25" r="811" customHeight="1" ht="12.75">
      <c r="A811" s="3"/>
      <c r="B811" s="5"/>
      <c r="C811" s="7"/>
      <c r="D811" s="6"/>
      <c r="E811" s="6"/>
      <c r="F811" s="7"/>
      <c r="G811" s="6"/>
      <c r="H811" s="6"/>
      <c r="I811" s="6"/>
      <c r="J811" s="6"/>
      <c r="K811" s="5"/>
      <c r="L811" s="7"/>
      <c r="M811" s="6"/>
      <c r="N811" s="6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x14ac:dyDescent="0.25" r="812" customHeight="1" ht="12.75">
      <c r="A812" s="3"/>
      <c r="B812" s="5"/>
      <c r="C812" s="7"/>
      <c r="D812" s="6"/>
      <c r="E812" s="6"/>
      <c r="F812" s="7"/>
      <c r="G812" s="6"/>
      <c r="H812" s="6"/>
      <c r="I812" s="6"/>
      <c r="J812" s="6"/>
      <c r="K812" s="5"/>
      <c r="L812" s="7"/>
      <c r="M812" s="6"/>
      <c r="N812" s="6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x14ac:dyDescent="0.25" r="813" customHeight="1" ht="12.75">
      <c r="A813" s="3"/>
      <c r="B813" s="5"/>
      <c r="C813" s="7"/>
      <c r="D813" s="6"/>
      <c r="E813" s="6"/>
      <c r="F813" s="7"/>
      <c r="G813" s="6"/>
      <c r="H813" s="6"/>
      <c r="I813" s="6"/>
      <c r="J813" s="6"/>
      <c r="K813" s="5"/>
      <c r="L813" s="7"/>
      <c r="M813" s="6"/>
      <c r="N813" s="6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x14ac:dyDescent="0.25" r="814" customHeight="1" ht="12.75">
      <c r="A814" s="3"/>
      <c r="B814" s="5"/>
      <c r="C814" s="7"/>
      <c r="D814" s="6"/>
      <c r="E814" s="6"/>
      <c r="F814" s="7"/>
      <c r="G814" s="6"/>
      <c r="H814" s="6"/>
      <c r="I814" s="6"/>
      <c r="J814" s="6"/>
      <c r="K814" s="5"/>
      <c r="L814" s="7"/>
      <c r="M814" s="6"/>
      <c r="N814" s="6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x14ac:dyDescent="0.25" r="815" customHeight="1" ht="12.75">
      <c r="A815" s="3"/>
      <c r="B815" s="5"/>
      <c r="C815" s="7"/>
      <c r="D815" s="6"/>
      <c r="E815" s="6"/>
      <c r="F815" s="7"/>
      <c r="G815" s="6"/>
      <c r="H815" s="6"/>
      <c r="I815" s="6"/>
      <c r="J815" s="6"/>
      <c r="K815" s="5"/>
      <c r="L815" s="7"/>
      <c r="M815" s="6"/>
      <c r="N815" s="6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x14ac:dyDescent="0.25" r="816" customHeight="1" ht="12.75">
      <c r="A816" s="3"/>
      <c r="B816" s="5"/>
      <c r="C816" s="7"/>
      <c r="D816" s="6"/>
      <c r="E816" s="6"/>
      <c r="F816" s="7"/>
      <c r="G816" s="6"/>
      <c r="H816" s="6"/>
      <c r="I816" s="6"/>
      <c r="J816" s="6"/>
      <c r="K816" s="5"/>
      <c r="L816" s="7"/>
      <c r="M816" s="6"/>
      <c r="N816" s="6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x14ac:dyDescent="0.25" r="817" customHeight="1" ht="12.75">
      <c r="A817" s="3"/>
      <c r="B817" s="5"/>
      <c r="C817" s="7"/>
      <c r="D817" s="6"/>
      <c r="E817" s="6"/>
      <c r="F817" s="7"/>
      <c r="G817" s="6"/>
      <c r="H817" s="6"/>
      <c r="I817" s="6"/>
      <c r="J817" s="6"/>
      <c r="K817" s="5"/>
      <c r="L817" s="7"/>
      <c r="M817" s="6"/>
      <c r="N817" s="6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x14ac:dyDescent="0.25" r="818" customHeight="1" ht="12.75">
      <c r="A818" s="3"/>
      <c r="B818" s="5"/>
      <c r="C818" s="7"/>
      <c r="D818" s="6"/>
      <c r="E818" s="6"/>
      <c r="F818" s="7"/>
      <c r="G818" s="6"/>
      <c r="H818" s="6"/>
      <c r="I818" s="6"/>
      <c r="J818" s="6"/>
      <c r="K818" s="5"/>
      <c r="L818" s="7"/>
      <c r="M818" s="6"/>
      <c r="N818" s="6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x14ac:dyDescent="0.25" r="819" customHeight="1" ht="12.75">
      <c r="A819" s="3"/>
      <c r="B819" s="5"/>
      <c r="C819" s="7"/>
      <c r="D819" s="6"/>
      <c r="E819" s="6"/>
      <c r="F819" s="7"/>
      <c r="G819" s="6"/>
      <c r="H819" s="6"/>
      <c r="I819" s="6"/>
      <c r="J819" s="6"/>
      <c r="K819" s="5"/>
      <c r="L819" s="7"/>
      <c r="M819" s="6"/>
      <c r="N819" s="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x14ac:dyDescent="0.25" r="820" customHeight="1" ht="12.75">
      <c r="A820" s="3"/>
      <c r="B820" s="5"/>
      <c r="C820" s="7"/>
      <c r="D820" s="6"/>
      <c r="E820" s="6"/>
      <c r="F820" s="7"/>
      <c r="G820" s="6"/>
      <c r="H820" s="6"/>
      <c r="I820" s="6"/>
      <c r="J820" s="6"/>
      <c r="K820" s="5"/>
      <c r="L820" s="7"/>
      <c r="M820" s="6"/>
      <c r="N820" s="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x14ac:dyDescent="0.25" r="821" customHeight="1" ht="12.75">
      <c r="A821" s="3"/>
      <c r="B821" s="5"/>
      <c r="C821" s="7"/>
      <c r="D821" s="6"/>
      <c r="E821" s="6"/>
      <c r="F821" s="7"/>
      <c r="G821" s="6"/>
      <c r="H821" s="6"/>
      <c r="I821" s="6"/>
      <c r="J821" s="6"/>
      <c r="K821" s="5"/>
      <c r="L821" s="7"/>
      <c r="M821" s="6"/>
      <c r="N821" s="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x14ac:dyDescent="0.25" r="822" customHeight="1" ht="12.75">
      <c r="A822" s="3"/>
      <c r="B822" s="5"/>
      <c r="C822" s="7"/>
      <c r="D822" s="6"/>
      <c r="E822" s="6"/>
      <c r="F822" s="7"/>
      <c r="G822" s="6"/>
      <c r="H822" s="6"/>
      <c r="I822" s="6"/>
      <c r="J822" s="6"/>
      <c r="K822" s="5"/>
      <c r="L822" s="7"/>
      <c r="M822" s="6"/>
      <c r="N822" s="6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x14ac:dyDescent="0.25" r="823" customHeight="1" ht="12.75">
      <c r="A823" s="3"/>
      <c r="B823" s="5"/>
      <c r="C823" s="7"/>
      <c r="D823" s="6"/>
      <c r="E823" s="6"/>
      <c r="F823" s="7"/>
      <c r="G823" s="6"/>
      <c r="H823" s="6"/>
      <c r="I823" s="6"/>
      <c r="J823" s="6"/>
      <c r="K823" s="5"/>
      <c r="L823" s="7"/>
      <c r="M823" s="6"/>
      <c r="N823" s="6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x14ac:dyDescent="0.25" r="824" customHeight="1" ht="12.75">
      <c r="A824" s="3"/>
      <c r="B824" s="5"/>
      <c r="C824" s="7"/>
      <c r="D824" s="6"/>
      <c r="E824" s="6"/>
      <c r="F824" s="7"/>
      <c r="G824" s="6"/>
      <c r="H824" s="6"/>
      <c r="I824" s="6"/>
      <c r="J824" s="6"/>
      <c r="K824" s="5"/>
      <c r="L824" s="7"/>
      <c r="M824" s="6"/>
      <c r="N824" s="6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x14ac:dyDescent="0.25" r="825" customHeight="1" ht="12.75">
      <c r="A825" s="3"/>
      <c r="B825" s="5"/>
      <c r="C825" s="7"/>
      <c r="D825" s="6"/>
      <c r="E825" s="6"/>
      <c r="F825" s="7"/>
      <c r="G825" s="6"/>
      <c r="H825" s="6"/>
      <c r="I825" s="6"/>
      <c r="J825" s="6"/>
      <c r="K825" s="5"/>
      <c r="L825" s="7"/>
      <c r="M825" s="6"/>
      <c r="N825" s="6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x14ac:dyDescent="0.25" r="826" customHeight="1" ht="12.75">
      <c r="A826" s="3"/>
      <c r="B826" s="5"/>
      <c r="C826" s="7"/>
      <c r="D826" s="6"/>
      <c r="E826" s="6"/>
      <c r="F826" s="7"/>
      <c r="G826" s="6"/>
      <c r="H826" s="6"/>
      <c r="I826" s="6"/>
      <c r="J826" s="6"/>
      <c r="K826" s="5"/>
      <c r="L826" s="7"/>
      <c r="M826" s="6"/>
      <c r="N826" s="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x14ac:dyDescent="0.25" r="827" customHeight="1" ht="12.75">
      <c r="A827" s="3"/>
      <c r="B827" s="5"/>
      <c r="C827" s="7"/>
      <c r="D827" s="6"/>
      <c r="E827" s="6"/>
      <c r="F827" s="7"/>
      <c r="G827" s="6"/>
      <c r="H827" s="6"/>
      <c r="I827" s="6"/>
      <c r="J827" s="6"/>
      <c r="K827" s="5"/>
      <c r="L827" s="7"/>
      <c r="M827" s="6"/>
      <c r="N827" s="6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x14ac:dyDescent="0.25" r="828" customHeight="1" ht="12.75">
      <c r="A828" s="3"/>
      <c r="B828" s="5"/>
      <c r="C828" s="7"/>
      <c r="D828" s="6"/>
      <c r="E828" s="6"/>
      <c r="F828" s="7"/>
      <c r="G828" s="6"/>
      <c r="H828" s="6"/>
      <c r="I828" s="6"/>
      <c r="J828" s="6"/>
      <c r="K828" s="5"/>
      <c r="L828" s="7"/>
      <c r="M828" s="6"/>
      <c r="N828" s="6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x14ac:dyDescent="0.25" r="829" customHeight="1" ht="12.75">
      <c r="A829" s="3"/>
      <c r="B829" s="5"/>
      <c r="C829" s="7"/>
      <c r="D829" s="6"/>
      <c r="E829" s="6"/>
      <c r="F829" s="7"/>
      <c r="G829" s="6"/>
      <c r="H829" s="6"/>
      <c r="I829" s="6"/>
      <c r="J829" s="6"/>
      <c r="K829" s="5"/>
      <c r="L829" s="7"/>
      <c r="M829" s="6"/>
      <c r="N829" s="6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x14ac:dyDescent="0.25" r="830" customHeight="1" ht="12.75">
      <c r="A830" s="3"/>
      <c r="B830" s="5"/>
      <c r="C830" s="7"/>
      <c r="D830" s="6"/>
      <c r="E830" s="6"/>
      <c r="F830" s="7"/>
      <c r="G830" s="6"/>
      <c r="H830" s="6"/>
      <c r="I830" s="6"/>
      <c r="J830" s="6"/>
      <c r="K830" s="5"/>
      <c r="L830" s="7"/>
      <c r="M830" s="6"/>
      <c r="N830" s="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x14ac:dyDescent="0.25" r="831" customHeight="1" ht="12.75">
      <c r="A831" s="3"/>
      <c r="B831" s="5"/>
      <c r="C831" s="7"/>
      <c r="D831" s="6"/>
      <c r="E831" s="6"/>
      <c r="F831" s="7"/>
      <c r="G831" s="6"/>
      <c r="H831" s="6"/>
      <c r="I831" s="6"/>
      <c r="J831" s="6"/>
      <c r="K831" s="5"/>
      <c r="L831" s="7"/>
      <c r="M831" s="6"/>
      <c r="N831" s="6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x14ac:dyDescent="0.25" r="832" customHeight="1" ht="12.75">
      <c r="A832" s="3"/>
      <c r="B832" s="5"/>
      <c r="C832" s="7"/>
      <c r="D832" s="6"/>
      <c r="E832" s="6"/>
      <c r="F832" s="7"/>
      <c r="G832" s="6"/>
      <c r="H832" s="6"/>
      <c r="I832" s="6"/>
      <c r="J832" s="6"/>
      <c r="K832" s="5"/>
      <c r="L832" s="7"/>
      <c r="M832" s="6"/>
      <c r="N832" s="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x14ac:dyDescent="0.25" r="833" customHeight="1" ht="12.75">
      <c r="A833" s="3"/>
      <c r="B833" s="5"/>
      <c r="C833" s="7"/>
      <c r="D833" s="6"/>
      <c r="E833" s="6"/>
      <c r="F833" s="7"/>
      <c r="G833" s="6"/>
      <c r="H833" s="6"/>
      <c r="I833" s="6"/>
      <c r="J833" s="6"/>
      <c r="K833" s="5"/>
      <c r="L833" s="7"/>
      <c r="M833" s="6"/>
      <c r="N833" s="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x14ac:dyDescent="0.25" r="834" customHeight="1" ht="12.75">
      <c r="A834" s="3"/>
      <c r="B834" s="5"/>
      <c r="C834" s="7"/>
      <c r="D834" s="6"/>
      <c r="E834" s="6"/>
      <c r="F834" s="7"/>
      <c r="G834" s="6"/>
      <c r="H834" s="6"/>
      <c r="I834" s="6"/>
      <c r="J834" s="6"/>
      <c r="K834" s="5"/>
      <c r="L834" s="7"/>
      <c r="M834" s="6"/>
      <c r="N834" s="6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x14ac:dyDescent="0.25" r="835" customHeight="1" ht="12.75">
      <c r="A835" s="3"/>
      <c r="B835" s="5"/>
      <c r="C835" s="7"/>
      <c r="D835" s="6"/>
      <c r="E835" s="6"/>
      <c r="F835" s="7"/>
      <c r="G835" s="6"/>
      <c r="H835" s="6"/>
      <c r="I835" s="6"/>
      <c r="J835" s="6"/>
      <c r="K835" s="5"/>
      <c r="L835" s="7"/>
      <c r="M835" s="6"/>
      <c r="N835" s="6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x14ac:dyDescent="0.25" r="836" customHeight="1" ht="12.75">
      <c r="A836" s="3"/>
      <c r="B836" s="5"/>
      <c r="C836" s="7"/>
      <c r="D836" s="6"/>
      <c r="E836" s="6"/>
      <c r="F836" s="7"/>
      <c r="G836" s="6"/>
      <c r="H836" s="6"/>
      <c r="I836" s="6"/>
      <c r="J836" s="6"/>
      <c r="K836" s="5"/>
      <c r="L836" s="7"/>
      <c r="M836" s="6"/>
      <c r="N836" s="6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x14ac:dyDescent="0.25" r="837" customHeight="1" ht="12.75">
      <c r="A837" s="3"/>
      <c r="B837" s="5"/>
      <c r="C837" s="7"/>
      <c r="D837" s="6"/>
      <c r="E837" s="6"/>
      <c r="F837" s="7"/>
      <c r="G837" s="6"/>
      <c r="H837" s="6"/>
      <c r="I837" s="6"/>
      <c r="J837" s="6"/>
      <c r="K837" s="5"/>
      <c r="L837" s="7"/>
      <c r="M837" s="6"/>
      <c r="N837" s="6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x14ac:dyDescent="0.25" r="838" customHeight="1" ht="12.75">
      <c r="A838" s="3"/>
      <c r="B838" s="5"/>
      <c r="C838" s="7"/>
      <c r="D838" s="6"/>
      <c r="E838" s="6"/>
      <c r="F838" s="7"/>
      <c r="G838" s="6"/>
      <c r="H838" s="6"/>
      <c r="I838" s="6"/>
      <c r="J838" s="6"/>
      <c r="K838" s="5"/>
      <c r="L838" s="7"/>
      <c r="M838" s="6"/>
      <c r="N838" s="6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x14ac:dyDescent="0.25" r="839" customHeight="1" ht="12.75">
      <c r="A839" s="3"/>
      <c r="B839" s="5"/>
      <c r="C839" s="7"/>
      <c r="D839" s="6"/>
      <c r="E839" s="6"/>
      <c r="F839" s="7"/>
      <c r="G839" s="6"/>
      <c r="H839" s="6"/>
      <c r="I839" s="6"/>
      <c r="J839" s="6"/>
      <c r="K839" s="5"/>
      <c r="L839" s="7"/>
      <c r="M839" s="6"/>
      <c r="N839" s="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x14ac:dyDescent="0.25" r="840" customHeight="1" ht="12.75">
      <c r="A840" s="3"/>
      <c r="B840" s="5"/>
      <c r="C840" s="7"/>
      <c r="D840" s="6"/>
      <c r="E840" s="6"/>
      <c r="F840" s="7"/>
      <c r="G840" s="6"/>
      <c r="H840" s="6"/>
      <c r="I840" s="6"/>
      <c r="J840" s="6"/>
      <c r="K840" s="5"/>
      <c r="L840" s="7"/>
      <c r="M840" s="6"/>
      <c r="N840" s="6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x14ac:dyDescent="0.25" r="841" customHeight="1" ht="12.75">
      <c r="A841" s="3"/>
      <c r="B841" s="5"/>
      <c r="C841" s="7"/>
      <c r="D841" s="6"/>
      <c r="E841" s="6"/>
      <c r="F841" s="7"/>
      <c r="G841" s="6"/>
      <c r="H841" s="6"/>
      <c r="I841" s="6"/>
      <c r="J841" s="6"/>
      <c r="K841" s="5"/>
      <c r="L841" s="7"/>
      <c r="M841" s="6"/>
      <c r="N841" s="6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x14ac:dyDescent="0.25" r="842" customHeight="1" ht="12.75">
      <c r="A842" s="3"/>
      <c r="B842" s="5"/>
      <c r="C842" s="7"/>
      <c r="D842" s="6"/>
      <c r="E842" s="6"/>
      <c r="F842" s="7"/>
      <c r="G842" s="6"/>
      <c r="H842" s="6"/>
      <c r="I842" s="6"/>
      <c r="J842" s="6"/>
      <c r="K842" s="5"/>
      <c r="L842" s="7"/>
      <c r="M842" s="6"/>
      <c r="N842" s="6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x14ac:dyDescent="0.25" r="843" customHeight="1" ht="12.75">
      <c r="A843" s="3"/>
      <c r="B843" s="5"/>
      <c r="C843" s="7"/>
      <c r="D843" s="6"/>
      <c r="E843" s="6"/>
      <c r="F843" s="7"/>
      <c r="G843" s="6"/>
      <c r="H843" s="6"/>
      <c r="I843" s="6"/>
      <c r="J843" s="6"/>
      <c r="K843" s="5"/>
      <c r="L843" s="7"/>
      <c r="M843" s="6"/>
      <c r="N843" s="6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x14ac:dyDescent="0.25" r="844" customHeight="1" ht="12.75">
      <c r="A844" s="3"/>
      <c r="B844" s="5"/>
      <c r="C844" s="7"/>
      <c r="D844" s="6"/>
      <c r="E844" s="6"/>
      <c r="F844" s="7"/>
      <c r="G844" s="6"/>
      <c r="H844" s="6"/>
      <c r="I844" s="6"/>
      <c r="J844" s="6"/>
      <c r="K844" s="5"/>
      <c r="L844" s="7"/>
      <c r="M844" s="6"/>
      <c r="N844" s="6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x14ac:dyDescent="0.25" r="845" customHeight="1" ht="12.75">
      <c r="A845" s="3"/>
      <c r="B845" s="5"/>
      <c r="C845" s="7"/>
      <c r="D845" s="6"/>
      <c r="E845" s="6"/>
      <c r="F845" s="7"/>
      <c r="G845" s="6"/>
      <c r="H845" s="6"/>
      <c r="I845" s="6"/>
      <c r="J845" s="6"/>
      <c r="K845" s="5"/>
      <c r="L845" s="7"/>
      <c r="M845" s="6"/>
      <c r="N845" s="6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x14ac:dyDescent="0.25" r="846" customHeight="1" ht="12.75">
      <c r="A846" s="3"/>
      <c r="B846" s="5"/>
      <c r="C846" s="7"/>
      <c r="D846" s="6"/>
      <c r="E846" s="6"/>
      <c r="F846" s="7"/>
      <c r="G846" s="6"/>
      <c r="H846" s="6"/>
      <c r="I846" s="6"/>
      <c r="J846" s="6"/>
      <c r="K846" s="5"/>
      <c r="L846" s="7"/>
      <c r="M846" s="6"/>
      <c r="N846" s="6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x14ac:dyDescent="0.25" r="847" customHeight="1" ht="12.75">
      <c r="A847" s="3"/>
      <c r="B847" s="5"/>
      <c r="C847" s="7"/>
      <c r="D847" s="6"/>
      <c r="E847" s="6"/>
      <c r="F847" s="7"/>
      <c r="G847" s="6"/>
      <c r="H847" s="6"/>
      <c r="I847" s="6"/>
      <c r="J847" s="6"/>
      <c r="K847" s="5"/>
      <c r="L847" s="7"/>
      <c r="M847" s="6"/>
      <c r="N847" s="6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x14ac:dyDescent="0.25" r="848" customHeight="1" ht="12.75">
      <c r="A848" s="3"/>
      <c r="B848" s="5"/>
      <c r="C848" s="7"/>
      <c r="D848" s="6"/>
      <c r="E848" s="6"/>
      <c r="F848" s="7"/>
      <c r="G848" s="6"/>
      <c r="H848" s="6"/>
      <c r="I848" s="6"/>
      <c r="J848" s="6"/>
      <c r="K848" s="5"/>
      <c r="L848" s="7"/>
      <c r="M848" s="6"/>
      <c r="N848" s="6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x14ac:dyDescent="0.25" r="849" customHeight="1" ht="12.75">
      <c r="A849" s="3"/>
      <c r="B849" s="5"/>
      <c r="C849" s="7"/>
      <c r="D849" s="6"/>
      <c r="E849" s="6"/>
      <c r="F849" s="7"/>
      <c r="G849" s="6"/>
      <c r="H849" s="6"/>
      <c r="I849" s="6"/>
      <c r="J849" s="6"/>
      <c r="K849" s="5"/>
      <c r="L849" s="7"/>
      <c r="M849" s="6"/>
      <c r="N849" s="6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x14ac:dyDescent="0.25" r="850" customHeight="1" ht="12.75">
      <c r="A850" s="3"/>
      <c r="B850" s="5"/>
      <c r="C850" s="7"/>
      <c r="D850" s="6"/>
      <c r="E850" s="6"/>
      <c r="F850" s="7"/>
      <c r="G850" s="6"/>
      <c r="H850" s="6"/>
      <c r="I850" s="6"/>
      <c r="J850" s="6"/>
      <c r="K850" s="5"/>
      <c r="L850" s="7"/>
      <c r="M850" s="6"/>
      <c r="N850" s="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x14ac:dyDescent="0.25" r="851" customHeight="1" ht="12.75">
      <c r="A851" s="3"/>
      <c r="B851" s="5"/>
      <c r="C851" s="7"/>
      <c r="D851" s="6"/>
      <c r="E851" s="6"/>
      <c r="F851" s="7"/>
      <c r="G851" s="6"/>
      <c r="H851" s="6"/>
      <c r="I851" s="6"/>
      <c r="J851" s="6"/>
      <c r="K851" s="5"/>
      <c r="L851" s="7"/>
      <c r="M851" s="6"/>
      <c r="N851" s="6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x14ac:dyDescent="0.25" r="852" customHeight="1" ht="12.75">
      <c r="A852" s="3"/>
      <c r="B852" s="5"/>
      <c r="C852" s="7"/>
      <c r="D852" s="6"/>
      <c r="E852" s="6"/>
      <c r="F852" s="7"/>
      <c r="G852" s="6"/>
      <c r="H852" s="6"/>
      <c r="I852" s="6"/>
      <c r="J852" s="6"/>
      <c r="K852" s="5"/>
      <c r="L852" s="7"/>
      <c r="M852" s="6"/>
      <c r="N852" s="6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x14ac:dyDescent="0.25" r="853" customHeight="1" ht="12.75">
      <c r="A853" s="3"/>
      <c r="B853" s="5"/>
      <c r="C853" s="7"/>
      <c r="D853" s="6"/>
      <c r="E853" s="6"/>
      <c r="F853" s="7"/>
      <c r="G853" s="6"/>
      <c r="H853" s="6"/>
      <c r="I853" s="6"/>
      <c r="J853" s="6"/>
      <c r="K853" s="5"/>
      <c r="L853" s="7"/>
      <c r="M853" s="6"/>
      <c r="N853" s="6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x14ac:dyDescent="0.25" r="854" customHeight="1" ht="12.75">
      <c r="A854" s="3"/>
      <c r="B854" s="5"/>
      <c r="C854" s="7"/>
      <c r="D854" s="6"/>
      <c r="E854" s="6"/>
      <c r="F854" s="7"/>
      <c r="G854" s="6"/>
      <c r="H854" s="6"/>
      <c r="I854" s="6"/>
      <c r="J854" s="6"/>
      <c r="K854" s="5"/>
      <c r="L854" s="7"/>
      <c r="M854" s="6"/>
      <c r="N854" s="6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x14ac:dyDescent="0.25" r="855" customHeight="1" ht="12.75">
      <c r="A855" s="3"/>
      <c r="B855" s="5"/>
      <c r="C855" s="7"/>
      <c r="D855" s="6"/>
      <c r="E855" s="6"/>
      <c r="F855" s="7"/>
      <c r="G855" s="6"/>
      <c r="H855" s="6"/>
      <c r="I855" s="6"/>
      <c r="J855" s="6"/>
      <c r="K855" s="5"/>
      <c r="L855" s="7"/>
      <c r="M855" s="6"/>
      <c r="N855" s="6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x14ac:dyDescent="0.25" r="856" customHeight="1" ht="12.75">
      <c r="A856" s="3"/>
      <c r="B856" s="5"/>
      <c r="C856" s="7"/>
      <c r="D856" s="6"/>
      <c r="E856" s="6"/>
      <c r="F856" s="7"/>
      <c r="G856" s="6"/>
      <c r="H856" s="6"/>
      <c r="I856" s="6"/>
      <c r="J856" s="6"/>
      <c r="K856" s="5"/>
      <c r="L856" s="7"/>
      <c r="M856" s="6"/>
      <c r="N856" s="6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x14ac:dyDescent="0.25" r="857" customHeight="1" ht="12.75">
      <c r="A857" s="3"/>
      <c r="B857" s="5"/>
      <c r="C857" s="7"/>
      <c r="D857" s="6"/>
      <c r="E857" s="6"/>
      <c r="F857" s="7"/>
      <c r="G857" s="6"/>
      <c r="H857" s="6"/>
      <c r="I857" s="6"/>
      <c r="J857" s="6"/>
      <c r="K857" s="5"/>
      <c r="L857" s="7"/>
      <c r="M857" s="6"/>
      <c r="N857" s="6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x14ac:dyDescent="0.25" r="858" customHeight="1" ht="12.75">
      <c r="A858" s="3"/>
      <c r="B858" s="5"/>
      <c r="C858" s="7"/>
      <c r="D858" s="6"/>
      <c r="E858" s="6"/>
      <c r="F858" s="7"/>
      <c r="G858" s="6"/>
      <c r="H858" s="6"/>
      <c r="I858" s="6"/>
      <c r="J858" s="6"/>
      <c r="K858" s="5"/>
      <c r="L858" s="7"/>
      <c r="M858" s="6"/>
      <c r="N858" s="6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x14ac:dyDescent="0.25" r="859" customHeight="1" ht="12.75">
      <c r="A859" s="3"/>
      <c r="B859" s="5"/>
      <c r="C859" s="7"/>
      <c r="D859" s="6"/>
      <c r="E859" s="6"/>
      <c r="F859" s="7"/>
      <c r="G859" s="6"/>
      <c r="H859" s="6"/>
      <c r="I859" s="6"/>
      <c r="J859" s="6"/>
      <c r="K859" s="5"/>
      <c r="L859" s="7"/>
      <c r="M859" s="6"/>
      <c r="N859" s="6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x14ac:dyDescent="0.25" r="860" customHeight="1" ht="12.75">
      <c r="A860" s="3"/>
      <c r="B860" s="5"/>
      <c r="C860" s="7"/>
      <c r="D860" s="6"/>
      <c r="E860" s="6"/>
      <c r="F860" s="7"/>
      <c r="G860" s="6"/>
      <c r="H860" s="6"/>
      <c r="I860" s="6"/>
      <c r="J860" s="6"/>
      <c r="K860" s="5"/>
      <c r="L860" s="7"/>
      <c r="M860" s="6"/>
      <c r="N860" s="6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x14ac:dyDescent="0.25" r="861" customHeight="1" ht="12.75">
      <c r="A861" s="3"/>
      <c r="B861" s="5"/>
      <c r="C861" s="7"/>
      <c r="D861" s="6"/>
      <c r="E861" s="6"/>
      <c r="F861" s="7"/>
      <c r="G861" s="6"/>
      <c r="H861" s="6"/>
      <c r="I861" s="6"/>
      <c r="J861" s="6"/>
      <c r="K861" s="5"/>
      <c r="L861" s="7"/>
      <c r="M861" s="6"/>
      <c r="N861" s="6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x14ac:dyDescent="0.25" r="862" customHeight="1" ht="12.75">
      <c r="A862" s="3"/>
      <c r="B862" s="5"/>
      <c r="C862" s="7"/>
      <c r="D862" s="6"/>
      <c r="E862" s="6"/>
      <c r="F862" s="7"/>
      <c r="G862" s="6"/>
      <c r="H862" s="6"/>
      <c r="I862" s="6"/>
      <c r="J862" s="6"/>
      <c r="K862" s="5"/>
      <c r="L862" s="7"/>
      <c r="M862" s="6"/>
      <c r="N862" s="6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x14ac:dyDescent="0.25" r="863" customHeight="1" ht="12.75">
      <c r="A863" s="3"/>
      <c r="B863" s="5"/>
      <c r="C863" s="7"/>
      <c r="D863" s="6"/>
      <c r="E863" s="6"/>
      <c r="F863" s="7"/>
      <c r="G863" s="6"/>
      <c r="H863" s="6"/>
      <c r="I863" s="6"/>
      <c r="J863" s="6"/>
      <c r="K863" s="5"/>
      <c r="L863" s="7"/>
      <c r="M863" s="6"/>
      <c r="N863" s="6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x14ac:dyDescent="0.25" r="864" customHeight="1" ht="12.75">
      <c r="A864" s="3"/>
      <c r="B864" s="5"/>
      <c r="C864" s="7"/>
      <c r="D864" s="6"/>
      <c r="E864" s="6"/>
      <c r="F864" s="7"/>
      <c r="G864" s="6"/>
      <c r="H864" s="6"/>
      <c r="I864" s="6"/>
      <c r="J864" s="6"/>
      <c r="K864" s="5"/>
      <c r="L864" s="7"/>
      <c r="M864" s="6"/>
      <c r="N864" s="6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x14ac:dyDescent="0.25" r="865" customHeight="1" ht="12.75">
      <c r="A865" s="3"/>
      <c r="B865" s="5"/>
      <c r="C865" s="7"/>
      <c r="D865" s="6"/>
      <c r="E865" s="6"/>
      <c r="F865" s="7"/>
      <c r="G865" s="6"/>
      <c r="H865" s="6"/>
      <c r="I865" s="6"/>
      <c r="J865" s="6"/>
      <c r="K865" s="5"/>
      <c r="L865" s="7"/>
      <c r="M865" s="6"/>
      <c r="N865" s="6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x14ac:dyDescent="0.25" r="866" customHeight="1" ht="12.75">
      <c r="A866" s="3"/>
      <c r="B866" s="5"/>
      <c r="C866" s="7"/>
      <c r="D866" s="6"/>
      <c r="E866" s="6"/>
      <c r="F866" s="7"/>
      <c r="G866" s="6"/>
      <c r="H866" s="6"/>
      <c r="I866" s="6"/>
      <c r="J866" s="6"/>
      <c r="K866" s="5"/>
      <c r="L866" s="7"/>
      <c r="M866" s="6"/>
      <c r="N866" s="6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x14ac:dyDescent="0.25" r="867" customHeight="1" ht="12.75">
      <c r="A867" s="3"/>
      <c r="B867" s="5"/>
      <c r="C867" s="7"/>
      <c r="D867" s="6"/>
      <c r="E867" s="6"/>
      <c r="F867" s="7"/>
      <c r="G867" s="6"/>
      <c r="H867" s="6"/>
      <c r="I867" s="6"/>
      <c r="J867" s="6"/>
      <c r="K867" s="5"/>
      <c r="L867" s="7"/>
      <c r="M867" s="6"/>
      <c r="N867" s="6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x14ac:dyDescent="0.25" r="868" customHeight="1" ht="12.75">
      <c r="A868" s="3"/>
      <c r="B868" s="5"/>
      <c r="C868" s="7"/>
      <c r="D868" s="6"/>
      <c r="E868" s="6"/>
      <c r="F868" s="7"/>
      <c r="G868" s="6"/>
      <c r="H868" s="6"/>
      <c r="I868" s="6"/>
      <c r="J868" s="6"/>
      <c r="K868" s="5"/>
      <c r="L868" s="7"/>
      <c r="M868" s="6"/>
      <c r="N868" s="6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x14ac:dyDescent="0.25" r="869" customHeight="1" ht="12.75">
      <c r="A869" s="3"/>
      <c r="B869" s="5"/>
      <c r="C869" s="7"/>
      <c r="D869" s="6"/>
      <c r="E869" s="6"/>
      <c r="F869" s="7"/>
      <c r="G869" s="6"/>
      <c r="H869" s="6"/>
      <c r="I869" s="6"/>
      <c r="J869" s="6"/>
      <c r="K869" s="5"/>
      <c r="L869" s="7"/>
      <c r="M869" s="6"/>
      <c r="N869" s="6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x14ac:dyDescent="0.25" r="870" customHeight="1" ht="12.75">
      <c r="A870" s="3"/>
      <c r="B870" s="5"/>
      <c r="C870" s="7"/>
      <c r="D870" s="6"/>
      <c r="E870" s="6"/>
      <c r="F870" s="7"/>
      <c r="G870" s="6"/>
      <c r="H870" s="6"/>
      <c r="I870" s="6"/>
      <c r="J870" s="6"/>
      <c r="K870" s="5"/>
      <c r="L870" s="7"/>
      <c r="M870" s="6"/>
      <c r="N870" s="6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x14ac:dyDescent="0.25" r="871" customHeight="1" ht="12.75">
      <c r="A871" s="3"/>
      <c r="B871" s="5"/>
      <c r="C871" s="7"/>
      <c r="D871" s="6"/>
      <c r="E871" s="6"/>
      <c r="F871" s="7"/>
      <c r="G871" s="6"/>
      <c r="H871" s="6"/>
      <c r="I871" s="6"/>
      <c r="J871" s="6"/>
      <c r="K871" s="5"/>
      <c r="L871" s="7"/>
      <c r="M871" s="6"/>
      <c r="N871" s="6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x14ac:dyDescent="0.25" r="872" customHeight="1" ht="12.75">
      <c r="A872" s="3"/>
      <c r="B872" s="5"/>
      <c r="C872" s="7"/>
      <c r="D872" s="6"/>
      <c r="E872" s="6"/>
      <c r="F872" s="7"/>
      <c r="G872" s="6"/>
      <c r="H872" s="6"/>
      <c r="I872" s="6"/>
      <c r="J872" s="6"/>
      <c r="K872" s="5"/>
      <c r="L872" s="7"/>
      <c r="M872" s="6"/>
      <c r="N872" s="6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x14ac:dyDescent="0.25" r="873" customHeight="1" ht="12.75">
      <c r="A873" s="3"/>
      <c r="B873" s="5"/>
      <c r="C873" s="7"/>
      <c r="D873" s="6"/>
      <c r="E873" s="6"/>
      <c r="F873" s="7"/>
      <c r="G873" s="6"/>
      <c r="H873" s="6"/>
      <c r="I873" s="6"/>
      <c r="J873" s="6"/>
      <c r="K873" s="5"/>
      <c r="L873" s="7"/>
      <c r="M873" s="6"/>
      <c r="N873" s="6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x14ac:dyDescent="0.25" r="874" customHeight="1" ht="12.75">
      <c r="A874" s="3"/>
      <c r="B874" s="5"/>
      <c r="C874" s="7"/>
      <c r="D874" s="6"/>
      <c r="E874" s="6"/>
      <c r="F874" s="7"/>
      <c r="G874" s="6"/>
      <c r="H874" s="6"/>
      <c r="I874" s="6"/>
      <c r="J874" s="6"/>
      <c r="K874" s="5"/>
      <c r="L874" s="7"/>
      <c r="M874" s="6"/>
      <c r="N874" s="6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x14ac:dyDescent="0.25" r="875" customHeight="1" ht="12.75">
      <c r="A875" s="3"/>
      <c r="B875" s="5"/>
      <c r="C875" s="7"/>
      <c r="D875" s="6"/>
      <c r="E875" s="6"/>
      <c r="F875" s="7"/>
      <c r="G875" s="6"/>
      <c r="H875" s="6"/>
      <c r="I875" s="6"/>
      <c r="J875" s="6"/>
      <c r="K875" s="5"/>
      <c r="L875" s="7"/>
      <c r="M875" s="6"/>
      <c r="N875" s="6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x14ac:dyDescent="0.25" r="876" customHeight="1" ht="12.75">
      <c r="A876" s="3"/>
      <c r="B876" s="5"/>
      <c r="C876" s="7"/>
      <c r="D876" s="6"/>
      <c r="E876" s="6"/>
      <c r="F876" s="7"/>
      <c r="G876" s="6"/>
      <c r="H876" s="6"/>
      <c r="I876" s="6"/>
      <c r="J876" s="6"/>
      <c r="K876" s="5"/>
      <c r="L876" s="7"/>
      <c r="M876" s="6"/>
      <c r="N876" s="6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x14ac:dyDescent="0.25" r="877" customHeight="1" ht="12.75">
      <c r="A877" s="3"/>
      <c r="B877" s="5"/>
      <c r="C877" s="7"/>
      <c r="D877" s="6"/>
      <c r="E877" s="6"/>
      <c r="F877" s="7"/>
      <c r="G877" s="6"/>
      <c r="H877" s="6"/>
      <c r="I877" s="6"/>
      <c r="J877" s="6"/>
      <c r="K877" s="5"/>
      <c r="L877" s="7"/>
      <c r="M877" s="6"/>
      <c r="N877" s="6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x14ac:dyDescent="0.25" r="878" customHeight="1" ht="12.75">
      <c r="A878" s="3"/>
      <c r="B878" s="5"/>
      <c r="C878" s="7"/>
      <c r="D878" s="6"/>
      <c r="E878" s="6"/>
      <c r="F878" s="7"/>
      <c r="G878" s="6"/>
      <c r="H878" s="6"/>
      <c r="I878" s="6"/>
      <c r="J878" s="6"/>
      <c r="K878" s="5"/>
      <c r="L878" s="7"/>
      <c r="M878" s="6"/>
      <c r="N878" s="6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x14ac:dyDescent="0.25" r="879" customHeight="1" ht="12.75">
      <c r="A879" s="3"/>
      <c r="B879" s="5"/>
      <c r="C879" s="7"/>
      <c r="D879" s="6"/>
      <c r="E879" s="6"/>
      <c r="F879" s="7"/>
      <c r="G879" s="6"/>
      <c r="H879" s="6"/>
      <c r="I879" s="6"/>
      <c r="J879" s="6"/>
      <c r="K879" s="5"/>
      <c r="L879" s="7"/>
      <c r="M879" s="6"/>
      <c r="N879" s="6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x14ac:dyDescent="0.25" r="880" customHeight="1" ht="12.75">
      <c r="A880" s="3"/>
      <c r="B880" s="5"/>
      <c r="C880" s="7"/>
      <c r="D880" s="6"/>
      <c r="E880" s="6"/>
      <c r="F880" s="7"/>
      <c r="G880" s="6"/>
      <c r="H880" s="6"/>
      <c r="I880" s="6"/>
      <c r="J880" s="6"/>
      <c r="K880" s="5"/>
      <c r="L880" s="7"/>
      <c r="M880" s="6"/>
      <c r="N880" s="6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x14ac:dyDescent="0.25" r="881" customHeight="1" ht="12.75">
      <c r="A881" s="3"/>
      <c r="B881" s="5"/>
      <c r="C881" s="7"/>
      <c r="D881" s="6"/>
      <c r="E881" s="6"/>
      <c r="F881" s="7"/>
      <c r="G881" s="6"/>
      <c r="H881" s="6"/>
      <c r="I881" s="6"/>
      <c r="J881" s="6"/>
      <c r="K881" s="5"/>
      <c r="L881" s="7"/>
      <c r="M881" s="6"/>
      <c r="N881" s="6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x14ac:dyDescent="0.25" r="882" customHeight="1" ht="12.75">
      <c r="A882" s="3"/>
      <c r="B882" s="5"/>
      <c r="C882" s="7"/>
      <c r="D882" s="6"/>
      <c r="E882" s="6"/>
      <c r="F882" s="7"/>
      <c r="G882" s="6"/>
      <c r="H882" s="6"/>
      <c r="I882" s="6"/>
      <c r="J882" s="6"/>
      <c r="K882" s="5"/>
      <c r="L882" s="7"/>
      <c r="M882" s="6"/>
      <c r="N882" s="6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x14ac:dyDescent="0.25" r="883" customHeight="1" ht="12.75">
      <c r="A883" s="3"/>
      <c r="B883" s="5"/>
      <c r="C883" s="7"/>
      <c r="D883" s="6"/>
      <c r="E883" s="6"/>
      <c r="F883" s="7"/>
      <c r="G883" s="6"/>
      <c r="H883" s="6"/>
      <c r="I883" s="6"/>
      <c r="J883" s="6"/>
      <c r="K883" s="5"/>
      <c r="L883" s="7"/>
      <c r="M883" s="6"/>
      <c r="N883" s="6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x14ac:dyDescent="0.25" r="884" customHeight="1" ht="12.75">
      <c r="A884" s="3"/>
      <c r="B884" s="5"/>
      <c r="C884" s="7"/>
      <c r="D884" s="6"/>
      <c r="E884" s="6"/>
      <c r="F884" s="7"/>
      <c r="G884" s="6"/>
      <c r="H884" s="6"/>
      <c r="I884" s="6"/>
      <c r="J884" s="6"/>
      <c r="K884" s="5"/>
      <c r="L884" s="7"/>
      <c r="M884" s="6"/>
      <c r="N884" s="6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x14ac:dyDescent="0.25" r="885" customHeight="1" ht="12.75">
      <c r="A885" s="3"/>
      <c r="B885" s="5"/>
      <c r="C885" s="7"/>
      <c r="D885" s="6"/>
      <c r="E885" s="6"/>
      <c r="F885" s="7"/>
      <c r="G885" s="6"/>
      <c r="H885" s="6"/>
      <c r="I885" s="6"/>
      <c r="J885" s="6"/>
      <c r="K885" s="5"/>
      <c r="L885" s="7"/>
      <c r="M885" s="6"/>
      <c r="N885" s="6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x14ac:dyDescent="0.25" r="886" customHeight="1" ht="12.75">
      <c r="A886" s="3"/>
      <c r="B886" s="5"/>
      <c r="C886" s="7"/>
      <c r="D886" s="6"/>
      <c r="E886" s="6"/>
      <c r="F886" s="7"/>
      <c r="G886" s="6"/>
      <c r="H886" s="6"/>
      <c r="I886" s="6"/>
      <c r="J886" s="6"/>
      <c r="K886" s="5"/>
      <c r="L886" s="7"/>
      <c r="M886" s="6"/>
      <c r="N886" s="6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x14ac:dyDescent="0.25" r="887" customHeight="1" ht="12.75">
      <c r="A887" s="3"/>
      <c r="B887" s="5"/>
      <c r="C887" s="7"/>
      <c r="D887" s="6"/>
      <c r="E887" s="6"/>
      <c r="F887" s="7"/>
      <c r="G887" s="6"/>
      <c r="H887" s="6"/>
      <c r="I887" s="6"/>
      <c r="J887" s="6"/>
      <c r="K887" s="5"/>
      <c r="L887" s="7"/>
      <c r="M887" s="6"/>
      <c r="N887" s="6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x14ac:dyDescent="0.25" r="888" customHeight="1" ht="12.75">
      <c r="A888" s="3"/>
      <c r="B888" s="5"/>
      <c r="C888" s="7"/>
      <c r="D888" s="6"/>
      <c r="E888" s="6"/>
      <c r="F888" s="7"/>
      <c r="G888" s="6"/>
      <c r="H888" s="6"/>
      <c r="I888" s="6"/>
      <c r="J888" s="6"/>
      <c r="K888" s="5"/>
      <c r="L888" s="7"/>
      <c r="M888" s="6"/>
      <c r="N888" s="6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x14ac:dyDescent="0.25" r="889" customHeight="1" ht="12.75">
      <c r="A889" s="3"/>
      <c r="B889" s="5"/>
      <c r="C889" s="7"/>
      <c r="D889" s="6"/>
      <c r="E889" s="6"/>
      <c r="F889" s="7"/>
      <c r="G889" s="6"/>
      <c r="H889" s="6"/>
      <c r="I889" s="6"/>
      <c r="J889" s="6"/>
      <c r="K889" s="5"/>
      <c r="L889" s="7"/>
      <c r="M889" s="6"/>
      <c r="N889" s="6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x14ac:dyDescent="0.25" r="890" customHeight="1" ht="12.75">
      <c r="A890" s="3"/>
      <c r="B890" s="5"/>
      <c r="C890" s="7"/>
      <c r="D890" s="6"/>
      <c r="E890" s="6"/>
      <c r="F890" s="7"/>
      <c r="G890" s="6"/>
      <c r="H890" s="6"/>
      <c r="I890" s="6"/>
      <c r="J890" s="6"/>
      <c r="K890" s="5"/>
      <c r="L890" s="7"/>
      <c r="M890" s="6"/>
      <c r="N890" s="6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x14ac:dyDescent="0.25" r="891" customHeight="1" ht="12.75">
      <c r="A891" s="3"/>
      <c r="B891" s="5"/>
      <c r="C891" s="7"/>
      <c r="D891" s="6"/>
      <c r="E891" s="6"/>
      <c r="F891" s="7"/>
      <c r="G891" s="6"/>
      <c r="H891" s="6"/>
      <c r="I891" s="6"/>
      <c r="J891" s="6"/>
      <c r="K891" s="5"/>
      <c r="L891" s="7"/>
      <c r="M891" s="6"/>
      <c r="N891" s="6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x14ac:dyDescent="0.25" r="892" customHeight="1" ht="12.75">
      <c r="A892" s="3"/>
      <c r="B892" s="5"/>
      <c r="C892" s="7"/>
      <c r="D892" s="6"/>
      <c r="E892" s="6"/>
      <c r="F892" s="7"/>
      <c r="G892" s="6"/>
      <c r="H892" s="6"/>
      <c r="I892" s="6"/>
      <c r="J892" s="6"/>
      <c r="K892" s="5"/>
      <c r="L892" s="7"/>
      <c r="M892" s="6"/>
      <c r="N892" s="6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x14ac:dyDescent="0.25" r="893" customHeight="1" ht="12.75">
      <c r="A893" s="3"/>
      <c r="B893" s="5"/>
      <c r="C893" s="7"/>
      <c r="D893" s="6"/>
      <c r="E893" s="6"/>
      <c r="F893" s="7"/>
      <c r="G893" s="6"/>
      <c r="H893" s="6"/>
      <c r="I893" s="6"/>
      <c r="J893" s="6"/>
      <c r="K893" s="5"/>
      <c r="L893" s="7"/>
      <c r="M893" s="6"/>
      <c r="N893" s="6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x14ac:dyDescent="0.25" r="894" customHeight="1" ht="12.75">
      <c r="A894" s="3"/>
      <c r="B894" s="5"/>
      <c r="C894" s="7"/>
      <c r="D894" s="6"/>
      <c r="E894" s="6"/>
      <c r="F894" s="7"/>
      <c r="G894" s="6"/>
      <c r="H894" s="6"/>
      <c r="I894" s="6"/>
      <c r="J894" s="6"/>
      <c r="K894" s="5"/>
      <c r="L894" s="7"/>
      <c r="M894" s="6"/>
      <c r="N894" s="6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x14ac:dyDescent="0.25" r="895" customHeight="1" ht="12.75">
      <c r="A895" s="3"/>
      <c r="B895" s="5"/>
      <c r="C895" s="7"/>
      <c r="D895" s="6"/>
      <c r="E895" s="6"/>
      <c r="F895" s="7"/>
      <c r="G895" s="6"/>
      <c r="H895" s="6"/>
      <c r="I895" s="6"/>
      <c r="J895" s="6"/>
      <c r="K895" s="5"/>
      <c r="L895" s="7"/>
      <c r="M895" s="6"/>
      <c r="N895" s="6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x14ac:dyDescent="0.25" r="896" customHeight="1" ht="12.75">
      <c r="A896" s="3"/>
      <c r="B896" s="5"/>
      <c r="C896" s="7"/>
      <c r="D896" s="6"/>
      <c r="E896" s="6"/>
      <c r="F896" s="7"/>
      <c r="G896" s="6"/>
      <c r="H896" s="6"/>
      <c r="I896" s="6"/>
      <c r="J896" s="6"/>
      <c r="K896" s="5"/>
      <c r="L896" s="7"/>
      <c r="M896" s="6"/>
      <c r="N896" s="6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x14ac:dyDescent="0.25" r="897" customHeight="1" ht="12.75">
      <c r="A897" s="3"/>
      <c r="B897" s="5"/>
      <c r="C897" s="7"/>
      <c r="D897" s="6"/>
      <c r="E897" s="6"/>
      <c r="F897" s="7"/>
      <c r="G897" s="6"/>
      <c r="H897" s="6"/>
      <c r="I897" s="6"/>
      <c r="J897" s="6"/>
      <c r="K897" s="5"/>
      <c r="L897" s="7"/>
      <c r="M897" s="6"/>
      <c r="N897" s="6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x14ac:dyDescent="0.25" r="898" customHeight="1" ht="12.75">
      <c r="A898" s="3"/>
      <c r="B898" s="5"/>
      <c r="C898" s="7"/>
      <c r="D898" s="6"/>
      <c r="E898" s="6"/>
      <c r="F898" s="7"/>
      <c r="G898" s="6"/>
      <c r="H898" s="6"/>
      <c r="I898" s="6"/>
      <c r="J898" s="6"/>
      <c r="K898" s="5"/>
      <c r="L898" s="7"/>
      <c r="M898" s="6"/>
      <c r="N898" s="6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x14ac:dyDescent="0.25" r="899" customHeight="1" ht="12.75">
      <c r="A899" s="3"/>
      <c r="B899" s="5"/>
      <c r="C899" s="7"/>
      <c r="D899" s="6"/>
      <c r="E899" s="6"/>
      <c r="F899" s="7"/>
      <c r="G899" s="6"/>
      <c r="H899" s="6"/>
      <c r="I899" s="6"/>
      <c r="J899" s="6"/>
      <c r="K899" s="5"/>
      <c r="L899" s="7"/>
      <c r="M899" s="6"/>
      <c r="N899" s="6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x14ac:dyDescent="0.25" r="900" customHeight="1" ht="12.75">
      <c r="A900" s="3"/>
      <c r="B900" s="5"/>
      <c r="C900" s="7"/>
      <c r="D900" s="6"/>
      <c r="E900" s="6"/>
      <c r="F900" s="7"/>
      <c r="G900" s="6"/>
      <c r="H900" s="6"/>
      <c r="I900" s="6"/>
      <c r="J900" s="6"/>
      <c r="K900" s="5"/>
      <c r="L900" s="7"/>
      <c r="M900" s="6"/>
      <c r="N900" s="6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x14ac:dyDescent="0.25" r="901" customHeight="1" ht="12.75">
      <c r="A901" s="3"/>
      <c r="B901" s="5"/>
      <c r="C901" s="7"/>
      <c r="D901" s="6"/>
      <c r="E901" s="6"/>
      <c r="F901" s="7"/>
      <c r="G901" s="6"/>
      <c r="H901" s="6"/>
      <c r="I901" s="6"/>
      <c r="J901" s="6"/>
      <c r="K901" s="5"/>
      <c r="L901" s="7"/>
      <c r="M901" s="6"/>
      <c r="N901" s="6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x14ac:dyDescent="0.25" r="902" customHeight="1" ht="12.75">
      <c r="A902" s="3"/>
      <c r="B902" s="5"/>
      <c r="C902" s="7"/>
      <c r="D902" s="6"/>
      <c r="E902" s="6"/>
      <c r="F902" s="7"/>
      <c r="G902" s="6"/>
      <c r="H902" s="6"/>
      <c r="I902" s="6"/>
      <c r="J902" s="6"/>
      <c r="K902" s="5"/>
      <c r="L902" s="7"/>
      <c r="M902" s="6"/>
      <c r="N902" s="6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x14ac:dyDescent="0.25" r="903" customHeight="1" ht="12.75">
      <c r="A903" s="3"/>
      <c r="B903" s="5"/>
      <c r="C903" s="7"/>
      <c r="D903" s="6"/>
      <c r="E903" s="6"/>
      <c r="F903" s="7"/>
      <c r="G903" s="6"/>
      <c r="H903" s="6"/>
      <c r="I903" s="6"/>
      <c r="J903" s="6"/>
      <c r="K903" s="5"/>
      <c r="L903" s="7"/>
      <c r="M903" s="6"/>
      <c r="N903" s="6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x14ac:dyDescent="0.25" r="904" customHeight="1" ht="12.75">
      <c r="A904" s="3"/>
      <c r="B904" s="5"/>
      <c r="C904" s="7"/>
      <c r="D904" s="6"/>
      <c r="E904" s="6"/>
      <c r="F904" s="7"/>
      <c r="G904" s="6"/>
      <c r="H904" s="6"/>
      <c r="I904" s="6"/>
      <c r="J904" s="6"/>
      <c r="K904" s="5"/>
      <c r="L904" s="7"/>
      <c r="M904" s="6"/>
      <c r="N904" s="6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x14ac:dyDescent="0.25" r="905" customHeight="1" ht="12.75">
      <c r="A905" s="3"/>
      <c r="B905" s="5"/>
      <c r="C905" s="7"/>
      <c r="D905" s="6"/>
      <c r="E905" s="6"/>
      <c r="F905" s="7"/>
      <c r="G905" s="6"/>
      <c r="H905" s="6"/>
      <c r="I905" s="6"/>
      <c r="J905" s="6"/>
      <c r="K905" s="5"/>
      <c r="L905" s="7"/>
      <c r="M905" s="6"/>
      <c r="N905" s="6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x14ac:dyDescent="0.25" r="906" customHeight="1" ht="12.75">
      <c r="A906" s="3"/>
      <c r="B906" s="5"/>
      <c r="C906" s="7"/>
      <c r="D906" s="6"/>
      <c r="E906" s="6"/>
      <c r="F906" s="7"/>
      <c r="G906" s="6"/>
      <c r="H906" s="6"/>
      <c r="I906" s="6"/>
      <c r="J906" s="6"/>
      <c r="K906" s="5"/>
      <c r="L906" s="7"/>
      <c r="M906" s="6"/>
      <c r="N906" s="6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x14ac:dyDescent="0.25" r="907" customHeight="1" ht="12.75">
      <c r="A907" s="3"/>
      <c r="B907" s="5"/>
      <c r="C907" s="7"/>
      <c r="D907" s="6"/>
      <c r="E907" s="6"/>
      <c r="F907" s="7"/>
      <c r="G907" s="6"/>
      <c r="H907" s="6"/>
      <c r="I907" s="6"/>
      <c r="J907" s="6"/>
      <c r="K907" s="5"/>
      <c r="L907" s="7"/>
      <c r="M907" s="6"/>
      <c r="N907" s="6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x14ac:dyDescent="0.25" r="908" customHeight="1" ht="12.75">
      <c r="A908" s="3"/>
      <c r="B908" s="5"/>
      <c r="C908" s="7"/>
      <c r="D908" s="6"/>
      <c r="E908" s="6"/>
      <c r="F908" s="7"/>
      <c r="G908" s="6"/>
      <c r="H908" s="6"/>
      <c r="I908" s="6"/>
      <c r="J908" s="6"/>
      <c r="K908" s="5"/>
      <c r="L908" s="7"/>
      <c r="M908" s="6"/>
      <c r="N908" s="6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x14ac:dyDescent="0.25" r="909" customHeight="1" ht="12.75">
      <c r="A909" s="3"/>
      <c r="B909" s="5"/>
      <c r="C909" s="7"/>
      <c r="D909" s="6"/>
      <c r="E909" s="6"/>
      <c r="F909" s="7"/>
      <c r="G909" s="6"/>
      <c r="H909" s="6"/>
      <c r="I909" s="6"/>
      <c r="J909" s="6"/>
      <c r="K909" s="5"/>
      <c r="L909" s="7"/>
      <c r="M909" s="6"/>
      <c r="N909" s="6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x14ac:dyDescent="0.25" r="910" customHeight="1" ht="12.75">
      <c r="A910" s="3"/>
      <c r="B910" s="5"/>
      <c r="C910" s="7"/>
      <c r="D910" s="6"/>
      <c r="E910" s="6"/>
      <c r="F910" s="7"/>
      <c r="G910" s="6"/>
      <c r="H910" s="6"/>
      <c r="I910" s="6"/>
      <c r="J910" s="6"/>
      <c r="K910" s="5"/>
      <c r="L910" s="7"/>
      <c r="M910" s="6"/>
      <c r="N910" s="6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x14ac:dyDescent="0.25" r="911" customHeight="1" ht="12.75">
      <c r="A911" s="3"/>
      <c r="B911" s="5"/>
      <c r="C911" s="7"/>
      <c r="D911" s="6"/>
      <c r="E911" s="6"/>
      <c r="F911" s="7"/>
      <c r="G911" s="6"/>
      <c r="H911" s="6"/>
      <c r="I911" s="6"/>
      <c r="J911" s="6"/>
      <c r="K911" s="5"/>
      <c r="L911" s="7"/>
      <c r="M911" s="6"/>
      <c r="N911" s="6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x14ac:dyDescent="0.25" r="912" customHeight="1" ht="12.75">
      <c r="A912" s="3"/>
      <c r="B912" s="5"/>
      <c r="C912" s="7"/>
      <c r="D912" s="6"/>
      <c r="E912" s="6"/>
      <c r="F912" s="7"/>
      <c r="G912" s="6"/>
      <c r="H912" s="6"/>
      <c r="I912" s="6"/>
      <c r="J912" s="6"/>
      <c r="K912" s="5"/>
      <c r="L912" s="7"/>
      <c r="M912" s="6"/>
      <c r="N912" s="6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x14ac:dyDescent="0.25" r="913" customHeight="1" ht="12.75">
      <c r="A913" s="3"/>
      <c r="B913" s="5"/>
      <c r="C913" s="7"/>
      <c r="D913" s="6"/>
      <c r="E913" s="6"/>
      <c r="F913" s="7"/>
      <c r="G913" s="6"/>
      <c r="H913" s="6"/>
      <c r="I913" s="6"/>
      <c r="J913" s="6"/>
      <c r="K913" s="5"/>
      <c r="L913" s="7"/>
      <c r="M913" s="6"/>
      <c r="N913" s="6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x14ac:dyDescent="0.25" r="914" customHeight="1" ht="12.75">
      <c r="A914" s="3"/>
      <c r="B914" s="5"/>
      <c r="C914" s="7"/>
      <c r="D914" s="6"/>
      <c r="E914" s="6"/>
      <c r="F914" s="7"/>
      <c r="G914" s="6"/>
      <c r="H914" s="6"/>
      <c r="I914" s="6"/>
      <c r="J914" s="6"/>
      <c r="K914" s="5"/>
      <c r="L914" s="7"/>
      <c r="M914" s="6"/>
      <c r="N914" s="6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x14ac:dyDescent="0.25" r="915" customHeight="1" ht="12.75">
      <c r="A915" s="3"/>
      <c r="B915" s="5"/>
      <c r="C915" s="7"/>
      <c r="D915" s="6"/>
      <c r="E915" s="6"/>
      <c r="F915" s="7"/>
      <c r="G915" s="6"/>
      <c r="H915" s="6"/>
      <c r="I915" s="6"/>
      <c r="J915" s="6"/>
      <c r="K915" s="5"/>
      <c r="L915" s="7"/>
      <c r="M915" s="6"/>
      <c r="N915" s="6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x14ac:dyDescent="0.25" r="916" customHeight="1" ht="12.75">
      <c r="A916" s="3"/>
      <c r="B916" s="5"/>
      <c r="C916" s="7"/>
      <c r="D916" s="6"/>
      <c r="E916" s="6"/>
      <c r="F916" s="7"/>
      <c r="G916" s="6"/>
      <c r="H916" s="6"/>
      <c r="I916" s="6"/>
      <c r="J916" s="6"/>
      <c r="K916" s="5"/>
      <c r="L916" s="7"/>
      <c r="M916" s="6"/>
      <c r="N916" s="6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x14ac:dyDescent="0.25" r="917" customHeight="1" ht="12.75">
      <c r="A917" s="3"/>
      <c r="B917" s="5"/>
      <c r="C917" s="7"/>
      <c r="D917" s="6"/>
      <c r="E917" s="6"/>
      <c r="F917" s="7"/>
      <c r="G917" s="6"/>
      <c r="H917" s="6"/>
      <c r="I917" s="6"/>
      <c r="J917" s="6"/>
      <c r="K917" s="5"/>
      <c r="L917" s="7"/>
      <c r="M917" s="6"/>
      <c r="N917" s="6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x14ac:dyDescent="0.25" r="918" customHeight="1" ht="12.75">
      <c r="A918" s="3"/>
      <c r="B918" s="5"/>
      <c r="C918" s="7"/>
      <c r="D918" s="6"/>
      <c r="E918" s="6"/>
      <c r="F918" s="7"/>
      <c r="G918" s="6"/>
      <c r="H918" s="6"/>
      <c r="I918" s="6"/>
      <c r="J918" s="6"/>
      <c r="K918" s="5"/>
      <c r="L918" s="7"/>
      <c r="M918" s="6"/>
      <c r="N918" s="6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x14ac:dyDescent="0.25" r="919" customHeight="1" ht="12.75">
      <c r="A919" s="3"/>
      <c r="B919" s="5"/>
      <c r="C919" s="7"/>
      <c r="D919" s="6"/>
      <c r="E919" s="6"/>
      <c r="F919" s="7"/>
      <c r="G919" s="6"/>
      <c r="H919" s="6"/>
      <c r="I919" s="6"/>
      <c r="J919" s="6"/>
      <c r="K919" s="5"/>
      <c r="L919" s="7"/>
      <c r="M919" s="6"/>
      <c r="N919" s="6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x14ac:dyDescent="0.25" r="920" customHeight="1" ht="12.75">
      <c r="A920" s="3"/>
      <c r="B920" s="5"/>
      <c r="C920" s="7"/>
      <c r="D920" s="6"/>
      <c r="E920" s="6"/>
      <c r="F920" s="7"/>
      <c r="G920" s="6"/>
      <c r="H920" s="6"/>
      <c r="I920" s="6"/>
      <c r="J920" s="6"/>
      <c r="K920" s="5"/>
      <c r="L920" s="7"/>
      <c r="M920" s="6"/>
      <c r="N920" s="6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x14ac:dyDescent="0.25" r="921" customHeight="1" ht="12.75">
      <c r="A921" s="3"/>
      <c r="B921" s="5"/>
      <c r="C921" s="7"/>
      <c r="D921" s="6"/>
      <c r="E921" s="6"/>
      <c r="F921" s="7"/>
      <c r="G921" s="6"/>
      <c r="H921" s="6"/>
      <c r="I921" s="6"/>
      <c r="J921" s="6"/>
      <c r="K921" s="5"/>
      <c r="L921" s="7"/>
      <c r="M921" s="6"/>
      <c r="N921" s="6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x14ac:dyDescent="0.25" r="922" customHeight="1" ht="12.75">
      <c r="A922" s="3"/>
      <c r="B922" s="5"/>
      <c r="C922" s="7"/>
      <c r="D922" s="6"/>
      <c r="E922" s="6"/>
      <c r="F922" s="7"/>
      <c r="G922" s="6"/>
      <c r="H922" s="6"/>
      <c r="I922" s="6"/>
      <c r="J922" s="6"/>
      <c r="K922" s="5"/>
      <c r="L922" s="7"/>
      <c r="M922" s="6"/>
      <c r="N922" s="6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x14ac:dyDescent="0.25" r="923" customHeight="1" ht="12.75">
      <c r="A923" s="3"/>
      <c r="B923" s="5"/>
      <c r="C923" s="7"/>
      <c r="D923" s="6"/>
      <c r="E923" s="6"/>
      <c r="F923" s="7"/>
      <c r="G923" s="6"/>
      <c r="H923" s="6"/>
      <c r="I923" s="6"/>
      <c r="J923" s="6"/>
      <c r="K923" s="5"/>
      <c r="L923" s="7"/>
      <c r="M923" s="6"/>
      <c r="N923" s="6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x14ac:dyDescent="0.25" r="924" customHeight="1" ht="12.75">
      <c r="A924" s="3"/>
      <c r="B924" s="5"/>
      <c r="C924" s="7"/>
      <c r="D924" s="6"/>
      <c r="E924" s="6"/>
      <c r="F924" s="7"/>
      <c r="G924" s="6"/>
      <c r="H924" s="6"/>
      <c r="I924" s="6"/>
      <c r="J924" s="6"/>
      <c r="K924" s="5"/>
      <c r="L924" s="7"/>
      <c r="M924" s="6"/>
      <c r="N924" s="6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x14ac:dyDescent="0.25" r="925" customHeight="1" ht="12.75">
      <c r="A925" s="3"/>
      <c r="B925" s="5"/>
      <c r="C925" s="7"/>
      <c r="D925" s="6"/>
      <c r="E925" s="6"/>
      <c r="F925" s="7"/>
      <c r="G925" s="6"/>
      <c r="H925" s="6"/>
      <c r="I925" s="6"/>
      <c r="J925" s="6"/>
      <c r="K925" s="5"/>
      <c r="L925" s="7"/>
      <c r="M925" s="6"/>
      <c r="N925" s="6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x14ac:dyDescent="0.25" r="926" customHeight="1" ht="12.75">
      <c r="A926" s="3"/>
      <c r="B926" s="5"/>
      <c r="C926" s="7"/>
      <c r="D926" s="6"/>
      <c r="E926" s="6"/>
      <c r="F926" s="7"/>
      <c r="G926" s="6"/>
      <c r="H926" s="6"/>
      <c r="I926" s="6"/>
      <c r="J926" s="6"/>
      <c r="K926" s="5"/>
      <c r="L926" s="7"/>
      <c r="M926" s="6"/>
      <c r="N926" s="6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x14ac:dyDescent="0.25" r="927" customHeight="1" ht="12.75">
      <c r="A927" s="3"/>
      <c r="B927" s="5"/>
      <c r="C927" s="7"/>
      <c r="D927" s="6"/>
      <c r="E927" s="6"/>
      <c r="F927" s="7"/>
      <c r="G927" s="6"/>
      <c r="H927" s="6"/>
      <c r="I927" s="6"/>
      <c r="J927" s="6"/>
      <c r="K927" s="5"/>
      <c r="L927" s="7"/>
      <c r="M927" s="6"/>
      <c r="N927" s="6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x14ac:dyDescent="0.25" r="928" customHeight="1" ht="12.75">
      <c r="A928" s="3"/>
      <c r="B928" s="5"/>
      <c r="C928" s="7"/>
      <c r="D928" s="6"/>
      <c r="E928" s="6"/>
      <c r="F928" s="7"/>
      <c r="G928" s="6"/>
      <c r="H928" s="6"/>
      <c r="I928" s="6"/>
      <c r="J928" s="6"/>
      <c r="K928" s="5"/>
      <c r="L928" s="7"/>
      <c r="M928" s="6"/>
      <c r="N928" s="6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x14ac:dyDescent="0.25" r="929" customHeight="1" ht="12.75">
      <c r="A929" s="3"/>
      <c r="B929" s="5"/>
      <c r="C929" s="7"/>
      <c r="D929" s="6"/>
      <c r="E929" s="6"/>
      <c r="F929" s="7"/>
      <c r="G929" s="6"/>
      <c r="H929" s="6"/>
      <c r="I929" s="6"/>
      <c r="J929" s="6"/>
      <c r="K929" s="5"/>
      <c r="L929" s="7"/>
      <c r="M929" s="6"/>
      <c r="N929" s="6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x14ac:dyDescent="0.25" r="930" customHeight="1" ht="12.75">
      <c r="A930" s="3"/>
      <c r="B930" s="5"/>
      <c r="C930" s="7"/>
      <c r="D930" s="6"/>
      <c r="E930" s="6"/>
      <c r="F930" s="7"/>
      <c r="G930" s="6"/>
      <c r="H930" s="6"/>
      <c r="I930" s="6"/>
      <c r="J930" s="6"/>
      <c r="K930" s="5"/>
      <c r="L930" s="7"/>
      <c r="M930" s="6"/>
      <c r="N930" s="6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x14ac:dyDescent="0.25" r="931" customHeight="1" ht="12.75">
      <c r="A931" s="3"/>
      <c r="B931" s="5"/>
      <c r="C931" s="7"/>
      <c r="D931" s="6"/>
      <c r="E931" s="6"/>
      <c r="F931" s="7"/>
      <c r="G931" s="6"/>
      <c r="H931" s="6"/>
      <c r="I931" s="6"/>
      <c r="J931" s="6"/>
      <c r="K931" s="5"/>
      <c r="L931" s="7"/>
      <c r="M931" s="6"/>
      <c r="N931" s="6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x14ac:dyDescent="0.25" r="932" customHeight="1" ht="12.75">
      <c r="A932" s="3"/>
      <c r="B932" s="5"/>
      <c r="C932" s="7"/>
      <c r="D932" s="6"/>
      <c r="E932" s="6"/>
      <c r="F932" s="7"/>
      <c r="G932" s="6"/>
      <c r="H932" s="6"/>
      <c r="I932" s="6"/>
      <c r="J932" s="6"/>
      <c r="K932" s="5"/>
      <c r="L932" s="7"/>
      <c r="M932" s="6"/>
      <c r="N932" s="6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x14ac:dyDescent="0.25" r="933" customHeight="1" ht="12.75">
      <c r="A933" s="3"/>
      <c r="B933" s="5"/>
      <c r="C933" s="7"/>
      <c r="D933" s="6"/>
      <c r="E933" s="6"/>
      <c r="F933" s="7"/>
      <c r="G933" s="6"/>
      <c r="H933" s="6"/>
      <c r="I933" s="6"/>
      <c r="J933" s="6"/>
      <c r="K933" s="5"/>
      <c r="L933" s="7"/>
      <c r="M933" s="6"/>
      <c r="N933" s="6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x14ac:dyDescent="0.25" r="934" customHeight="1" ht="12.75">
      <c r="A934" s="3"/>
      <c r="B934" s="5"/>
      <c r="C934" s="7"/>
      <c r="D934" s="6"/>
      <c r="E934" s="6"/>
      <c r="F934" s="7"/>
      <c r="G934" s="6"/>
      <c r="H934" s="6"/>
      <c r="I934" s="6"/>
      <c r="J934" s="6"/>
      <c r="K934" s="5"/>
      <c r="L934" s="7"/>
      <c r="M934" s="6"/>
      <c r="N934" s="6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x14ac:dyDescent="0.25" r="935" customHeight="1" ht="12.75">
      <c r="A935" s="3"/>
      <c r="B935" s="5"/>
      <c r="C935" s="7"/>
      <c r="D935" s="6"/>
      <c r="E935" s="6"/>
      <c r="F935" s="7"/>
      <c r="G935" s="6"/>
      <c r="H935" s="6"/>
      <c r="I935" s="6"/>
      <c r="J935" s="6"/>
      <c r="K935" s="5"/>
      <c r="L935" s="7"/>
      <c r="M935" s="6"/>
      <c r="N935" s="6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x14ac:dyDescent="0.25" r="936" customHeight="1" ht="12.75">
      <c r="A936" s="3"/>
      <c r="B936" s="5"/>
      <c r="C936" s="7"/>
      <c r="D936" s="6"/>
      <c r="E936" s="6"/>
      <c r="F936" s="7"/>
      <c r="G936" s="6"/>
      <c r="H936" s="6"/>
      <c r="I936" s="6"/>
      <c r="J936" s="6"/>
      <c r="K936" s="5"/>
      <c r="L936" s="7"/>
      <c r="M936" s="6"/>
      <c r="N936" s="6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x14ac:dyDescent="0.25" r="937" customHeight="1" ht="12.75">
      <c r="A937" s="3"/>
      <c r="B937" s="5"/>
      <c r="C937" s="7"/>
      <c r="D937" s="6"/>
      <c r="E937" s="6"/>
      <c r="F937" s="7"/>
      <c r="G937" s="6"/>
      <c r="H937" s="6"/>
      <c r="I937" s="6"/>
      <c r="J937" s="6"/>
      <c r="K937" s="5"/>
      <c r="L937" s="7"/>
      <c r="M937" s="6"/>
      <c r="N937" s="6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x14ac:dyDescent="0.25" r="938" customHeight="1" ht="12.75">
      <c r="A938" s="3"/>
      <c r="B938" s="5"/>
      <c r="C938" s="7"/>
      <c r="D938" s="6"/>
      <c r="E938" s="6"/>
      <c r="F938" s="7"/>
      <c r="G938" s="6"/>
      <c r="H938" s="6"/>
      <c r="I938" s="6"/>
      <c r="J938" s="6"/>
      <c r="K938" s="5"/>
      <c r="L938" s="7"/>
      <c r="M938" s="6"/>
      <c r="N938" s="6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x14ac:dyDescent="0.25" r="939" customHeight="1" ht="12.75">
      <c r="A939" s="3"/>
      <c r="B939" s="5"/>
      <c r="C939" s="7"/>
      <c r="D939" s="6"/>
      <c r="E939" s="6"/>
      <c r="F939" s="7"/>
      <c r="G939" s="6"/>
      <c r="H939" s="6"/>
      <c r="I939" s="6"/>
      <c r="J939" s="6"/>
      <c r="K939" s="5"/>
      <c r="L939" s="7"/>
      <c r="M939" s="6"/>
      <c r="N939" s="6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x14ac:dyDescent="0.25" r="940" customHeight="1" ht="12.75">
      <c r="A940" s="3"/>
      <c r="B940" s="5"/>
      <c r="C940" s="7"/>
      <c r="D940" s="6"/>
      <c r="E940" s="6"/>
      <c r="F940" s="7"/>
      <c r="G940" s="6"/>
      <c r="H940" s="6"/>
      <c r="I940" s="6"/>
      <c r="J940" s="6"/>
      <c r="K940" s="5"/>
      <c r="L940" s="7"/>
      <c r="M940" s="6"/>
      <c r="N940" s="6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x14ac:dyDescent="0.25" r="941" customHeight="1" ht="12.75">
      <c r="A941" s="3"/>
      <c r="B941" s="5"/>
      <c r="C941" s="7"/>
      <c r="D941" s="6"/>
      <c r="E941" s="6"/>
      <c r="F941" s="7"/>
      <c r="G941" s="6"/>
      <c r="H941" s="6"/>
      <c r="I941" s="6"/>
      <c r="J941" s="6"/>
      <c r="K941" s="5"/>
      <c r="L941" s="7"/>
      <c r="M941" s="6"/>
      <c r="N941" s="6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x14ac:dyDescent="0.25" r="942" customHeight="1" ht="12.75">
      <c r="A942" s="3"/>
      <c r="B942" s="5"/>
      <c r="C942" s="7"/>
      <c r="D942" s="6"/>
      <c r="E942" s="6"/>
      <c r="F942" s="7"/>
      <c r="G942" s="6"/>
      <c r="H942" s="6"/>
      <c r="I942" s="6"/>
      <c r="J942" s="6"/>
      <c r="K942" s="5"/>
      <c r="L942" s="7"/>
      <c r="M942" s="6"/>
      <c r="N942" s="6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x14ac:dyDescent="0.25" r="943" customHeight="1" ht="12.75">
      <c r="A943" s="3"/>
      <c r="B943" s="5"/>
      <c r="C943" s="7"/>
      <c r="D943" s="6"/>
      <c r="E943" s="6"/>
      <c r="F943" s="7"/>
      <c r="G943" s="6"/>
      <c r="H943" s="6"/>
      <c r="I943" s="6"/>
      <c r="J943" s="6"/>
      <c r="K943" s="5"/>
      <c r="L943" s="7"/>
      <c r="M943" s="6"/>
      <c r="N943" s="6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x14ac:dyDescent="0.25" r="944" customHeight="1" ht="12.75">
      <c r="A944" s="3"/>
      <c r="B944" s="5"/>
      <c r="C944" s="7"/>
      <c r="D944" s="6"/>
      <c r="E944" s="6"/>
      <c r="F944" s="7"/>
      <c r="G944" s="6"/>
      <c r="H944" s="6"/>
      <c r="I944" s="6"/>
      <c r="J944" s="6"/>
      <c r="K944" s="5"/>
      <c r="L944" s="7"/>
      <c r="M944" s="6"/>
      <c r="N944" s="6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x14ac:dyDescent="0.25" r="945" customHeight="1" ht="12.75">
      <c r="A945" s="3"/>
      <c r="B945" s="5"/>
      <c r="C945" s="7"/>
      <c r="D945" s="6"/>
      <c r="E945" s="6"/>
      <c r="F945" s="7"/>
      <c r="G945" s="6"/>
      <c r="H945" s="6"/>
      <c r="I945" s="6"/>
      <c r="J945" s="6"/>
      <c r="K945" s="5"/>
      <c r="L945" s="7"/>
      <c r="M945" s="6"/>
      <c r="N945" s="6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x14ac:dyDescent="0.25" r="946" customHeight="1" ht="12.75">
      <c r="A946" s="3"/>
      <c r="B946" s="5"/>
      <c r="C946" s="7"/>
      <c r="D946" s="6"/>
      <c r="E946" s="6"/>
      <c r="F946" s="7"/>
      <c r="G946" s="6"/>
      <c r="H946" s="6"/>
      <c r="I946" s="6"/>
      <c r="J946" s="6"/>
      <c r="K946" s="5"/>
      <c r="L946" s="7"/>
      <c r="M946" s="6"/>
      <c r="N946" s="6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x14ac:dyDescent="0.25" r="947" customHeight="1" ht="12.75">
      <c r="A947" s="3"/>
      <c r="B947" s="5"/>
      <c r="C947" s="7"/>
      <c r="D947" s="6"/>
      <c r="E947" s="6"/>
      <c r="F947" s="7"/>
      <c r="G947" s="6"/>
      <c r="H947" s="6"/>
      <c r="I947" s="6"/>
      <c r="J947" s="6"/>
      <c r="K947" s="5"/>
      <c r="L947" s="7"/>
      <c r="M947" s="6"/>
      <c r="N947" s="6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x14ac:dyDescent="0.25" r="948" customHeight="1" ht="12.75">
      <c r="A948" s="3"/>
      <c r="B948" s="5"/>
      <c r="C948" s="7"/>
      <c r="D948" s="6"/>
      <c r="E948" s="6"/>
      <c r="F948" s="7"/>
      <c r="G948" s="6"/>
      <c r="H948" s="6"/>
      <c r="I948" s="6"/>
      <c r="J948" s="6"/>
      <c r="K948" s="5"/>
      <c r="L948" s="7"/>
      <c r="M948" s="6"/>
      <c r="N948" s="6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x14ac:dyDescent="0.25" r="949" customHeight="1" ht="12.75">
      <c r="A949" s="3"/>
      <c r="B949" s="5"/>
      <c r="C949" s="7"/>
      <c r="D949" s="6"/>
      <c r="E949" s="6"/>
      <c r="F949" s="7"/>
      <c r="G949" s="6"/>
      <c r="H949" s="6"/>
      <c r="I949" s="6"/>
      <c r="J949" s="6"/>
      <c r="K949" s="5"/>
      <c r="L949" s="7"/>
      <c r="M949" s="6"/>
      <c r="N949" s="6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x14ac:dyDescent="0.25" r="950" customHeight="1" ht="12.75">
      <c r="A950" s="3"/>
      <c r="B950" s="5"/>
      <c r="C950" s="7"/>
      <c r="D950" s="6"/>
      <c r="E950" s="6"/>
      <c r="F950" s="7"/>
      <c r="G950" s="6"/>
      <c r="H950" s="6"/>
      <c r="I950" s="6"/>
      <c r="J950" s="6"/>
      <c r="K950" s="5"/>
      <c r="L950" s="7"/>
      <c r="M950" s="6"/>
      <c r="N950" s="6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x14ac:dyDescent="0.25" r="951" customHeight="1" ht="12.75">
      <c r="A951" s="3"/>
      <c r="B951" s="5"/>
      <c r="C951" s="7"/>
      <c r="D951" s="6"/>
      <c r="E951" s="6"/>
      <c r="F951" s="7"/>
      <c r="G951" s="6"/>
      <c r="H951" s="6"/>
      <c r="I951" s="6"/>
      <c r="J951" s="6"/>
      <c r="K951" s="5"/>
      <c r="L951" s="7"/>
      <c r="M951" s="6"/>
      <c r="N951" s="6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x14ac:dyDescent="0.25" r="952" customHeight="1" ht="12.75">
      <c r="A952" s="3"/>
      <c r="B952" s="5"/>
      <c r="C952" s="7"/>
      <c r="D952" s="6"/>
      <c r="E952" s="6"/>
      <c r="F952" s="7"/>
      <c r="G952" s="6"/>
      <c r="H952" s="6"/>
      <c r="I952" s="6"/>
      <c r="J952" s="6"/>
      <c r="K952" s="5"/>
      <c r="L952" s="7"/>
      <c r="M952" s="6"/>
      <c r="N952" s="6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x14ac:dyDescent="0.25" r="953" customHeight="1" ht="12.75">
      <c r="A953" s="3"/>
      <c r="B953" s="5"/>
      <c r="C953" s="7"/>
      <c r="D953" s="6"/>
      <c r="E953" s="6"/>
      <c r="F953" s="7"/>
      <c r="G953" s="6"/>
      <c r="H953" s="6"/>
      <c r="I953" s="6"/>
      <c r="J953" s="6"/>
      <c r="K953" s="5"/>
      <c r="L953" s="7"/>
      <c r="M953" s="6"/>
      <c r="N953" s="6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x14ac:dyDescent="0.25" r="954" customHeight="1" ht="12.75">
      <c r="A954" s="3"/>
      <c r="B954" s="5"/>
      <c r="C954" s="7"/>
      <c r="D954" s="6"/>
      <c r="E954" s="6"/>
      <c r="F954" s="7"/>
      <c r="G954" s="6"/>
      <c r="H954" s="6"/>
      <c r="I954" s="6"/>
      <c r="J954" s="6"/>
      <c r="K954" s="5"/>
      <c r="L954" s="7"/>
      <c r="M954" s="6"/>
      <c r="N954" s="6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x14ac:dyDescent="0.25" r="955" customHeight="1" ht="12.75">
      <c r="A955" s="3"/>
      <c r="B955" s="5"/>
      <c r="C955" s="7"/>
      <c r="D955" s="6"/>
      <c r="E955" s="6"/>
      <c r="F955" s="7"/>
      <c r="G955" s="6"/>
      <c r="H955" s="6"/>
      <c r="I955" s="6"/>
      <c r="J955" s="6"/>
      <c r="K955" s="5"/>
      <c r="L955" s="7"/>
      <c r="M955" s="6"/>
      <c r="N955" s="6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x14ac:dyDescent="0.25" r="956" customHeight="1" ht="12.75">
      <c r="A956" s="3"/>
      <c r="B956" s="5"/>
      <c r="C956" s="7"/>
      <c r="D956" s="6"/>
      <c r="E956" s="6"/>
      <c r="F956" s="7"/>
      <c r="G956" s="6"/>
      <c r="H956" s="6"/>
      <c r="I956" s="6"/>
      <c r="J956" s="6"/>
      <c r="K956" s="5"/>
      <c r="L956" s="7"/>
      <c r="M956" s="6"/>
      <c r="N956" s="6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x14ac:dyDescent="0.25" r="957" customHeight="1" ht="12.75">
      <c r="A957" s="3"/>
      <c r="B957" s="5"/>
      <c r="C957" s="7"/>
      <c r="D957" s="6"/>
      <c r="E957" s="6"/>
      <c r="F957" s="7"/>
      <c r="G957" s="6"/>
      <c r="H957" s="6"/>
      <c r="I957" s="6"/>
      <c r="J957" s="6"/>
      <c r="K957" s="5"/>
      <c r="L957" s="7"/>
      <c r="M957" s="6"/>
      <c r="N957" s="6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x14ac:dyDescent="0.25" r="958" customHeight="1" ht="12.75">
      <c r="A958" s="3"/>
      <c r="B958" s="5"/>
      <c r="C958" s="7"/>
      <c r="D958" s="6"/>
      <c r="E958" s="6"/>
      <c r="F958" s="7"/>
      <c r="G958" s="6"/>
      <c r="H958" s="6"/>
      <c r="I958" s="6"/>
      <c r="J958" s="6"/>
      <c r="K958" s="5"/>
      <c r="L958" s="7"/>
      <c r="M958" s="6"/>
      <c r="N958" s="6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x14ac:dyDescent="0.25" r="959" customHeight="1" ht="12.75">
      <c r="A959" s="3"/>
      <c r="B959" s="5"/>
      <c r="C959" s="7"/>
      <c r="D959" s="6"/>
      <c r="E959" s="6"/>
      <c r="F959" s="7"/>
      <c r="G959" s="6"/>
      <c r="H959" s="6"/>
      <c r="I959" s="6"/>
      <c r="J959" s="6"/>
      <c r="K959" s="5"/>
      <c r="L959" s="7"/>
      <c r="M959" s="6"/>
      <c r="N959" s="6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x14ac:dyDescent="0.25" r="960" customHeight="1" ht="12.75">
      <c r="A960" s="3"/>
      <c r="B960" s="5"/>
      <c r="C960" s="7"/>
      <c r="D960" s="6"/>
      <c r="E960" s="6"/>
      <c r="F960" s="7"/>
      <c r="G960" s="6"/>
      <c r="H960" s="6"/>
      <c r="I960" s="6"/>
      <c r="J960" s="6"/>
      <c r="K960" s="5"/>
      <c r="L960" s="7"/>
      <c r="M960" s="6"/>
      <c r="N960" s="6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x14ac:dyDescent="0.25" r="961" customHeight="1" ht="12.75">
      <c r="A961" s="3"/>
      <c r="B961" s="5"/>
      <c r="C961" s="7"/>
      <c r="D961" s="6"/>
      <c r="E961" s="6"/>
      <c r="F961" s="7"/>
      <c r="G961" s="6"/>
      <c r="H961" s="6"/>
      <c r="I961" s="6"/>
      <c r="J961" s="6"/>
      <c r="K961" s="5"/>
      <c r="L961" s="7"/>
      <c r="M961" s="6"/>
      <c r="N961" s="6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x14ac:dyDescent="0.25" r="962" customHeight="1" ht="12.75">
      <c r="A962" s="3"/>
      <c r="B962" s="5"/>
      <c r="C962" s="7"/>
      <c r="D962" s="6"/>
      <c r="E962" s="6"/>
      <c r="F962" s="7"/>
      <c r="G962" s="6"/>
      <c r="H962" s="6"/>
      <c r="I962" s="6"/>
      <c r="J962" s="6"/>
      <c r="K962" s="5"/>
      <c r="L962" s="7"/>
      <c r="M962" s="6"/>
      <c r="N962" s="6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x14ac:dyDescent="0.25" r="963" customHeight="1" ht="12.75">
      <c r="A963" s="3"/>
      <c r="B963" s="5"/>
      <c r="C963" s="7"/>
      <c r="D963" s="6"/>
      <c r="E963" s="6"/>
      <c r="F963" s="7"/>
      <c r="G963" s="6"/>
      <c r="H963" s="6"/>
      <c r="I963" s="6"/>
      <c r="J963" s="6"/>
      <c r="K963" s="5"/>
      <c r="L963" s="7"/>
      <c r="M963" s="6"/>
      <c r="N963" s="6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x14ac:dyDescent="0.25" r="964" customHeight="1" ht="12.75">
      <c r="A964" s="3"/>
      <c r="B964" s="5"/>
      <c r="C964" s="7"/>
      <c r="D964" s="6"/>
      <c r="E964" s="6"/>
      <c r="F964" s="7"/>
      <c r="G964" s="6"/>
      <c r="H964" s="6"/>
      <c r="I964" s="6"/>
      <c r="J964" s="6"/>
      <c r="K964" s="5"/>
      <c r="L964" s="7"/>
      <c r="M964" s="6"/>
      <c r="N964" s="6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x14ac:dyDescent="0.25" r="965" customHeight="1" ht="12.75">
      <c r="A965" s="3"/>
      <c r="B965" s="5"/>
      <c r="C965" s="7"/>
      <c r="D965" s="6"/>
      <c r="E965" s="6"/>
      <c r="F965" s="7"/>
      <c r="G965" s="6"/>
      <c r="H965" s="6"/>
      <c r="I965" s="6"/>
      <c r="J965" s="6"/>
      <c r="K965" s="5"/>
      <c r="L965" s="7"/>
      <c r="M965" s="6"/>
      <c r="N965" s="6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x14ac:dyDescent="0.25" r="966" customHeight="1" ht="12.75">
      <c r="A966" s="3"/>
      <c r="B966" s="5"/>
      <c r="C966" s="7"/>
      <c r="D966" s="6"/>
      <c r="E966" s="6"/>
      <c r="F966" s="7"/>
      <c r="G966" s="6"/>
      <c r="H966" s="6"/>
      <c r="I966" s="6"/>
      <c r="J966" s="6"/>
      <c r="K966" s="5"/>
      <c r="L966" s="7"/>
      <c r="M966" s="6"/>
      <c r="N966" s="6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x14ac:dyDescent="0.25" r="967" customHeight="1" ht="12.75">
      <c r="A967" s="3"/>
      <c r="B967" s="5"/>
      <c r="C967" s="7"/>
      <c r="D967" s="6"/>
      <c r="E967" s="6"/>
      <c r="F967" s="7"/>
      <c r="G967" s="6"/>
      <c r="H967" s="6"/>
      <c r="I967" s="6"/>
      <c r="J967" s="6"/>
      <c r="K967" s="5"/>
      <c r="L967" s="7"/>
      <c r="M967" s="6"/>
      <c r="N967" s="6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x14ac:dyDescent="0.25" r="968" customHeight="1" ht="12.75">
      <c r="A968" s="3"/>
      <c r="B968" s="5"/>
      <c r="C968" s="7"/>
      <c r="D968" s="6"/>
      <c r="E968" s="6"/>
      <c r="F968" s="7"/>
      <c r="G968" s="6"/>
      <c r="H968" s="6"/>
      <c r="I968" s="6"/>
      <c r="J968" s="6"/>
      <c r="K968" s="5"/>
      <c r="L968" s="7"/>
      <c r="M968" s="6"/>
      <c r="N968" s="6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x14ac:dyDescent="0.25" r="969" customHeight="1" ht="12.75">
      <c r="A969" s="3"/>
      <c r="B969" s="5"/>
      <c r="C969" s="7"/>
      <c r="D969" s="6"/>
      <c r="E969" s="6"/>
      <c r="F969" s="7"/>
      <c r="G969" s="6"/>
      <c r="H969" s="6"/>
      <c r="I969" s="6"/>
      <c r="J969" s="6"/>
      <c r="K969" s="5"/>
      <c r="L969" s="7"/>
      <c r="M969" s="6"/>
      <c r="N969" s="6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x14ac:dyDescent="0.25" r="970" customHeight="1" ht="12.75">
      <c r="A970" s="3"/>
      <c r="B970" s="5"/>
      <c r="C970" s="7"/>
      <c r="D970" s="6"/>
      <c r="E970" s="6"/>
      <c r="F970" s="7"/>
      <c r="G970" s="6"/>
      <c r="H970" s="6"/>
      <c r="I970" s="6"/>
      <c r="J970" s="6"/>
      <c r="K970" s="5"/>
      <c r="L970" s="7"/>
      <c r="M970" s="6"/>
      <c r="N970" s="6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x14ac:dyDescent="0.25" r="971" customHeight="1" ht="12.75">
      <c r="A971" s="3"/>
      <c r="B971" s="5"/>
      <c r="C971" s="7"/>
      <c r="D971" s="6"/>
      <c r="E971" s="6"/>
      <c r="F971" s="7"/>
      <c r="G971" s="6"/>
      <c r="H971" s="6"/>
      <c r="I971" s="6"/>
      <c r="J971" s="6"/>
      <c r="K971" s="5"/>
      <c r="L971" s="7"/>
      <c r="M971" s="6"/>
      <c r="N971" s="6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x14ac:dyDescent="0.25" r="972" customHeight="1" ht="12.75">
      <c r="A972" s="3"/>
      <c r="B972" s="5"/>
      <c r="C972" s="7"/>
      <c r="D972" s="6"/>
      <c r="E972" s="6"/>
      <c r="F972" s="7"/>
      <c r="G972" s="6"/>
      <c r="H972" s="6"/>
      <c r="I972" s="6"/>
      <c r="J972" s="6"/>
      <c r="K972" s="5"/>
      <c r="L972" s="7"/>
      <c r="M972" s="6"/>
      <c r="N972" s="6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x14ac:dyDescent="0.25" r="973" customHeight="1" ht="12.75">
      <c r="A973" s="3"/>
      <c r="B973" s="5"/>
      <c r="C973" s="7"/>
      <c r="D973" s="6"/>
      <c r="E973" s="6"/>
      <c r="F973" s="7"/>
      <c r="G973" s="6"/>
      <c r="H973" s="6"/>
      <c r="I973" s="6"/>
      <c r="J973" s="6"/>
      <c r="K973" s="5"/>
      <c r="L973" s="7"/>
      <c r="M973" s="6"/>
      <c r="N973" s="6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x14ac:dyDescent="0.25" r="974" customHeight="1" ht="12.75">
      <c r="A974" s="3"/>
      <c r="B974" s="5"/>
      <c r="C974" s="7"/>
      <c r="D974" s="6"/>
      <c r="E974" s="6"/>
      <c r="F974" s="7"/>
      <c r="G974" s="6"/>
      <c r="H974" s="6"/>
      <c r="I974" s="6"/>
      <c r="J974" s="6"/>
      <c r="K974" s="5"/>
      <c r="L974" s="7"/>
      <c r="M974" s="6"/>
      <c r="N974" s="6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x14ac:dyDescent="0.25" r="975" customHeight="1" ht="12.75">
      <c r="A975" s="3"/>
      <c r="B975" s="5"/>
      <c r="C975" s="7"/>
      <c r="D975" s="6"/>
      <c r="E975" s="6"/>
      <c r="F975" s="7"/>
      <c r="G975" s="6"/>
      <c r="H975" s="6"/>
      <c r="I975" s="6"/>
      <c r="J975" s="6"/>
      <c r="K975" s="5"/>
      <c r="L975" s="7"/>
      <c r="M975" s="6"/>
      <c r="N975" s="6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x14ac:dyDescent="0.25" r="976" customHeight="1" ht="12.75">
      <c r="A976" s="3"/>
      <c r="B976" s="5"/>
      <c r="C976" s="7"/>
      <c r="D976" s="6"/>
      <c r="E976" s="6"/>
      <c r="F976" s="7"/>
      <c r="G976" s="6"/>
      <c r="H976" s="6"/>
      <c r="I976" s="6"/>
      <c r="J976" s="6"/>
      <c r="K976" s="5"/>
      <c r="L976" s="7"/>
      <c r="M976" s="6"/>
      <c r="N976" s="6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x14ac:dyDescent="0.25" r="977" customHeight="1" ht="12.75">
      <c r="A977" s="3"/>
      <c r="B977" s="5"/>
      <c r="C977" s="7"/>
      <c r="D977" s="6"/>
      <c r="E977" s="6"/>
      <c r="F977" s="7"/>
      <c r="G977" s="6"/>
      <c r="H977" s="6"/>
      <c r="I977" s="6"/>
      <c r="J977" s="6"/>
      <c r="K977" s="5"/>
      <c r="L977" s="7"/>
      <c r="M977" s="6"/>
      <c r="N977" s="6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x14ac:dyDescent="0.25" r="978" customHeight="1" ht="12.75">
      <c r="A978" s="3"/>
      <c r="B978" s="5"/>
      <c r="C978" s="7"/>
      <c r="D978" s="6"/>
      <c r="E978" s="6"/>
      <c r="F978" s="7"/>
      <c r="G978" s="6"/>
      <c r="H978" s="6"/>
      <c r="I978" s="6"/>
      <c r="J978" s="6"/>
      <c r="K978" s="5"/>
      <c r="L978" s="7"/>
      <c r="M978" s="6"/>
      <c r="N978" s="6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x14ac:dyDescent="0.25" r="979" customHeight="1" ht="12.75">
      <c r="A979" s="3"/>
      <c r="B979" s="5"/>
      <c r="C979" s="7"/>
      <c r="D979" s="6"/>
      <c r="E979" s="6"/>
      <c r="F979" s="7"/>
      <c r="G979" s="6"/>
      <c r="H979" s="6"/>
      <c r="I979" s="6"/>
      <c r="J979" s="6"/>
      <c r="K979" s="5"/>
      <c r="L979" s="7"/>
      <c r="M979" s="6"/>
      <c r="N979" s="6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x14ac:dyDescent="0.25" r="980" customHeight="1" ht="12.75">
      <c r="A980" s="3"/>
      <c r="B980" s="5"/>
      <c r="C980" s="7"/>
      <c r="D980" s="6"/>
      <c r="E980" s="6"/>
      <c r="F980" s="7"/>
      <c r="G980" s="6"/>
      <c r="H980" s="6"/>
      <c r="I980" s="6"/>
      <c r="J980" s="6"/>
      <c r="K980" s="5"/>
      <c r="L980" s="7"/>
      <c r="M980" s="6"/>
      <c r="N980" s="6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x14ac:dyDescent="0.25" r="981" customHeight="1" ht="12.75">
      <c r="A981" s="3"/>
      <c r="B981" s="5"/>
      <c r="C981" s="7"/>
      <c r="D981" s="6"/>
      <c r="E981" s="6"/>
      <c r="F981" s="7"/>
      <c r="G981" s="6"/>
      <c r="H981" s="6"/>
      <c r="I981" s="6"/>
      <c r="J981" s="6"/>
      <c r="K981" s="5"/>
      <c r="L981" s="7"/>
      <c r="M981" s="6"/>
      <c r="N981" s="6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x14ac:dyDescent="0.25" r="982" customHeight="1" ht="12.75">
      <c r="A982" s="3"/>
      <c r="B982" s="5"/>
      <c r="C982" s="7"/>
      <c r="D982" s="6"/>
      <c r="E982" s="6"/>
      <c r="F982" s="7"/>
      <c r="G982" s="6"/>
      <c r="H982" s="6"/>
      <c r="I982" s="6"/>
      <c r="J982" s="6"/>
      <c r="K982" s="5"/>
      <c r="L982" s="7"/>
      <c r="M982" s="6"/>
      <c r="N982" s="6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x14ac:dyDescent="0.25" r="983" customHeight="1" ht="12.75">
      <c r="A983" s="3"/>
      <c r="B983" s="5"/>
      <c r="C983" s="7"/>
      <c r="D983" s="6"/>
      <c r="E983" s="6"/>
      <c r="F983" s="7"/>
      <c r="G983" s="6"/>
      <c r="H983" s="6"/>
      <c r="I983" s="6"/>
      <c r="J983" s="6"/>
      <c r="K983" s="5"/>
      <c r="L983" s="7"/>
      <c r="M983" s="6"/>
      <c r="N983" s="6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x14ac:dyDescent="0.25" r="984" customHeight="1" ht="12.75">
      <c r="A984" s="3"/>
      <c r="B984" s="5"/>
      <c r="C984" s="7"/>
      <c r="D984" s="6"/>
      <c r="E984" s="6"/>
      <c r="F984" s="7"/>
      <c r="G984" s="6"/>
      <c r="H984" s="6"/>
      <c r="I984" s="6"/>
      <c r="J984" s="6"/>
      <c r="K984" s="5"/>
      <c r="L984" s="7"/>
      <c r="M984" s="6"/>
      <c r="N984" s="6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x14ac:dyDescent="0.25" r="985" customHeight="1" ht="12.75">
      <c r="A985" s="3"/>
      <c r="B985" s="5"/>
      <c r="C985" s="7"/>
      <c r="D985" s="6"/>
      <c r="E985" s="6"/>
      <c r="F985" s="7"/>
      <c r="G985" s="6"/>
      <c r="H985" s="6"/>
      <c r="I985" s="6"/>
      <c r="J985" s="6"/>
      <c r="K985" s="5"/>
      <c r="L985" s="7"/>
      <c r="M985" s="6"/>
      <c r="N985" s="6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x14ac:dyDescent="0.25" r="986" customHeight="1" ht="12.75">
      <c r="A986" s="3"/>
      <c r="B986" s="5"/>
      <c r="C986" s="7"/>
      <c r="D986" s="6"/>
      <c r="E986" s="6"/>
      <c r="F986" s="7"/>
      <c r="G986" s="6"/>
      <c r="H986" s="6"/>
      <c r="I986" s="6"/>
      <c r="J986" s="6"/>
      <c r="K986" s="5"/>
      <c r="L986" s="7"/>
      <c r="M986" s="6"/>
      <c r="N986" s="6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x14ac:dyDescent="0.25" r="987" customHeight="1" ht="12.75">
      <c r="A987" s="3"/>
      <c r="B987" s="5"/>
      <c r="C987" s="7"/>
      <c r="D987" s="6"/>
      <c r="E987" s="6"/>
      <c r="F987" s="7"/>
      <c r="G987" s="6"/>
      <c r="H987" s="6"/>
      <c r="I987" s="6"/>
      <c r="J987" s="6"/>
      <c r="K987" s="5"/>
      <c r="L987" s="7"/>
      <c r="M987" s="6"/>
      <c r="N987" s="6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x14ac:dyDescent="0.25" r="988" customHeight="1" ht="12.75">
      <c r="A988" s="3"/>
      <c r="B988" s="5"/>
      <c r="C988" s="7"/>
      <c r="D988" s="6"/>
      <c r="E988" s="6"/>
      <c r="F988" s="7"/>
      <c r="G988" s="6"/>
      <c r="H988" s="6"/>
      <c r="I988" s="6"/>
      <c r="J988" s="6"/>
      <c r="K988" s="5"/>
      <c r="L988" s="7"/>
      <c r="M988" s="6"/>
      <c r="N988" s="6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x14ac:dyDescent="0.25" r="989" customHeight="1" ht="12.75">
      <c r="A989" s="3"/>
      <c r="B989" s="5"/>
      <c r="C989" s="7"/>
      <c r="D989" s="6"/>
      <c r="E989" s="6"/>
      <c r="F989" s="7"/>
      <c r="G989" s="6"/>
      <c r="H989" s="6"/>
      <c r="I989" s="6"/>
      <c r="J989" s="6"/>
      <c r="K989" s="5"/>
      <c r="L989" s="7"/>
      <c r="M989" s="6"/>
      <c r="N989" s="6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x14ac:dyDescent="0.25" r="990" customHeight="1" ht="12.75">
      <c r="A990" s="3"/>
      <c r="B990" s="5"/>
      <c r="C990" s="7"/>
      <c r="D990" s="6"/>
      <c r="E990" s="6"/>
      <c r="F990" s="7"/>
      <c r="G990" s="6"/>
      <c r="H990" s="6"/>
      <c r="I990" s="6"/>
      <c r="J990" s="6"/>
      <c r="K990" s="5"/>
      <c r="L990" s="7"/>
      <c r="M990" s="6"/>
      <c r="N990" s="6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x14ac:dyDescent="0.25" r="991" customHeight="1" ht="12.75">
      <c r="A991" s="3"/>
      <c r="B991" s="5"/>
      <c r="C991" s="7"/>
      <c r="D991" s="6"/>
      <c r="E991" s="6"/>
      <c r="F991" s="7"/>
      <c r="G991" s="6"/>
      <c r="H991" s="6"/>
      <c r="I991" s="6"/>
      <c r="J991" s="6"/>
      <c r="K991" s="5"/>
      <c r="L991" s="7"/>
      <c r="M991" s="6"/>
      <c r="N991" s="6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x14ac:dyDescent="0.25" r="992" customHeight="1" ht="12.75">
      <c r="A992" s="3"/>
      <c r="B992" s="5"/>
      <c r="C992" s="7"/>
      <c r="D992" s="6"/>
      <c r="E992" s="6"/>
      <c r="F992" s="7"/>
      <c r="G992" s="6"/>
      <c r="H992" s="6"/>
      <c r="I992" s="6"/>
      <c r="J992" s="6"/>
      <c r="K992" s="5"/>
      <c r="L992" s="7"/>
      <c r="M992" s="6"/>
      <c r="N992" s="6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x14ac:dyDescent="0.25" r="993" customHeight="1" ht="12.75">
      <c r="A993" s="3"/>
      <c r="B993" s="5"/>
      <c r="C993" s="7"/>
      <c r="D993" s="6"/>
      <c r="E993" s="6"/>
      <c r="F993" s="7"/>
      <c r="G993" s="6"/>
      <c r="H993" s="6"/>
      <c r="I993" s="6"/>
      <c r="J993" s="6"/>
      <c r="K993" s="5"/>
      <c r="L993" s="7"/>
      <c r="M993" s="6"/>
      <c r="N993" s="6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x14ac:dyDescent="0.25" r="994" customHeight="1" ht="12.75">
      <c r="A994" s="3"/>
      <c r="B994" s="5"/>
      <c r="C994" s="7"/>
      <c r="D994" s="6"/>
      <c r="E994" s="6"/>
      <c r="F994" s="7"/>
      <c r="G994" s="6"/>
      <c r="H994" s="6"/>
      <c r="I994" s="6"/>
      <c r="J994" s="6"/>
      <c r="K994" s="5"/>
      <c r="L994" s="7"/>
      <c r="M994" s="6"/>
      <c r="N994" s="6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x14ac:dyDescent="0.25" r="995" customHeight="1" ht="12.75">
      <c r="A995" s="3"/>
      <c r="B995" s="5"/>
      <c r="C995" s="7"/>
      <c r="D995" s="6"/>
      <c r="E995" s="6"/>
      <c r="F995" s="7"/>
      <c r="G995" s="6"/>
      <c r="H995" s="6"/>
      <c r="I995" s="6"/>
      <c r="J995" s="6"/>
      <c r="K995" s="5"/>
      <c r="L995" s="7"/>
      <c r="M995" s="6"/>
      <c r="N995" s="6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x14ac:dyDescent="0.25" r="996" customHeight="1" ht="12.75">
      <c r="A996" s="3"/>
      <c r="B996" s="5"/>
      <c r="C996" s="7"/>
      <c r="D996" s="6"/>
      <c r="E996" s="6"/>
      <c r="F996" s="7"/>
      <c r="G996" s="6"/>
      <c r="H996" s="6"/>
      <c r="I996" s="6"/>
      <c r="J996" s="6"/>
      <c r="K996" s="5"/>
      <c r="L996" s="7"/>
      <c r="M996" s="6"/>
      <c r="N996" s="6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x14ac:dyDescent="0.25" r="997" customHeight="1" ht="12.75">
      <c r="A997" s="3"/>
      <c r="B997" s="5"/>
      <c r="C997" s="7"/>
      <c r="D997" s="6"/>
      <c r="E997" s="6"/>
      <c r="F997" s="7"/>
      <c r="G997" s="6"/>
      <c r="H997" s="6"/>
      <c r="I997" s="6"/>
      <c r="J997" s="6"/>
      <c r="K997" s="5"/>
      <c r="L997" s="7"/>
      <c r="M997" s="6"/>
      <c r="N997" s="6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x14ac:dyDescent="0.25" r="998" customHeight="1" ht="12.75">
      <c r="A998" s="3"/>
      <c r="B998" s="5"/>
      <c r="C998" s="7"/>
      <c r="D998" s="6"/>
      <c r="E998" s="6"/>
      <c r="F998" s="7"/>
      <c r="G998" s="6"/>
      <c r="H998" s="6"/>
      <c r="I998" s="6"/>
      <c r="J998" s="6"/>
      <c r="K998" s="5"/>
      <c r="L998" s="7"/>
      <c r="M998" s="6"/>
      <c r="N998" s="6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x14ac:dyDescent="0.25" r="999" customHeight="1" ht="12.75">
      <c r="A999" s="3"/>
      <c r="B999" s="5"/>
      <c r="C999" s="7"/>
      <c r="D999" s="6"/>
      <c r="E999" s="6"/>
      <c r="F999" s="7"/>
      <c r="G999" s="6"/>
      <c r="H999" s="6"/>
      <c r="I999" s="6"/>
      <c r="J999" s="6"/>
      <c r="K999" s="5"/>
      <c r="L999" s="7"/>
      <c r="M999" s="6"/>
      <c r="N999" s="6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x14ac:dyDescent="0.25" r="1000" customHeight="1" ht="12.75">
      <c r="A1000" s="3"/>
      <c r="B1000" s="5"/>
      <c r="C1000" s="7"/>
      <c r="D1000" s="6"/>
      <c r="E1000" s="6"/>
      <c r="F1000" s="7"/>
      <c r="G1000" s="6"/>
      <c r="H1000" s="6"/>
      <c r="I1000" s="6"/>
      <c r="J1000" s="6"/>
      <c r="K1000" s="5"/>
      <c r="L1000" s="7"/>
      <c r="M1000" s="6"/>
      <c r="N1000" s="6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I893"/>
  <sheetViews>
    <sheetView workbookViewId="0"/>
  </sheetViews>
  <sheetFormatPr defaultRowHeight="15" x14ac:dyDescent="0.25"/>
  <cols>
    <col min="1" max="1" style="8" width="28.719285714285714" customWidth="1" bestFit="1"/>
    <col min="2" max="2" style="10" width="9.719285714285713" customWidth="1" bestFit="1"/>
    <col min="3" max="3" style="10" width="32.71928571428572" customWidth="1" bestFit="1"/>
    <col min="4" max="4" style="8" width="32.71928571428572" customWidth="1" bestFit="1"/>
    <col min="5" max="5" style="52" width="9.576428571428572" customWidth="1" bestFit="1"/>
    <col min="6" max="6" style="9" width="6.576428571428571" customWidth="1" bestFit="1"/>
    <col min="7" max="7" style="9" width="6.576428571428571" customWidth="1" bestFit="1"/>
    <col min="8" max="8" style="11" width="6.576428571428571" customWidth="1" bestFit="1"/>
    <col min="9" max="9" style="9" width="6.576428571428571" customWidth="1" bestFit="1"/>
    <col min="10" max="10" style="9" width="6.576428571428571" customWidth="1" bestFit="1"/>
    <col min="11" max="11" style="11" width="8.719285714285713" customWidth="1" bestFit="1"/>
    <col min="12" max="12" style="9" width="8.719285714285713" customWidth="1" bestFit="1"/>
    <col min="13" max="13" style="9" width="9.719285714285713" customWidth="1" bestFit="1"/>
    <col min="14" max="14" style="52" width="8.719285714285713" customWidth="1" bestFit="1"/>
    <col min="15" max="15" style="8" width="8.719285714285713" customWidth="1" bestFit="1"/>
    <col min="16" max="16" style="9" width="12.719285714285713" customWidth="1" bestFit="1"/>
    <col min="17" max="17" style="9" width="12.719285714285713" customWidth="1" bestFit="1"/>
    <col min="18" max="18" style="9" width="5.576428571428571" customWidth="1" bestFit="1"/>
    <col min="19" max="19" style="9" width="6.576428571428571" customWidth="1" bestFit="1"/>
    <col min="20" max="20" style="9" width="5.576428571428571" customWidth="1" bestFit="1"/>
    <col min="21" max="21" style="9" width="6.576428571428571" customWidth="1" bestFit="1"/>
    <col min="22" max="22" style="8" width="6.576428571428571" customWidth="1" bestFit="1"/>
    <col min="23" max="23" style="9" width="12.576428571428572" customWidth="1" bestFit="1"/>
    <col min="24" max="24" style="9" width="7.576428571428571" customWidth="1" bestFit="1"/>
    <col min="25" max="25" style="9" width="7.576428571428571" customWidth="1" bestFit="1"/>
    <col min="26" max="26" style="11" width="9.576428571428572" customWidth="1" bestFit="1"/>
    <col min="27" max="27" style="11" width="10.719285714285713" customWidth="1" bestFit="1"/>
    <col min="28" max="28" style="9" width="7.576428571428571" customWidth="1" bestFit="1"/>
    <col min="29" max="29" style="33" width="12.576428571428572" customWidth="1" bestFit="1"/>
    <col min="30" max="30" style="9" width="12.576428571428572" customWidth="1" bestFit="1"/>
    <col min="31" max="31" style="10" width="1.719285714285714" customWidth="1" bestFit="1"/>
    <col min="32" max="32" style="9" width="10.719285714285713" customWidth="1" bestFit="1"/>
    <col min="33" max="33" style="8" width="8.719285714285713" customWidth="1" bestFit="1"/>
    <col min="34" max="34" style="8" width="8.719285714285713" customWidth="1" bestFit="1"/>
    <col min="35" max="35" style="8" width="8.719285714285713" customWidth="1" bestFit="1"/>
    <col min="36" max="36" style="8" width="8.719285714285713" customWidth="1" bestFit="1"/>
    <col min="37" max="37" style="8" width="8.719285714285713" customWidth="1" bestFit="1"/>
    <col min="38" max="38" style="10" width="1.719285714285714" customWidth="1" bestFit="1"/>
    <col min="39" max="39" style="9" width="9.719285714285713" customWidth="1" bestFit="1"/>
    <col min="40" max="40" style="9" width="9.719285714285713" customWidth="1" bestFit="1"/>
    <col min="41" max="41" style="9" width="9.719285714285713" customWidth="1" bestFit="1"/>
    <col min="42" max="42" style="9" width="9.719285714285713" customWidth="1" bestFit="1"/>
    <col min="43" max="43" style="9" width="10.147857142857141" customWidth="1" bestFit="1"/>
    <col min="44" max="44" style="9" width="9.719285714285713" customWidth="1" bestFit="1"/>
    <col min="45" max="45" style="9" width="9.719285714285713" customWidth="1" bestFit="1"/>
    <col min="46" max="46" style="9" width="9.719285714285713" customWidth="1" bestFit="1"/>
    <col min="47" max="47" style="9" width="9.719285714285713" customWidth="1" bestFit="1"/>
    <col min="48" max="48" style="9" width="9.719285714285713" customWidth="1" bestFit="1"/>
    <col min="49" max="49" style="9" width="9.719285714285713" customWidth="1" bestFit="1"/>
    <col min="50" max="50" style="9" width="9.719285714285713" customWidth="1" bestFit="1"/>
    <col min="51" max="51" style="9" width="9.719285714285713" customWidth="1" bestFit="1"/>
    <col min="52" max="52" style="9" width="9.719285714285713" customWidth="1" bestFit="1"/>
    <col min="53" max="53" style="9" width="9.719285714285713" customWidth="1" bestFit="1"/>
    <col min="54" max="54" style="9" width="9.719285714285713" customWidth="1" bestFit="1"/>
    <col min="55" max="55" style="9" width="10.147857142857141" customWidth="1" bestFit="1"/>
    <col min="56" max="56" style="10" width="9.719285714285713" customWidth="1" bestFit="1"/>
    <col min="57" max="57" style="10" width="1.719285714285714" customWidth="1" bestFit="1"/>
    <col min="58" max="58" style="11" width="12.719285714285713" customWidth="1" bestFit="1"/>
    <col min="59" max="59" style="9" width="9.719285714285713" customWidth="1" bestFit="1"/>
    <col min="60" max="60" style="10" width="1.719285714285714" customWidth="1" bestFit="1"/>
    <col min="61" max="61" style="9" width="9.719285714285713" customWidth="1" bestFit="1"/>
  </cols>
  <sheetData>
    <row x14ac:dyDescent="0.25" r="1" customHeight="1" ht="12.75">
      <c r="A1" s="5"/>
      <c r="B1" s="3"/>
      <c r="C1" s="3"/>
      <c r="D1" s="34">
        <f>SUM(D3:D35)</f>
      </c>
      <c r="E1" s="7">
        <f>E6+E10+E13+E16+E19+E22+E25+E26+E29+E32+E33+E34+E35</f>
      </c>
      <c r="F1" s="6">
        <f>100*K1/$E1</f>
      </c>
      <c r="G1" s="6">
        <f>100*L1/$E1</f>
      </c>
      <c r="H1" s="7">
        <f>M1/$E1</f>
      </c>
      <c r="I1" s="6">
        <f>100*O1/$E1</f>
      </c>
      <c r="J1" s="6">
        <f>N1/$E1</f>
      </c>
      <c r="K1" s="6">
        <f>K6+K10+K13+K16+K19+K22+K25+K26+K29+K32+K33+K34+K35</f>
      </c>
      <c r="L1" s="6">
        <f>L6+L10+L13+L16+L19+L22+L25+L26+L29+L32+L33+L34+L35</f>
      </c>
      <c r="M1" s="5">
        <f>M6+M10+M13+M16+M19+M22+M25+M26+M29+M32+M33+M34+M35</f>
      </c>
      <c r="N1" s="7">
        <f>N6+N10+N13+N16+N19+N22+N25+N26+N29+N32+N33+N34+N35</f>
      </c>
      <c r="O1" s="6">
        <f>O6+O10+O13+O16+O19+O22+O25+O26+O29+O32+O33+O34+O35</f>
      </c>
      <c r="P1" s="7">
        <f>K1+L1+O1</f>
      </c>
      <c r="Q1" s="6">
        <f>F1+G1+I1</f>
      </c>
      <c r="R1" s="6"/>
      <c r="S1" s="6"/>
      <c r="T1" s="6"/>
      <c r="U1" s="6"/>
      <c r="V1" s="5"/>
      <c r="W1" s="6">
        <f>(F1/100)*W$3</f>
      </c>
      <c r="X1" s="6">
        <f>(G1/100)*X$3</f>
      </c>
      <c r="Y1" s="6">
        <f>(H1/1000000)*Y$3</f>
      </c>
      <c r="Z1" s="6">
        <f>(I1/100)*Z$3</f>
      </c>
      <c r="AA1" s="6">
        <f>(J1/1000000)*AA$3</f>
      </c>
      <c r="AB1" s="6"/>
      <c r="AC1" s="6">
        <f>SUM(W1:AA1)</f>
      </c>
      <c r="AD1" s="6"/>
      <c r="AE1" s="3"/>
      <c r="AF1" s="6"/>
      <c r="AG1" s="5"/>
      <c r="AH1" s="5"/>
      <c r="AI1" s="5"/>
      <c r="AJ1" s="5"/>
      <c r="AK1" s="5"/>
      <c r="AL1" s="3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3"/>
      <c r="BE1" s="3"/>
      <c r="BF1" s="18" t="s">
        <v>1060</v>
      </c>
      <c r="BG1" s="6"/>
      <c r="BH1" s="3"/>
      <c r="BI1" s="17" t="s">
        <v>1061</v>
      </c>
    </row>
    <row x14ac:dyDescent="0.25" r="2" customHeight="1" ht="12.75">
      <c r="A2" s="5"/>
      <c r="B2" s="3"/>
      <c r="C2" s="28" t="s">
        <v>882</v>
      </c>
      <c r="D2" s="1" t="s">
        <v>1062</v>
      </c>
      <c r="E2" s="35" t="s">
        <v>888</v>
      </c>
      <c r="F2" s="2" t="s">
        <v>889</v>
      </c>
      <c r="G2" s="2" t="s">
        <v>890</v>
      </c>
      <c r="H2" s="4" t="s">
        <v>891</v>
      </c>
      <c r="I2" s="2" t="s">
        <v>892</v>
      </c>
      <c r="J2" s="2" t="s">
        <v>893</v>
      </c>
      <c r="K2" s="4" t="s">
        <v>905</v>
      </c>
      <c r="L2" s="2" t="s">
        <v>906</v>
      </c>
      <c r="M2" s="2" t="s">
        <v>907</v>
      </c>
      <c r="N2" s="35" t="s">
        <v>909</v>
      </c>
      <c r="O2" s="29" t="s">
        <v>908</v>
      </c>
      <c r="P2" s="2" t="s">
        <v>0</v>
      </c>
      <c r="Q2" s="2" t="s">
        <v>1</v>
      </c>
      <c r="R2" s="6"/>
      <c r="S2" s="6"/>
      <c r="T2" s="26" t="s">
        <v>882</v>
      </c>
      <c r="U2" s="6"/>
      <c r="V2" s="5"/>
      <c r="W2" s="6"/>
      <c r="X2" s="6"/>
      <c r="Y2" s="6"/>
      <c r="Z2" s="7"/>
      <c r="AA2" s="7"/>
      <c r="AB2" s="6"/>
      <c r="AC2" s="15"/>
      <c r="AD2" s="6"/>
      <c r="AE2" s="3"/>
      <c r="AF2" s="6"/>
      <c r="AG2" s="5"/>
      <c r="AH2" s="5"/>
      <c r="AI2" s="5"/>
      <c r="AJ2" s="5"/>
      <c r="AK2" s="5"/>
      <c r="AL2" s="3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3"/>
      <c r="BE2" s="3"/>
      <c r="BF2" s="4" t="s">
        <v>1063</v>
      </c>
      <c r="BG2" s="2" t="s">
        <v>880</v>
      </c>
      <c r="BH2" s="3"/>
      <c r="BI2" s="6"/>
    </row>
    <row x14ac:dyDescent="0.25" r="3" customHeight="1" ht="12.75">
      <c r="A3" s="5"/>
      <c r="B3" s="3" t="s">
        <v>855</v>
      </c>
      <c r="C3" s="3" t="s">
        <v>866</v>
      </c>
      <c r="D3" s="5">
        <f>COUNT(E232:E364)</f>
      </c>
      <c r="E3" s="7">
        <f>SUM(E232:E364)</f>
      </c>
      <c r="F3" s="6">
        <f>100*K3/$E3</f>
      </c>
      <c r="G3" s="6">
        <f>100*L3/$E3</f>
      </c>
      <c r="H3" s="7">
        <f>M3/$E3</f>
      </c>
      <c r="I3" s="6">
        <f>100*O3/$E3</f>
      </c>
      <c r="J3" s="6">
        <f>N3/$E3</f>
      </c>
      <c r="K3" s="6">
        <f>SUM(X232:X364)</f>
      </c>
      <c r="L3" s="6">
        <f>SUM(Y232:Y364)</f>
      </c>
      <c r="M3" s="5">
        <f>SUM(Z232:Z364)</f>
      </c>
      <c r="N3" s="7">
        <f>SUM(AA232:AA364)</f>
      </c>
      <c r="O3" s="6">
        <f>SUM(AB232:AB364)</f>
      </c>
      <c r="P3" s="6">
        <f>K3+L3+O3</f>
      </c>
      <c r="Q3" s="6">
        <f>F3+G3+I3</f>
      </c>
      <c r="R3" s="6"/>
      <c r="S3" s="6"/>
      <c r="T3" s="6" t="s">
        <v>866</v>
      </c>
      <c r="U3" s="6"/>
      <c r="V3" s="5"/>
      <c r="W3" s="36">
        <f>0.86*2204.6</f>
      </c>
      <c r="X3" s="36">
        <f>0.985*2204.6</f>
      </c>
      <c r="Y3" s="36">
        <f>(19.03/31.1)*1000000</f>
      </c>
      <c r="Z3" s="36">
        <f>3.15*2204.6</f>
      </c>
      <c r="AA3" s="36">
        <f>(1270/31.1)*1000000</f>
      </c>
      <c r="AB3" s="6"/>
      <c r="AC3" s="37" t="s">
        <v>1064</v>
      </c>
      <c r="AD3" s="6"/>
      <c r="AE3" s="3"/>
      <c r="AF3" s="6"/>
      <c r="AG3" s="5"/>
      <c r="AH3" s="5"/>
      <c r="AI3" s="5"/>
      <c r="AJ3" s="5"/>
      <c r="AK3" s="5"/>
      <c r="AL3" s="3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 t="s">
        <v>866</v>
      </c>
      <c r="BD3" s="3"/>
      <c r="BE3" s="3"/>
      <c r="BF3" s="7">
        <f>SUM(BF232:BF364)</f>
      </c>
      <c r="BG3" s="6">
        <f>BF3/E3</f>
      </c>
      <c r="BH3" s="3"/>
      <c r="BI3" s="6"/>
    </row>
    <row x14ac:dyDescent="0.25" r="4" customHeight="1" ht="12.75">
      <c r="A4" s="5"/>
      <c r="B4" s="38" t="s">
        <v>859</v>
      </c>
      <c r="C4" s="3" t="s">
        <v>866</v>
      </c>
      <c r="D4" s="5">
        <f>COUNT(E365:E506)</f>
      </c>
      <c r="E4" s="7">
        <f>SUM(E365:E506)</f>
      </c>
      <c r="F4" s="6">
        <f>100*K4/$E4</f>
      </c>
      <c r="G4" s="6">
        <f>100*L4/$E4</f>
      </c>
      <c r="H4" s="7">
        <f>M4/$E4</f>
      </c>
      <c r="I4" s="6">
        <f>100*O4/$E4</f>
      </c>
      <c r="J4" s="6">
        <f>N4/$E4</f>
      </c>
      <c r="K4" s="6">
        <f>SUM(X365:X506)</f>
      </c>
      <c r="L4" s="6">
        <f>SUM(Y365:Y506)</f>
      </c>
      <c r="M4" s="5">
        <f>SUM(Z365:Z506)</f>
      </c>
      <c r="N4" s="7">
        <f>SUM(AA365:AA506)</f>
      </c>
      <c r="O4" s="6">
        <f>SUM(AB365:AB506)</f>
      </c>
      <c r="P4" s="6">
        <f>K4+L4+O4</f>
      </c>
      <c r="Q4" s="6">
        <f>F4+G4+I4</f>
      </c>
      <c r="R4" s="6"/>
      <c r="S4" s="6"/>
      <c r="T4" s="6" t="s">
        <v>866</v>
      </c>
      <c r="U4" s="6"/>
      <c r="V4" s="5"/>
      <c r="W4" s="2" t="s">
        <v>889</v>
      </c>
      <c r="X4" s="2" t="s">
        <v>890</v>
      </c>
      <c r="Y4" s="2" t="s">
        <v>891</v>
      </c>
      <c r="Z4" s="4" t="s">
        <v>892</v>
      </c>
      <c r="AA4" s="4" t="s">
        <v>893</v>
      </c>
      <c r="AB4" s="6"/>
      <c r="AC4" s="30" t="s">
        <v>880</v>
      </c>
      <c r="AD4" s="6"/>
      <c r="AE4" s="3"/>
      <c r="AF4" s="6"/>
      <c r="AG4" s="5"/>
      <c r="AH4" s="5"/>
      <c r="AI4" s="5"/>
      <c r="AJ4" s="5"/>
      <c r="AK4" s="5"/>
      <c r="AL4" s="3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 t="s">
        <v>866</v>
      </c>
      <c r="BD4" s="3"/>
      <c r="BE4" s="3"/>
      <c r="BF4" s="7">
        <f>SUM(BF365:BF506)</f>
      </c>
      <c r="BG4" s="6">
        <f>BF4/E4</f>
      </c>
      <c r="BH4" s="3"/>
      <c r="BI4" s="6"/>
    </row>
    <row x14ac:dyDescent="0.25" r="5" customHeight="1" ht="12.75">
      <c r="A5" s="5"/>
      <c r="B5" s="16" t="s">
        <v>867</v>
      </c>
      <c r="C5" s="3" t="s">
        <v>866</v>
      </c>
      <c r="D5" s="5">
        <f>COUNT(E507)</f>
      </c>
      <c r="E5" s="6">
        <f>SUM(E507)</f>
      </c>
      <c r="F5" s="6">
        <f>100*K5/$E5</f>
      </c>
      <c r="G5" s="6">
        <f>100*L5/$E5</f>
      </c>
      <c r="H5" s="7">
        <f>M5/$E5</f>
      </c>
      <c r="I5" s="6">
        <f>100*O5/$E5</f>
      </c>
      <c r="J5" s="6">
        <f>N5/$E5</f>
      </c>
      <c r="K5" s="6">
        <f>SUM(X507)</f>
      </c>
      <c r="L5" s="6">
        <f>SUM(Y507)</f>
      </c>
      <c r="M5" s="5">
        <f>SUM(Z507)</f>
      </c>
      <c r="N5" s="7">
        <f>SUM(AA507)</f>
      </c>
      <c r="O5" s="6">
        <f>SUM(AB507)</f>
      </c>
      <c r="P5" s="6">
        <f>K5+L5+O5</f>
      </c>
      <c r="Q5" s="6">
        <f>F5+G5+I5</f>
      </c>
      <c r="R5" s="6"/>
      <c r="S5" s="6"/>
      <c r="T5" s="6" t="s">
        <v>866</v>
      </c>
      <c r="U5" s="6"/>
      <c r="V5" s="5"/>
      <c r="W5" s="6"/>
      <c r="X5" s="6"/>
      <c r="Y5" s="6"/>
      <c r="Z5" s="7"/>
      <c r="AA5" s="7"/>
      <c r="AB5" s="6"/>
      <c r="AC5" s="15"/>
      <c r="AD5" s="6"/>
      <c r="AE5" s="3"/>
      <c r="AF5" s="6"/>
      <c r="AG5" s="5"/>
      <c r="AH5" s="5"/>
      <c r="AI5" s="5"/>
      <c r="AJ5" s="5"/>
      <c r="AK5" s="5"/>
      <c r="AL5" s="3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 t="s">
        <v>866</v>
      </c>
      <c r="BD5" s="3"/>
      <c r="BE5" s="3"/>
      <c r="BF5" s="6">
        <f>SUM(BF507)</f>
      </c>
      <c r="BG5" s="6">
        <f>BF5/E5</f>
      </c>
      <c r="BH5" s="3"/>
      <c r="BI5" s="6"/>
    </row>
    <row x14ac:dyDescent="0.25" r="6" customHeight="1" ht="12.75">
      <c r="A6" s="5"/>
      <c r="B6" s="3"/>
      <c r="C6" s="39" t="s">
        <v>866</v>
      </c>
      <c r="D6" s="40" t="s">
        <v>875</v>
      </c>
      <c r="E6" s="41">
        <f>SUM(E3:E5)</f>
      </c>
      <c r="F6" s="42">
        <f>100*K6/$E6</f>
      </c>
      <c r="G6" s="42">
        <f>100*L6/$E6</f>
      </c>
      <c r="H6" s="41">
        <f>M6/$E6</f>
      </c>
      <c r="I6" s="42">
        <f>100*O6/$E6</f>
      </c>
      <c r="J6" s="42">
        <f>N6/$E6</f>
      </c>
      <c r="K6" s="42">
        <f>SUM(K3:K5)</f>
      </c>
      <c r="L6" s="42">
        <f>SUM(L3:L5)</f>
      </c>
      <c r="M6" s="40">
        <f>SUM(M3:M5)</f>
      </c>
      <c r="N6" s="41">
        <f>SUM(N3:N5)</f>
      </c>
      <c r="O6" s="42">
        <f>SUM(O3:O5)</f>
      </c>
      <c r="P6" s="42">
        <f>K6+L6+O6</f>
      </c>
      <c r="Q6" s="42">
        <f>F6+G6+I6</f>
      </c>
      <c r="R6" s="6"/>
      <c r="S6" s="6"/>
      <c r="T6" s="42" t="s">
        <v>866</v>
      </c>
      <c r="U6" s="6"/>
      <c r="V6" s="5"/>
      <c r="W6" s="6">
        <f>(F6/100)*W$3</f>
      </c>
      <c r="X6" s="6">
        <f>(G6/100)*X$3</f>
      </c>
      <c r="Y6" s="6">
        <f>(H6/1000000)*Y$3</f>
      </c>
      <c r="Z6" s="6">
        <f>(I6/100)*Z$3</f>
      </c>
      <c r="AA6" s="6">
        <f>(J6/1000000)*AA$3</f>
      </c>
      <c r="AB6" s="6"/>
      <c r="AC6" s="6">
        <f>SUM(W6:AA6)</f>
      </c>
      <c r="AD6" s="6"/>
      <c r="AE6" s="3"/>
      <c r="AF6" s="6"/>
      <c r="AG6" s="5"/>
      <c r="AH6" s="5"/>
      <c r="AI6" s="5"/>
      <c r="AJ6" s="5"/>
      <c r="AK6" s="5"/>
      <c r="AL6" s="3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42" t="s">
        <v>866</v>
      </c>
      <c r="BD6" s="3"/>
      <c r="BE6" s="3"/>
      <c r="BF6" s="41">
        <f>SUM(BF3:BF5)</f>
      </c>
      <c r="BG6" s="42">
        <f>BF6/E6</f>
      </c>
      <c r="BH6" s="3"/>
      <c r="BI6" s="6">
        <f>BG6-AC6</f>
      </c>
    </row>
    <row x14ac:dyDescent="0.25" r="7" customHeight="1" ht="12.75">
      <c r="A7" s="5"/>
      <c r="B7" s="3" t="s">
        <v>855</v>
      </c>
      <c r="C7" s="3" t="s">
        <v>870</v>
      </c>
      <c r="D7" s="5">
        <f>COUNT(E609:E795)</f>
      </c>
      <c r="E7" s="7">
        <f>SUM(E609:E795)</f>
      </c>
      <c r="F7" s="6">
        <f>100*K7/$E7</f>
      </c>
      <c r="G7" s="6">
        <f>100*L7/$E7</f>
      </c>
      <c r="H7" s="7">
        <f>M7/$E7</f>
      </c>
      <c r="I7" s="6">
        <f>100*O7/$E7</f>
      </c>
      <c r="J7" s="6">
        <f>N7/$E7</f>
      </c>
      <c r="K7" s="6">
        <f>SUM(X609:X795)</f>
      </c>
      <c r="L7" s="6">
        <f>SUM(Y609:Y795)</f>
      </c>
      <c r="M7" s="5">
        <f>SUM(Z609:Z795)</f>
      </c>
      <c r="N7" s="7">
        <f>SUM(AA609:AA795)</f>
      </c>
      <c r="O7" s="6">
        <f>SUM(AB609:AB795)</f>
      </c>
      <c r="P7" s="6">
        <f>K7+L7+O7</f>
      </c>
      <c r="Q7" s="6">
        <f>F7+G7+I7</f>
      </c>
      <c r="R7" s="6"/>
      <c r="S7" s="6"/>
      <c r="T7" s="6" t="s">
        <v>870</v>
      </c>
      <c r="U7" s="6"/>
      <c r="V7" s="5"/>
      <c r="W7" s="6"/>
      <c r="X7" s="6"/>
      <c r="Y7" s="6"/>
      <c r="Z7" s="7"/>
      <c r="AA7" s="7"/>
      <c r="AB7" s="6"/>
      <c r="AC7" s="15"/>
      <c r="AD7" s="6"/>
      <c r="AE7" s="3"/>
      <c r="AF7" s="6"/>
      <c r="AG7" s="5"/>
      <c r="AH7" s="5"/>
      <c r="AI7" s="5"/>
      <c r="AJ7" s="5"/>
      <c r="AK7" s="5"/>
      <c r="AL7" s="3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 t="s">
        <v>870</v>
      </c>
      <c r="BD7" s="3"/>
      <c r="BE7" s="3"/>
      <c r="BF7" s="7">
        <f>SUM(BF609:BF795)</f>
      </c>
      <c r="BG7" s="6">
        <f>BF7/E7</f>
      </c>
      <c r="BH7" s="3"/>
      <c r="BI7" s="6"/>
    </row>
    <row x14ac:dyDescent="0.25" r="8" customHeight="1" ht="12.75">
      <c r="A8" s="5"/>
      <c r="B8" s="38" t="s">
        <v>859</v>
      </c>
      <c r="C8" s="3" t="s">
        <v>870</v>
      </c>
      <c r="D8" s="5">
        <f>COUNT(E796:E877)</f>
      </c>
      <c r="E8" s="7">
        <f>SUM(E796:E877)</f>
      </c>
      <c r="F8" s="6">
        <f>100*K8/$E8</f>
      </c>
      <c r="G8" s="6">
        <f>100*L8/$E8</f>
      </c>
      <c r="H8" s="7">
        <f>M8/$E8</f>
      </c>
      <c r="I8" s="6">
        <f>100*O8/$E8</f>
      </c>
      <c r="J8" s="6">
        <f>N8/$E8</f>
      </c>
      <c r="K8" s="6">
        <f>SUM(X796:X877)</f>
      </c>
      <c r="L8" s="6">
        <f>SUM(Y796:Y877)</f>
      </c>
      <c r="M8" s="5">
        <f>SUM(Z796:Z877)</f>
      </c>
      <c r="N8" s="7">
        <f>SUM(AA796:AA877)</f>
      </c>
      <c r="O8" s="6">
        <f>SUM(AB796:AB877)</f>
      </c>
      <c r="P8" s="6">
        <f>K8+L8+O8</f>
      </c>
      <c r="Q8" s="6">
        <f>F8+G8+I8</f>
      </c>
      <c r="R8" s="6"/>
      <c r="S8" s="6"/>
      <c r="T8" s="6" t="s">
        <v>870</v>
      </c>
      <c r="U8" s="6"/>
      <c r="V8" s="5"/>
      <c r="W8" s="6"/>
      <c r="X8" s="6"/>
      <c r="Y8" s="6"/>
      <c r="Z8" s="7"/>
      <c r="AA8" s="7"/>
      <c r="AB8" s="6"/>
      <c r="AC8" s="15"/>
      <c r="AD8" s="6"/>
      <c r="AE8" s="3"/>
      <c r="AF8" s="6"/>
      <c r="AG8" s="5"/>
      <c r="AH8" s="5"/>
      <c r="AI8" s="5"/>
      <c r="AJ8" s="5"/>
      <c r="AK8" s="5"/>
      <c r="AL8" s="3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 t="s">
        <v>870</v>
      </c>
      <c r="BD8" s="3"/>
      <c r="BE8" s="3"/>
      <c r="BF8" s="7">
        <f>SUM(BF796:BF877)</f>
      </c>
      <c r="BG8" s="6">
        <f>BF8/E8</f>
      </c>
      <c r="BH8" s="3"/>
      <c r="BI8" s="6"/>
    </row>
    <row x14ac:dyDescent="0.25" r="9" customHeight="1" ht="12.75">
      <c r="A9" s="5"/>
      <c r="B9" s="16" t="s">
        <v>871</v>
      </c>
      <c r="C9" s="3" t="s">
        <v>870</v>
      </c>
      <c r="D9" s="5">
        <f>COUNT(E878)</f>
      </c>
      <c r="E9" s="7">
        <f>SUM(E878)</f>
      </c>
      <c r="F9" s="6">
        <f>100*K9/$E9</f>
      </c>
      <c r="G9" s="6">
        <f>100*L9/$E9</f>
      </c>
      <c r="H9" s="7">
        <f>M9/$E9</f>
      </c>
      <c r="I9" s="6">
        <f>100*O9/$E9</f>
      </c>
      <c r="J9" s="6">
        <f>N9/$E9</f>
      </c>
      <c r="K9" s="6">
        <f>SUM(X878)</f>
      </c>
      <c r="L9" s="6">
        <f>SUM(Y878)</f>
      </c>
      <c r="M9" s="5">
        <f>SUM(Z878)</f>
      </c>
      <c r="N9" s="7">
        <f>SUM(AA878)</f>
      </c>
      <c r="O9" s="6">
        <f>SUM(AB878)</f>
      </c>
      <c r="P9" s="6">
        <f>K9+L9+O9</f>
      </c>
      <c r="Q9" s="6">
        <f>F9+G9+I9</f>
      </c>
      <c r="R9" s="6"/>
      <c r="S9" s="6"/>
      <c r="T9" s="6" t="s">
        <v>870</v>
      </c>
      <c r="U9" s="6"/>
      <c r="V9" s="5"/>
      <c r="W9" s="6"/>
      <c r="X9" s="6"/>
      <c r="Y9" s="6"/>
      <c r="Z9" s="7"/>
      <c r="AA9" s="7"/>
      <c r="AB9" s="6"/>
      <c r="AC9" s="15"/>
      <c r="AD9" s="6"/>
      <c r="AE9" s="3"/>
      <c r="AF9" s="6"/>
      <c r="AG9" s="5"/>
      <c r="AH9" s="5"/>
      <c r="AI9" s="5"/>
      <c r="AJ9" s="5"/>
      <c r="AK9" s="5"/>
      <c r="AL9" s="3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 t="s">
        <v>870</v>
      </c>
      <c r="BD9" s="3"/>
      <c r="BE9" s="3"/>
      <c r="BF9" s="7">
        <f>SUM(BF878)</f>
      </c>
      <c r="BG9" s="6">
        <f>BF9/E9</f>
      </c>
      <c r="BH9" s="3"/>
      <c r="BI9" s="6"/>
    </row>
    <row x14ac:dyDescent="0.25" r="10" customHeight="1" ht="12.75">
      <c r="A10" s="5"/>
      <c r="B10" s="3"/>
      <c r="C10" s="39" t="s">
        <v>870</v>
      </c>
      <c r="D10" s="40" t="s">
        <v>875</v>
      </c>
      <c r="E10" s="41">
        <f>SUM(E7:E9)</f>
      </c>
      <c r="F10" s="42">
        <f>100*K10/$E10</f>
      </c>
      <c r="G10" s="42">
        <f>100*L10/$E10</f>
      </c>
      <c r="H10" s="41">
        <f>M10/$E10</f>
      </c>
      <c r="I10" s="42">
        <f>100*O10/$E10</f>
      </c>
      <c r="J10" s="42">
        <f>N10/$E10</f>
      </c>
      <c r="K10" s="42">
        <f>SUM(K7:K9)</f>
      </c>
      <c r="L10" s="42">
        <f>SUM(L7:L9)</f>
      </c>
      <c r="M10" s="40">
        <f>SUM(M7:M9)</f>
      </c>
      <c r="N10" s="41">
        <f>SUM(N7:N9)</f>
      </c>
      <c r="O10" s="42">
        <f>SUM(O7:O9)</f>
      </c>
      <c r="P10" s="42">
        <f>K10+L10+O10</f>
      </c>
      <c r="Q10" s="42">
        <f>F10+G10+I10</f>
      </c>
      <c r="R10" s="6"/>
      <c r="S10" s="6"/>
      <c r="T10" s="42" t="s">
        <v>870</v>
      </c>
      <c r="U10" s="6"/>
      <c r="V10" s="5"/>
      <c r="W10" s="6">
        <f>(F10/100)*W$3</f>
      </c>
      <c r="X10" s="6">
        <f>(G10/100)*X$3</f>
      </c>
      <c r="Y10" s="6">
        <f>(H10/1000000)*Y$3</f>
      </c>
      <c r="Z10" s="6">
        <f>(I10/100)*Z$3</f>
      </c>
      <c r="AA10" s="6">
        <f>(J10/1000000)*AA$3</f>
      </c>
      <c r="AB10" s="6"/>
      <c r="AC10" s="6">
        <f>SUM(W10:AA10)</f>
      </c>
      <c r="AD10" s="6"/>
      <c r="AE10" s="3"/>
      <c r="AF10" s="6"/>
      <c r="AG10" s="5"/>
      <c r="AH10" s="5"/>
      <c r="AI10" s="5"/>
      <c r="AJ10" s="5"/>
      <c r="AK10" s="5"/>
      <c r="AL10" s="3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42" t="s">
        <v>870</v>
      </c>
      <c r="BD10" s="3"/>
      <c r="BE10" s="3"/>
      <c r="BF10" s="41">
        <f>SUM(BF7:BF9)</f>
      </c>
      <c r="BG10" s="42">
        <f>BF10/E10</f>
      </c>
      <c r="BH10" s="3"/>
      <c r="BI10" s="6">
        <f>BG10-AC10</f>
      </c>
    </row>
    <row x14ac:dyDescent="0.25" r="11" customHeight="1" ht="12.75">
      <c r="A11" s="5"/>
      <c r="B11" s="3" t="s">
        <v>855</v>
      </c>
      <c r="C11" s="3" t="s">
        <v>869</v>
      </c>
      <c r="D11" s="5">
        <f>COUNT(E517:E588)</f>
      </c>
      <c r="E11" s="7">
        <f>SUM(E517:E588)</f>
      </c>
      <c r="F11" s="6">
        <f>100*K11/$E11</f>
      </c>
      <c r="G11" s="6">
        <f>100*L11/$E11</f>
      </c>
      <c r="H11" s="7">
        <f>M11/$E11</f>
      </c>
      <c r="I11" s="6">
        <f>100*O11/$E11</f>
      </c>
      <c r="J11" s="6">
        <f>N11/$E11</f>
      </c>
      <c r="K11" s="6">
        <f>SUM(X517:X588)</f>
      </c>
      <c r="L11" s="6">
        <f>SUM(Y517:Y588)</f>
      </c>
      <c r="M11" s="5">
        <f>SUM(Z517:Z588)</f>
      </c>
      <c r="N11" s="7">
        <f>SUM(AA517:AA588)</f>
      </c>
      <c r="O11" s="6">
        <f>SUM(AB517:AB588)</f>
      </c>
      <c r="P11" s="6">
        <f>K11+L11+O11</f>
      </c>
      <c r="Q11" s="6">
        <f>F11+G11+I11</f>
      </c>
      <c r="R11" s="6"/>
      <c r="S11" s="6"/>
      <c r="T11" s="6" t="s">
        <v>869</v>
      </c>
      <c r="U11" s="6"/>
      <c r="V11" s="5"/>
      <c r="W11" s="6"/>
      <c r="X11" s="6"/>
      <c r="Y11" s="6"/>
      <c r="Z11" s="7"/>
      <c r="AA11" s="7"/>
      <c r="AB11" s="6"/>
      <c r="AC11" s="15"/>
      <c r="AD11" s="6"/>
      <c r="AE11" s="3"/>
      <c r="AF11" s="6"/>
      <c r="AG11" s="5"/>
      <c r="AH11" s="5"/>
      <c r="AI11" s="5"/>
      <c r="AJ11" s="5"/>
      <c r="AK11" s="5"/>
      <c r="AL11" s="3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 t="s">
        <v>869</v>
      </c>
      <c r="BD11" s="3"/>
      <c r="BE11" s="3"/>
      <c r="BF11" s="7">
        <f>SUM(BF517:BF588)</f>
      </c>
      <c r="BG11" s="6">
        <f>BF11/E11</f>
      </c>
      <c r="BH11" s="3"/>
      <c r="BI11" s="6"/>
    </row>
    <row x14ac:dyDescent="0.25" r="12" customHeight="1" ht="12.75">
      <c r="A12" s="5"/>
      <c r="B12" s="38" t="s">
        <v>859</v>
      </c>
      <c r="C12" s="3" t="s">
        <v>869</v>
      </c>
      <c r="D12" s="5">
        <f>COUNT(E589:E608)</f>
      </c>
      <c r="E12" s="7">
        <f>SUM(E589:E608)</f>
      </c>
      <c r="F12" s="6">
        <f>100*K12/$E12</f>
      </c>
      <c r="G12" s="6">
        <f>100*L12/$E12</f>
      </c>
      <c r="H12" s="7">
        <f>M12/$E12</f>
      </c>
      <c r="I12" s="6">
        <f>100*O12/$E12</f>
      </c>
      <c r="J12" s="6">
        <f>N12/$E12</f>
      </c>
      <c r="K12" s="6">
        <f>SUM(X589:X608)</f>
      </c>
      <c r="L12" s="6">
        <f>SUM(Y589:Y608)</f>
      </c>
      <c r="M12" s="5">
        <f>SUM(Z589:Z608)</f>
      </c>
      <c r="N12" s="7">
        <f>SUM(AA589:AA608)</f>
      </c>
      <c r="O12" s="6">
        <f>SUM(AB589:AB608)</f>
      </c>
      <c r="P12" s="6">
        <f>K12+L12+O12</f>
      </c>
      <c r="Q12" s="6">
        <f>F12+G12+I12</f>
      </c>
      <c r="R12" s="6"/>
      <c r="S12" s="6"/>
      <c r="T12" s="6" t="s">
        <v>869</v>
      </c>
      <c r="U12" s="6"/>
      <c r="V12" s="5"/>
      <c r="W12" s="6"/>
      <c r="X12" s="6"/>
      <c r="Y12" s="6"/>
      <c r="Z12" s="7"/>
      <c r="AA12" s="7"/>
      <c r="AB12" s="6"/>
      <c r="AC12" s="15"/>
      <c r="AD12" s="6"/>
      <c r="AE12" s="3"/>
      <c r="AF12" s="6"/>
      <c r="AG12" s="5"/>
      <c r="AH12" s="5"/>
      <c r="AI12" s="5"/>
      <c r="AJ12" s="5"/>
      <c r="AK12" s="5"/>
      <c r="AL12" s="3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 t="s">
        <v>869</v>
      </c>
      <c r="BD12" s="3"/>
      <c r="BE12" s="3"/>
      <c r="BF12" s="7">
        <f>SUM(BF591:BF608)</f>
      </c>
      <c r="BG12" s="6">
        <f>BF12/E12</f>
      </c>
      <c r="BH12" s="3"/>
      <c r="BI12" s="6"/>
    </row>
    <row x14ac:dyDescent="0.25" r="13" customHeight="1" ht="12.75">
      <c r="A13" s="5"/>
      <c r="B13" s="3"/>
      <c r="C13" s="39" t="s">
        <v>869</v>
      </c>
      <c r="D13" s="40" t="s">
        <v>875</v>
      </c>
      <c r="E13" s="41">
        <f>SUM(E11:E12)</f>
      </c>
      <c r="F13" s="42">
        <f>100*K13/$E13</f>
      </c>
      <c r="G13" s="42">
        <f>100*L13/$E13</f>
      </c>
      <c r="H13" s="41">
        <f>M13/$E13</f>
      </c>
      <c r="I13" s="42">
        <f>100*O13/$E13</f>
      </c>
      <c r="J13" s="42">
        <f>N13/$E13</f>
      </c>
      <c r="K13" s="42">
        <f>SUM(K11:K12)</f>
      </c>
      <c r="L13" s="42">
        <f>SUM(L11:L12)</f>
      </c>
      <c r="M13" s="40">
        <f>SUM(M11:M12)</f>
      </c>
      <c r="N13" s="41">
        <f>SUM(N11:N12)</f>
      </c>
      <c r="O13" s="42">
        <f>SUM(O11:O12)</f>
      </c>
      <c r="P13" s="42">
        <f>K13+L13+O13</f>
      </c>
      <c r="Q13" s="42">
        <f>F13+G13+I13</f>
      </c>
      <c r="R13" s="6"/>
      <c r="S13" s="6"/>
      <c r="T13" s="42" t="s">
        <v>869</v>
      </c>
      <c r="U13" s="6"/>
      <c r="V13" s="5"/>
      <c r="W13" s="6">
        <f>(F13/100)*W$3</f>
      </c>
      <c r="X13" s="6">
        <f>(G13/100)*X$3</f>
      </c>
      <c r="Y13" s="6">
        <f>(H13/1000000)*Y$3</f>
      </c>
      <c r="Z13" s="6">
        <f>(I13/100)*Z$3</f>
      </c>
      <c r="AA13" s="6">
        <f>(J13/1000000)*AA$3</f>
      </c>
      <c r="AB13" s="6"/>
      <c r="AC13" s="6">
        <f>SUM(W13:AA13)</f>
      </c>
      <c r="AD13" s="6"/>
      <c r="AE13" s="3"/>
      <c r="AF13" s="6"/>
      <c r="AG13" s="5"/>
      <c r="AH13" s="5"/>
      <c r="AI13" s="5"/>
      <c r="AJ13" s="5"/>
      <c r="AK13" s="5"/>
      <c r="AL13" s="3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42" t="s">
        <v>869</v>
      </c>
      <c r="BD13" s="3"/>
      <c r="BE13" s="3"/>
      <c r="BF13" s="41">
        <f>SUM(BF11:BF12)</f>
      </c>
      <c r="BG13" s="42">
        <f>BF13/E13</f>
      </c>
      <c r="BH13" s="3"/>
      <c r="BI13" s="6">
        <f>BG13-AC13</f>
      </c>
    </row>
    <row x14ac:dyDescent="0.25" r="14" customHeight="1" ht="12.75">
      <c r="A14" s="5"/>
      <c r="B14" s="3" t="s">
        <v>855</v>
      </c>
      <c r="C14" s="3" t="s">
        <v>865</v>
      </c>
      <c r="D14" s="5">
        <f>COUNT(E216:E228)</f>
      </c>
      <c r="E14" s="7">
        <f>SUM(E216:E228)</f>
      </c>
      <c r="F14" s="6">
        <f>100*K14/$E14</f>
      </c>
      <c r="G14" s="6">
        <f>100*L14/$E14</f>
      </c>
      <c r="H14" s="7">
        <f>M14/$E14</f>
      </c>
      <c r="I14" s="6">
        <f>100*O14/$E14</f>
      </c>
      <c r="J14" s="6">
        <f>N14/$E14</f>
      </c>
      <c r="K14" s="6">
        <f>SUM(X216:X228)</f>
      </c>
      <c r="L14" s="6">
        <f>SUM(Y216:Y228)</f>
      </c>
      <c r="M14" s="5">
        <f>SUM(Z216:Z228)</f>
      </c>
      <c r="N14" s="7">
        <f>SUM(AA216:AA228)</f>
      </c>
      <c r="O14" s="6">
        <f>SUM(AB216:AB228)</f>
      </c>
      <c r="P14" s="6">
        <f>K14+L14+O14</f>
      </c>
      <c r="Q14" s="6">
        <f>F14+G14+I14</f>
      </c>
      <c r="R14" s="6"/>
      <c r="S14" s="6"/>
      <c r="T14" s="6" t="s">
        <v>865</v>
      </c>
      <c r="U14" s="6"/>
      <c r="V14" s="5"/>
      <c r="W14" s="6"/>
      <c r="X14" s="6"/>
      <c r="Y14" s="6"/>
      <c r="Z14" s="7"/>
      <c r="AA14" s="7"/>
      <c r="AB14" s="6"/>
      <c r="AC14" s="15"/>
      <c r="AD14" s="6"/>
      <c r="AE14" s="3"/>
      <c r="AF14" s="6"/>
      <c r="AG14" s="5"/>
      <c r="AH14" s="5"/>
      <c r="AI14" s="5"/>
      <c r="AJ14" s="5"/>
      <c r="AK14" s="5"/>
      <c r="AL14" s="3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 t="s">
        <v>865</v>
      </c>
      <c r="BD14" s="3"/>
      <c r="BE14" s="3"/>
      <c r="BF14" s="7">
        <f>SUM(BF216:BF228)</f>
      </c>
      <c r="BG14" s="6">
        <f>BF14/E14</f>
      </c>
      <c r="BH14" s="3"/>
      <c r="BI14" s="6"/>
    </row>
    <row x14ac:dyDescent="0.25" r="15" customHeight="1" ht="12.75">
      <c r="A15" s="5"/>
      <c r="B15" s="38" t="s">
        <v>859</v>
      </c>
      <c r="C15" s="3" t="s">
        <v>865</v>
      </c>
      <c r="D15" s="5">
        <f>COUNT(E229:E231)</f>
      </c>
      <c r="E15" s="7">
        <f>SUM(E229:E231)</f>
      </c>
      <c r="F15" s="6">
        <f>100*K15/$E15</f>
      </c>
      <c r="G15" s="6">
        <f>100*L15/$E15</f>
      </c>
      <c r="H15" s="7">
        <f>M15/$E15</f>
      </c>
      <c r="I15" s="6">
        <f>100*O15/$E15</f>
      </c>
      <c r="J15" s="6">
        <f>N15/$E15</f>
      </c>
      <c r="K15" s="6">
        <f>SUM(X229:X231)</f>
      </c>
      <c r="L15" s="6">
        <f>SUM(Y229:Y231)</f>
      </c>
      <c r="M15" s="6">
        <f>SUM(Z229:Z231)</f>
      </c>
      <c r="N15" s="7">
        <f>SUM(AA229:AA231)</f>
      </c>
      <c r="O15" s="6">
        <f>SUM(AB229:AB231)</f>
      </c>
      <c r="P15" s="6">
        <f>K15+L15+O15</f>
      </c>
      <c r="Q15" s="6">
        <f>F15+G15+I15</f>
      </c>
      <c r="R15" s="6"/>
      <c r="S15" s="6"/>
      <c r="T15" s="6" t="s">
        <v>865</v>
      </c>
      <c r="U15" s="6"/>
      <c r="V15" s="5"/>
      <c r="W15" s="6"/>
      <c r="X15" s="6"/>
      <c r="Y15" s="6"/>
      <c r="Z15" s="7"/>
      <c r="AA15" s="7"/>
      <c r="AB15" s="6"/>
      <c r="AC15" s="15"/>
      <c r="AD15" s="6"/>
      <c r="AE15" s="3"/>
      <c r="AF15" s="6"/>
      <c r="AG15" s="5"/>
      <c r="AH15" s="5"/>
      <c r="AI15" s="5"/>
      <c r="AJ15" s="5"/>
      <c r="AK15" s="5"/>
      <c r="AL15" s="3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 t="s">
        <v>865</v>
      </c>
      <c r="BD15" s="3"/>
      <c r="BE15" s="3"/>
      <c r="BF15" s="7">
        <f>SUM(BF229:BF231)</f>
      </c>
      <c r="BG15" s="6">
        <f>BF15/E15</f>
      </c>
      <c r="BH15" s="3"/>
      <c r="BI15" s="6"/>
    </row>
    <row x14ac:dyDescent="0.25" r="16" customHeight="1" ht="12.75">
      <c r="A16" s="5"/>
      <c r="B16" s="3"/>
      <c r="C16" s="39" t="s">
        <v>865</v>
      </c>
      <c r="D16" s="40" t="s">
        <v>875</v>
      </c>
      <c r="E16" s="41">
        <f>SUM(E14:E15)</f>
      </c>
      <c r="F16" s="42">
        <f>100*K16/$E16</f>
      </c>
      <c r="G16" s="42">
        <f>100*L16/$E16</f>
      </c>
      <c r="H16" s="41">
        <f>M16/$E16</f>
      </c>
      <c r="I16" s="42">
        <f>100*O16/$E16</f>
      </c>
      <c r="J16" s="42">
        <f>N16/$E16</f>
      </c>
      <c r="K16" s="42">
        <f>SUM(K14:K15)</f>
      </c>
      <c r="L16" s="42">
        <f>SUM(L14:L15)</f>
      </c>
      <c r="M16" s="40">
        <f>SUM(M14:M15)</f>
      </c>
      <c r="N16" s="41">
        <f>SUM(N14:N15)</f>
      </c>
      <c r="O16" s="42">
        <f>SUM(O14:O15)</f>
      </c>
      <c r="P16" s="42">
        <f>K16+L16+O16</f>
      </c>
      <c r="Q16" s="42">
        <f>F16+G16+I16</f>
      </c>
      <c r="R16" s="6"/>
      <c r="S16" s="6"/>
      <c r="T16" s="42" t="s">
        <v>865</v>
      </c>
      <c r="U16" s="6"/>
      <c r="V16" s="5"/>
      <c r="W16" s="6">
        <f>(F16/100)*W$3</f>
      </c>
      <c r="X16" s="6">
        <f>(G16/100)*X$3</f>
      </c>
      <c r="Y16" s="6">
        <f>(H16/1000000)*Y$3</f>
      </c>
      <c r="Z16" s="6">
        <f>(I16/100)*Z$3</f>
      </c>
      <c r="AA16" s="6">
        <f>(J16/1000000)*AA$3</f>
      </c>
      <c r="AB16" s="6"/>
      <c r="AC16" s="6">
        <f>SUM(W16:AA16)</f>
      </c>
      <c r="AD16" s="6"/>
      <c r="AE16" s="3"/>
      <c r="AF16" s="6"/>
      <c r="AG16" s="5"/>
      <c r="AH16" s="5"/>
      <c r="AI16" s="5"/>
      <c r="AJ16" s="5"/>
      <c r="AK16" s="5"/>
      <c r="AL16" s="3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42" t="s">
        <v>865</v>
      </c>
      <c r="BD16" s="3"/>
      <c r="BE16" s="3"/>
      <c r="BF16" s="41">
        <f>SUM(BF14:BF15)</f>
      </c>
      <c r="BG16" s="42">
        <f>BF16/E16</f>
      </c>
      <c r="BH16" s="3"/>
      <c r="BI16" s="6">
        <f>BG16-AC16</f>
      </c>
    </row>
    <row x14ac:dyDescent="0.25" r="17" customHeight="1" ht="12.75">
      <c r="A17" s="5"/>
      <c r="B17" s="3" t="s">
        <v>855</v>
      </c>
      <c r="C17" s="3" t="s">
        <v>856</v>
      </c>
      <c r="D17" s="5">
        <f>COUNT(E43:E141)</f>
      </c>
      <c r="E17" s="7">
        <f>SUM(E43:E141)</f>
      </c>
      <c r="F17" s="6">
        <f>100*K17/$E17</f>
      </c>
      <c r="G17" s="6">
        <f>100*L17/$E17</f>
      </c>
      <c r="H17" s="7">
        <f>M17/$E17</f>
      </c>
      <c r="I17" s="6">
        <f>100*O17/$E17</f>
      </c>
      <c r="J17" s="6">
        <f>N17/$E17</f>
      </c>
      <c r="K17" s="6">
        <f>SUM(X43:X141)</f>
      </c>
      <c r="L17" s="6">
        <f>SUM(Y43:Y141)</f>
      </c>
      <c r="M17" s="5">
        <f>SUM(Z43:Z141)</f>
      </c>
      <c r="N17" s="7">
        <f>SUM(AA43:AA141)</f>
      </c>
      <c r="O17" s="6">
        <f>SUM(AB43:AB141)</f>
      </c>
      <c r="P17" s="6">
        <f>K17+L17+O17</f>
      </c>
      <c r="Q17" s="6">
        <f>F17+G17+I17</f>
      </c>
      <c r="R17" s="6"/>
      <c r="S17" s="6"/>
      <c r="T17" s="6" t="s">
        <v>856</v>
      </c>
      <c r="U17" s="6"/>
      <c r="V17" s="5"/>
      <c r="W17" s="6"/>
      <c r="X17" s="6"/>
      <c r="Y17" s="6"/>
      <c r="Z17" s="7"/>
      <c r="AA17" s="7"/>
      <c r="AB17" s="6"/>
      <c r="AC17" s="15"/>
      <c r="AD17" s="6"/>
      <c r="AE17" s="3"/>
      <c r="AF17" s="6"/>
      <c r="AG17" s="5"/>
      <c r="AH17" s="5"/>
      <c r="AI17" s="5"/>
      <c r="AJ17" s="5"/>
      <c r="AK17" s="5"/>
      <c r="AL17" s="3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 t="s">
        <v>856</v>
      </c>
      <c r="BD17" s="3"/>
      <c r="BE17" s="3"/>
      <c r="BF17" s="7">
        <f>SUM(BF43:BF141)</f>
      </c>
      <c r="BG17" s="6">
        <f>BF17/E17</f>
      </c>
      <c r="BH17" s="3"/>
      <c r="BI17" s="6"/>
    </row>
    <row x14ac:dyDescent="0.25" r="18" customHeight="1" ht="12.75">
      <c r="A18" s="5"/>
      <c r="B18" s="38" t="s">
        <v>859</v>
      </c>
      <c r="C18" s="3" t="s">
        <v>856</v>
      </c>
      <c r="D18" s="5">
        <f>COUNT(E142:E180)</f>
      </c>
      <c r="E18" s="7">
        <f>SUM(E142:E180)</f>
      </c>
      <c r="F18" s="6">
        <f>100*K18/$E18</f>
      </c>
      <c r="G18" s="6">
        <f>100*L18/$E18</f>
      </c>
      <c r="H18" s="7">
        <f>M18/$E18</f>
      </c>
      <c r="I18" s="6">
        <f>100*O18/$E18</f>
      </c>
      <c r="J18" s="6">
        <f>N18/$E18</f>
      </c>
      <c r="K18" s="6">
        <f>SUM(X142:X180)</f>
      </c>
      <c r="L18" s="6">
        <f>SUM(Y142:Y180)</f>
      </c>
      <c r="M18" s="5">
        <f>SUM(Z142:Z180)</f>
      </c>
      <c r="N18" s="7">
        <f>SUM(AA142:AA180)</f>
      </c>
      <c r="O18" s="6">
        <f>SUM(AB142:AB180)</f>
      </c>
      <c r="P18" s="6">
        <f>K18+L18+O18</f>
      </c>
      <c r="Q18" s="6">
        <f>F18+G18+I18</f>
      </c>
      <c r="R18" s="6"/>
      <c r="S18" s="6"/>
      <c r="T18" s="6" t="s">
        <v>856</v>
      </c>
      <c r="U18" s="6"/>
      <c r="V18" s="5"/>
      <c r="W18" s="6"/>
      <c r="X18" s="6"/>
      <c r="Y18" s="6"/>
      <c r="Z18" s="7"/>
      <c r="AA18" s="7"/>
      <c r="AB18" s="6"/>
      <c r="AC18" s="15"/>
      <c r="AD18" s="6"/>
      <c r="AE18" s="3"/>
      <c r="AF18" s="6"/>
      <c r="AG18" s="5"/>
      <c r="AH18" s="5"/>
      <c r="AI18" s="5"/>
      <c r="AJ18" s="5"/>
      <c r="AK18" s="5"/>
      <c r="AL18" s="3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 t="s">
        <v>856</v>
      </c>
      <c r="BD18" s="3"/>
      <c r="BE18" s="3"/>
      <c r="BF18" s="7">
        <f>SUM(BF142:BF180)</f>
      </c>
      <c r="BG18" s="6">
        <f>BF18/E18</f>
      </c>
      <c r="BH18" s="3"/>
      <c r="BI18" s="6"/>
    </row>
    <row x14ac:dyDescent="0.25" r="19" customHeight="1" ht="12.75">
      <c r="A19" s="5"/>
      <c r="B19" s="3"/>
      <c r="C19" s="39" t="s">
        <v>856</v>
      </c>
      <c r="D19" s="40" t="s">
        <v>875</v>
      </c>
      <c r="E19" s="41">
        <f>SUM(E17:E18)</f>
      </c>
      <c r="F19" s="42">
        <f>100*K19/$E19</f>
      </c>
      <c r="G19" s="42">
        <f>100*L19/$E19</f>
      </c>
      <c r="H19" s="41">
        <f>M19/$E19</f>
      </c>
      <c r="I19" s="42">
        <f>100*O19/$E19</f>
      </c>
      <c r="J19" s="42">
        <f>N19/$E19</f>
      </c>
      <c r="K19" s="42">
        <f>SUM(K17:K18)</f>
      </c>
      <c r="L19" s="42">
        <f>SUM(L17:L18)</f>
      </c>
      <c r="M19" s="40">
        <f>SUM(M17:M18)</f>
      </c>
      <c r="N19" s="41">
        <f>SUM(N17:N18)</f>
      </c>
      <c r="O19" s="42">
        <f>SUM(O17:O18)</f>
      </c>
      <c r="P19" s="42">
        <f>K19+L19+O19</f>
      </c>
      <c r="Q19" s="42">
        <f>F19+G19+I19</f>
      </c>
      <c r="R19" s="6"/>
      <c r="S19" s="6"/>
      <c r="T19" s="42" t="s">
        <v>856</v>
      </c>
      <c r="U19" s="6"/>
      <c r="V19" s="5"/>
      <c r="W19" s="6">
        <f>(F19/100)*W$3</f>
      </c>
      <c r="X19" s="6">
        <f>(G19/100)*X$3</f>
      </c>
      <c r="Y19" s="6">
        <f>(H19/1000000)*Y$3</f>
      </c>
      <c r="Z19" s="6">
        <f>(I19/100)*Z$3</f>
      </c>
      <c r="AA19" s="6">
        <f>(J19/1000000)*AA$3</f>
      </c>
      <c r="AB19" s="6"/>
      <c r="AC19" s="6">
        <f>SUM(W19:AA19)</f>
      </c>
      <c r="AD19" s="6"/>
      <c r="AE19" s="3"/>
      <c r="AF19" s="6"/>
      <c r="AG19" s="5"/>
      <c r="AH19" s="5"/>
      <c r="AI19" s="5"/>
      <c r="AJ19" s="5"/>
      <c r="AK19" s="5"/>
      <c r="AL19" s="3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42" t="s">
        <v>856</v>
      </c>
      <c r="BD19" s="3"/>
      <c r="BE19" s="3"/>
      <c r="BF19" s="41">
        <f>SUM(BF17:BF18)</f>
      </c>
      <c r="BG19" s="42">
        <f>BF19/E19</f>
      </c>
      <c r="BH19" s="3"/>
      <c r="BI19" s="6">
        <f>BG19-AC19</f>
      </c>
    </row>
    <row x14ac:dyDescent="0.25" r="20" customHeight="1" ht="12.75">
      <c r="A20" s="5"/>
      <c r="B20" s="3" t="s">
        <v>855</v>
      </c>
      <c r="C20" s="3" t="s">
        <v>868</v>
      </c>
      <c r="D20" s="5">
        <f>COUNT(E508:E515)</f>
      </c>
      <c r="E20" s="7">
        <f>SUM(E508:E515)</f>
      </c>
      <c r="F20" s="6">
        <f>100*K20/$E20</f>
      </c>
      <c r="G20" s="6">
        <f>100*L20/$E20</f>
      </c>
      <c r="H20" s="7">
        <f>M20/$E20</f>
      </c>
      <c r="I20" s="6">
        <f>100*O20/$E20</f>
      </c>
      <c r="J20" s="6">
        <f>N20/$E20</f>
      </c>
      <c r="K20" s="6">
        <f>SUM(X508:X515)</f>
      </c>
      <c r="L20" s="6">
        <f>SUM(Y508:Y515)</f>
      </c>
      <c r="M20" s="5">
        <f>SUM(Z508:Z515)</f>
      </c>
      <c r="N20" s="7">
        <f>SUM(AA508:AA515)</f>
      </c>
      <c r="O20" s="6">
        <f>SUM(AB508:AB515)</f>
      </c>
      <c r="P20" s="6">
        <f>K20+L20+O20</f>
      </c>
      <c r="Q20" s="6">
        <f>F20+G20+I20</f>
      </c>
      <c r="R20" s="6"/>
      <c r="S20" s="6"/>
      <c r="T20" s="6" t="s">
        <v>868</v>
      </c>
      <c r="U20" s="6"/>
      <c r="V20" s="5"/>
      <c r="W20" s="6"/>
      <c r="X20" s="6"/>
      <c r="Y20" s="6"/>
      <c r="Z20" s="7"/>
      <c r="AA20" s="7"/>
      <c r="AB20" s="6"/>
      <c r="AC20" s="15"/>
      <c r="AD20" s="6"/>
      <c r="AE20" s="3"/>
      <c r="AF20" s="6"/>
      <c r="AG20" s="5"/>
      <c r="AH20" s="5"/>
      <c r="AI20" s="5"/>
      <c r="AJ20" s="5"/>
      <c r="AK20" s="5"/>
      <c r="AL20" s="3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 t="s">
        <v>868</v>
      </c>
      <c r="BD20" s="3"/>
      <c r="BE20" s="3"/>
      <c r="BF20" s="7">
        <f>SUM(BF508:BF515)</f>
      </c>
      <c r="BG20" s="6">
        <f>BF20/E20</f>
      </c>
      <c r="BH20" s="3"/>
      <c r="BI20" s="6"/>
    </row>
    <row x14ac:dyDescent="0.25" r="21" customHeight="1" ht="12.75">
      <c r="A21" s="5"/>
      <c r="B21" s="38" t="s">
        <v>859</v>
      </c>
      <c r="C21" s="3" t="s">
        <v>868</v>
      </c>
      <c r="D21" s="5">
        <f>COUNT(E516)</f>
      </c>
      <c r="E21" s="6">
        <f>SUM(E516)</f>
      </c>
      <c r="F21" s="6">
        <f>100*K21/$E21</f>
      </c>
      <c r="G21" s="6">
        <f>100*L21/$E21</f>
      </c>
      <c r="H21" s="7">
        <f>M21/$E21</f>
      </c>
      <c r="I21" s="6">
        <f>100*O21/$E21</f>
      </c>
      <c r="J21" s="6">
        <f>N21/$E21</f>
      </c>
      <c r="K21" s="6">
        <f>SUM(X516)</f>
      </c>
      <c r="L21" s="6">
        <f>SUM(Y516)</f>
      </c>
      <c r="M21" s="6">
        <f>SUM(Z516)</f>
      </c>
      <c r="N21" s="6">
        <f>SUM(AA516)</f>
      </c>
      <c r="O21" s="6">
        <f>SUM(AB516)</f>
      </c>
      <c r="P21" s="6">
        <f>K21+L21+O21</f>
      </c>
      <c r="Q21" s="6">
        <f>F21+G21+I21</f>
      </c>
      <c r="R21" s="6"/>
      <c r="S21" s="6"/>
      <c r="T21" s="6" t="s">
        <v>868</v>
      </c>
      <c r="U21" s="6"/>
      <c r="V21" s="5"/>
      <c r="W21" s="6"/>
      <c r="X21" s="6"/>
      <c r="Y21" s="6"/>
      <c r="Z21" s="7"/>
      <c r="AA21" s="7"/>
      <c r="AB21" s="6"/>
      <c r="AC21" s="15"/>
      <c r="AD21" s="6"/>
      <c r="AE21" s="3"/>
      <c r="AF21" s="6"/>
      <c r="AG21" s="5"/>
      <c r="AH21" s="5"/>
      <c r="AI21" s="5"/>
      <c r="AJ21" s="5"/>
      <c r="AK21" s="5"/>
      <c r="AL21" s="3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 t="s">
        <v>868</v>
      </c>
      <c r="BD21" s="3"/>
      <c r="BE21" s="3"/>
      <c r="BF21" s="6">
        <f>SUM(BF516)</f>
      </c>
      <c r="BG21" s="6">
        <f>BF21/E21</f>
      </c>
      <c r="BH21" s="3"/>
      <c r="BI21" s="6"/>
    </row>
    <row x14ac:dyDescent="0.25" r="22" customHeight="1" ht="12.75">
      <c r="A22" s="5"/>
      <c r="B22" s="3"/>
      <c r="C22" s="39" t="s">
        <v>868</v>
      </c>
      <c r="D22" s="40" t="s">
        <v>875</v>
      </c>
      <c r="E22" s="41">
        <f>SUM(E20:E21)</f>
      </c>
      <c r="F22" s="42">
        <f>100*K22/$E22</f>
      </c>
      <c r="G22" s="42">
        <f>100*L22/$E22</f>
      </c>
      <c r="H22" s="41">
        <f>M22/$E22</f>
      </c>
      <c r="I22" s="42">
        <f>100*O22/$E22</f>
      </c>
      <c r="J22" s="42">
        <f>N22/$E22</f>
      </c>
      <c r="K22" s="42">
        <f>SUM(K20:K21)</f>
      </c>
      <c r="L22" s="42">
        <f>SUM(L20:L21)</f>
      </c>
      <c r="M22" s="40">
        <f>SUM(M20:M21)</f>
      </c>
      <c r="N22" s="41">
        <f>SUM(N20:N21)</f>
      </c>
      <c r="O22" s="42">
        <f>SUM(O20:O21)</f>
      </c>
      <c r="P22" s="42">
        <f>K22+L22+O22</f>
      </c>
      <c r="Q22" s="42">
        <f>F22+G22+I22</f>
      </c>
      <c r="R22" s="6"/>
      <c r="S22" s="6"/>
      <c r="T22" s="42" t="s">
        <v>868</v>
      </c>
      <c r="U22" s="6"/>
      <c r="V22" s="5"/>
      <c r="W22" s="6">
        <f>(F22/100)*W$3</f>
      </c>
      <c r="X22" s="6">
        <f>(G22/100)*X$3</f>
      </c>
      <c r="Y22" s="6">
        <f>(H22/1000000)*Y$3</f>
      </c>
      <c r="Z22" s="6">
        <f>(I22/100)*Z$3</f>
      </c>
      <c r="AA22" s="6">
        <f>(J22/1000000)*AA$3</f>
      </c>
      <c r="AB22" s="6"/>
      <c r="AC22" s="6">
        <f>SUM(W22:AA22)</f>
      </c>
      <c r="AD22" s="6"/>
      <c r="AE22" s="3"/>
      <c r="AF22" s="6"/>
      <c r="AG22" s="5"/>
      <c r="AH22" s="5"/>
      <c r="AI22" s="5"/>
      <c r="AJ22" s="5"/>
      <c r="AK22" s="5"/>
      <c r="AL22" s="3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42" t="s">
        <v>868</v>
      </c>
      <c r="BD22" s="3"/>
      <c r="BE22" s="3"/>
      <c r="BF22" s="41">
        <f>SUM(BF20:BF21)</f>
      </c>
      <c r="BG22" s="42">
        <f>BF22/E22</f>
      </c>
      <c r="BH22" s="3"/>
      <c r="BI22" s="6">
        <f>BG22-AC22</f>
      </c>
    </row>
    <row x14ac:dyDescent="0.25" r="23" customHeight="1" ht="12.75">
      <c r="A23" s="5"/>
      <c r="B23" s="3" t="s">
        <v>855</v>
      </c>
      <c r="C23" s="3" t="s">
        <v>863</v>
      </c>
      <c r="D23" s="5">
        <f>COUNT(E195:E206)</f>
      </c>
      <c r="E23" s="7">
        <f>SUM(E195:E206)</f>
      </c>
      <c r="F23" s="6">
        <f>100*K23/$E23</f>
      </c>
      <c r="G23" s="6">
        <f>100*L23/$E23</f>
      </c>
      <c r="H23" s="7">
        <f>M23/$E23</f>
      </c>
      <c r="I23" s="6">
        <f>100*O23/$E23</f>
      </c>
      <c r="J23" s="6">
        <f>N23/$E23</f>
      </c>
      <c r="K23" s="6">
        <f>SUM(X195:X206)</f>
      </c>
      <c r="L23" s="6">
        <f>SUM(Y195:Y206)</f>
      </c>
      <c r="M23" s="5">
        <f>SUM(Z195:Z206)</f>
      </c>
      <c r="N23" s="7">
        <f>SUM(AA195:AA206)</f>
      </c>
      <c r="O23" s="6">
        <f>SUM(AB195:AB206)</f>
      </c>
      <c r="P23" s="6">
        <f>K23+L23+O23</f>
      </c>
      <c r="Q23" s="6">
        <f>F23+G23+I23</f>
      </c>
      <c r="R23" s="6"/>
      <c r="S23" s="6"/>
      <c r="T23" s="6" t="s">
        <v>863</v>
      </c>
      <c r="U23" s="6"/>
      <c r="V23" s="5"/>
      <c r="W23" s="6"/>
      <c r="X23" s="6"/>
      <c r="Y23" s="6"/>
      <c r="Z23" s="7"/>
      <c r="AA23" s="7"/>
      <c r="AB23" s="6"/>
      <c r="AC23" s="15"/>
      <c r="AD23" s="6"/>
      <c r="AE23" s="3"/>
      <c r="AF23" s="6"/>
      <c r="AG23" s="5"/>
      <c r="AH23" s="5"/>
      <c r="AI23" s="5"/>
      <c r="AJ23" s="5"/>
      <c r="AK23" s="5"/>
      <c r="AL23" s="3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 t="s">
        <v>863</v>
      </c>
      <c r="BD23" s="3"/>
      <c r="BE23" s="3"/>
      <c r="BF23" s="7">
        <f>SUM(BF195:BF206)</f>
      </c>
      <c r="BG23" s="6">
        <f>BF23/E23</f>
      </c>
      <c r="BH23" s="3"/>
      <c r="BI23" s="6"/>
    </row>
    <row x14ac:dyDescent="0.25" r="24" customHeight="1" ht="12.75">
      <c r="A24" s="5"/>
      <c r="B24" s="38" t="s">
        <v>859</v>
      </c>
      <c r="C24" s="3" t="s">
        <v>863</v>
      </c>
      <c r="D24" s="5">
        <f>COUNT(E207)</f>
      </c>
      <c r="E24" s="7">
        <f>SUM(E207)</f>
      </c>
      <c r="F24" s="6">
        <f>100*K24/$E24</f>
      </c>
      <c r="G24" s="6">
        <f>100*L24/$E24</f>
      </c>
      <c r="H24" s="7">
        <f>M24/$E24</f>
      </c>
      <c r="I24" s="6">
        <f>100*O24/$E24</f>
      </c>
      <c r="J24" s="6">
        <f>N24/$E24</f>
      </c>
      <c r="K24" s="6">
        <f>SUM(X207)</f>
      </c>
      <c r="L24" s="6">
        <f>SUM(Y207)</f>
      </c>
      <c r="M24" s="5">
        <f>SUM(Z207)</f>
      </c>
      <c r="N24" s="7">
        <f>SUM(AA207)</f>
      </c>
      <c r="O24" s="6">
        <f>SUM(AB207)</f>
      </c>
      <c r="P24" s="6">
        <f>K24+L24+O24</f>
      </c>
      <c r="Q24" s="6">
        <f>F24+G24+I24</f>
      </c>
      <c r="R24" s="6"/>
      <c r="S24" s="6"/>
      <c r="T24" s="6" t="s">
        <v>863</v>
      </c>
      <c r="U24" s="6"/>
      <c r="V24" s="5"/>
      <c r="W24" s="6"/>
      <c r="X24" s="6"/>
      <c r="Y24" s="6"/>
      <c r="Z24" s="7"/>
      <c r="AA24" s="7"/>
      <c r="AB24" s="6"/>
      <c r="AC24" s="15"/>
      <c r="AD24" s="6"/>
      <c r="AE24" s="3"/>
      <c r="AF24" s="6"/>
      <c r="AG24" s="5"/>
      <c r="AH24" s="5"/>
      <c r="AI24" s="5"/>
      <c r="AJ24" s="5"/>
      <c r="AK24" s="5"/>
      <c r="AL24" s="3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 t="s">
        <v>863</v>
      </c>
      <c r="BD24" s="3"/>
      <c r="BE24" s="3"/>
      <c r="BF24" s="7">
        <f>SUM(BF207)</f>
      </c>
      <c r="BG24" s="6">
        <f>BF24/E24</f>
      </c>
      <c r="BH24" s="3"/>
      <c r="BI24" s="6"/>
    </row>
    <row x14ac:dyDescent="0.25" r="25" customHeight="1" ht="12.75">
      <c r="A25" s="5"/>
      <c r="B25" s="3"/>
      <c r="C25" s="39" t="s">
        <v>863</v>
      </c>
      <c r="D25" s="40" t="s">
        <v>875</v>
      </c>
      <c r="E25" s="41">
        <f>SUM(E23:E24)</f>
      </c>
      <c r="F25" s="42">
        <f>100*K25/$E25</f>
      </c>
      <c r="G25" s="42">
        <f>100*L25/$E25</f>
      </c>
      <c r="H25" s="41">
        <f>M25/$E25</f>
      </c>
      <c r="I25" s="42">
        <f>100*O25/$E25</f>
      </c>
      <c r="J25" s="42">
        <f>N25/$E25</f>
      </c>
      <c r="K25" s="42">
        <f>SUM(K23:K24)</f>
      </c>
      <c r="L25" s="42">
        <f>SUM(L23:L24)</f>
      </c>
      <c r="M25" s="40">
        <f>SUM(M23:M24)</f>
      </c>
      <c r="N25" s="41">
        <f>SUM(N23:N24)</f>
      </c>
      <c r="O25" s="42">
        <f>SUM(O23:O24)</f>
      </c>
      <c r="P25" s="42">
        <f>K25+L25+O25</f>
      </c>
      <c r="Q25" s="42">
        <f>F25+G25+I25</f>
      </c>
      <c r="R25" s="6"/>
      <c r="S25" s="6"/>
      <c r="T25" s="42" t="s">
        <v>863</v>
      </c>
      <c r="U25" s="6"/>
      <c r="V25" s="5"/>
      <c r="W25" s="6">
        <f>(F25/100)*W$3</f>
      </c>
      <c r="X25" s="6">
        <f>(G25/100)*X$3</f>
      </c>
      <c r="Y25" s="6">
        <f>(H25/1000000)*Y$3</f>
      </c>
      <c r="Z25" s="6">
        <f>(I25/100)*Z$3</f>
      </c>
      <c r="AA25" s="6">
        <f>(J25/1000000)*AA$3</f>
      </c>
      <c r="AB25" s="6"/>
      <c r="AC25" s="6">
        <f>SUM(W25:AA25)</f>
      </c>
      <c r="AD25" s="6"/>
      <c r="AE25" s="3"/>
      <c r="AF25" s="6"/>
      <c r="AG25" s="5"/>
      <c r="AH25" s="5"/>
      <c r="AI25" s="5"/>
      <c r="AJ25" s="5"/>
      <c r="AK25" s="5"/>
      <c r="AL25" s="3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42" t="s">
        <v>863</v>
      </c>
      <c r="BD25" s="3"/>
      <c r="BE25" s="3"/>
      <c r="BF25" s="41">
        <f>SUM(BF23:BF24)</f>
      </c>
      <c r="BG25" s="6">
        <f>BF25/E25</f>
      </c>
      <c r="BH25" s="3"/>
      <c r="BI25" s="6">
        <f>BG25-AC25</f>
      </c>
    </row>
    <row x14ac:dyDescent="0.25" r="26" customHeight="1" ht="12.75">
      <c r="A26" s="5"/>
      <c r="B26" s="3" t="s">
        <v>855</v>
      </c>
      <c r="C26" s="3" t="s">
        <v>861</v>
      </c>
      <c r="D26" s="5">
        <f>COUNT(E185:E190)</f>
      </c>
      <c r="E26" s="7">
        <f>SUM(E185:E190)</f>
      </c>
      <c r="F26" s="6">
        <f>100*K26/$E26</f>
      </c>
      <c r="G26" s="6">
        <f>100*L26/$E26</f>
      </c>
      <c r="H26" s="7">
        <f>M26/$E26</f>
      </c>
      <c r="I26" s="6">
        <f>100*O26/$E26</f>
      </c>
      <c r="J26" s="6">
        <f>N26/$E26</f>
      </c>
      <c r="K26" s="6">
        <f>SUM(X185:X190)</f>
      </c>
      <c r="L26" s="6">
        <f>SUM(Y185:Y190)</f>
      </c>
      <c r="M26" s="5">
        <f>SUM(Z185:Z190)</f>
      </c>
      <c r="N26" s="7">
        <f>SUM(AA185:AA190)</f>
      </c>
      <c r="O26" s="6">
        <f>SUM(AB185:AB190)</f>
      </c>
      <c r="P26" s="6">
        <f>K26+L26+O26</f>
      </c>
      <c r="Q26" s="6">
        <f>F26+G26+I26</f>
      </c>
      <c r="R26" s="6"/>
      <c r="S26" s="6"/>
      <c r="T26" s="6" t="s">
        <v>861</v>
      </c>
      <c r="U26" s="6"/>
      <c r="V26" s="5"/>
      <c r="W26" s="6">
        <f>(F26/100)*W$3</f>
      </c>
      <c r="X26" s="6">
        <f>(G26/100)*X$3</f>
      </c>
      <c r="Y26" s="6">
        <f>(H26/1000000)*Y$3</f>
      </c>
      <c r="Z26" s="6">
        <f>(I26/100)*Z$3</f>
      </c>
      <c r="AA26" s="6">
        <f>(J26/1000000)*AA$3</f>
      </c>
      <c r="AB26" s="6"/>
      <c r="AC26" s="6">
        <f>SUM(W26:AA26)</f>
      </c>
      <c r="AD26" s="6"/>
      <c r="AE26" s="3"/>
      <c r="AF26" s="6"/>
      <c r="AG26" s="5"/>
      <c r="AH26" s="5"/>
      <c r="AI26" s="5"/>
      <c r="AJ26" s="5"/>
      <c r="AK26" s="5"/>
      <c r="AL26" s="3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 t="s">
        <v>861</v>
      </c>
      <c r="BD26" s="3"/>
      <c r="BE26" s="3"/>
      <c r="BF26" s="7">
        <f>SUM(BF185:BF190)</f>
      </c>
      <c r="BG26" s="6">
        <f>BF26/E26</f>
      </c>
      <c r="BH26" s="3"/>
      <c r="BI26" s="6">
        <f>BG26-AC26</f>
      </c>
    </row>
    <row x14ac:dyDescent="0.25" r="27" customHeight="1" ht="12.75">
      <c r="A27" s="5"/>
      <c r="B27" s="3" t="s">
        <v>855</v>
      </c>
      <c r="C27" s="3" t="s">
        <v>860</v>
      </c>
      <c r="D27" s="5">
        <f>COUNT(E181:E183)</f>
      </c>
      <c r="E27" s="7">
        <f>SUM(E181:E183)</f>
      </c>
      <c r="F27" s="6">
        <f>100*K27/$E27</f>
      </c>
      <c r="G27" s="6">
        <f>100*L27/$E27</f>
      </c>
      <c r="H27" s="7">
        <f>M27/$E27</f>
      </c>
      <c r="I27" s="6">
        <f>100*O27/$E27</f>
      </c>
      <c r="J27" s="6">
        <f>N27/$E27</f>
      </c>
      <c r="K27" s="6">
        <f>SUM(X181:X183)</f>
      </c>
      <c r="L27" s="6">
        <f>SUM(Y181:Y183)</f>
      </c>
      <c r="M27" s="5">
        <f>SUM(Z181:Z183)</f>
      </c>
      <c r="N27" s="7">
        <f>SUM(AA181:AA183)</f>
      </c>
      <c r="O27" s="6">
        <f>SUM(AB181:AB183)</f>
      </c>
      <c r="P27" s="6">
        <f>K27+L27+O27</f>
      </c>
      <c r="Q27" s="6">
        <f>F27+G27+I27</f>
      </c>
      <c r="R27" s="6"/>
      <c r="S27" s="6"/>
      <c r="T27" s="6" t="s">
        <v>860</v>
      </c>
      <c r="U27" s="6"/>
      <c r="V27" s="5"/>
      <c r="W27" s="6"/>
      <c r="X27" s="6"/>
      <c r="Y27" s="6"/>
      <c r="Z27" s="7"/>
      <c r="AA27" s="7"/>
      <c r="AB27" s="6"/>
      <c r="AC27" s="15"/>
      <c r="AD27" s="6"/>
      <c r="AE27" s="3"/>
      <c r="AF27" s="6"/>
      <c r="AG27" s="5"/>
      <c r="AH27" s="5"/>
      <c r="AI27" s="5"/>
      <c r="AJ27" s="5"/>
      <c r="AK27" s="5"/>
      <c r="AL27" s="3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 t="s">
        <v>860</v>
      </c>
      <c r="BD27" s="3"/>
      <c r="BE27" s="3"/>
      <c r="BF27" s="7">
        <f>SUM(BF181:BF183)</f>
      </c>
      <c r="BG27" s="6">
        <f>BF27/E27</f>
      </c>
      <c r="BH27" s="3"/>
      <c r="BI27" s="6"/>
    </row>
    <row x14ac:dyDescent="0.25" r="28" customHeight="1" ht="12.75">
      <c r="A28" s="5"/>
      <c r="B28" s="38" t="s">
        <v>859</v>
      </c>
      <c r="C28" s="3" t="s">
        <v>860</v>
      </c>
      <c r="D28" s="5">
        <f>COUNT(E184)</f>
      </c>
      <c r="E28" s="7">
        <f>SUM(E184)</f>
      </c>
      <c r="F28" s="6">
        <f>100*K28/$E28</f>
      </c>
      <c r="G28" s="6">
        <f>100*L28/$E28</f>
      </c>
      <c r="H28" s="7">
        <f>M28/$E28</f>
      </c>
      <c r="I28" s="6">
        <f>100*O28/$E28</f>
      </c>
      <c r="J28" s="6">
        <f>N28/$E28</f>
      </c>
      <c r="K28" s="6">
        <f>SUM(X184)</f>
      </c>
      <c r="L28" s="6">
        <f>SUM(Y184)</f>
      </c>
      <c r="M28" s="5">
        <f>SUM(Z184)</f>
      </c>
      <c r="N28" s="7">
        <f>SUM(AA184)</f>
      </c>
      <c r="O28" s="6">
        <f>SUM(AB184)</f>
      </c>
      <c r="P28" s="6">
        <f>K28+L28+O28</f>
      </c>
      <c r="Q28" s="6">
        <f>F28+G28+I28</f>
      </c>
      <c r="R28" s="6"/>
      <c r="S28" s="6"/>
      <c r="T28" s="6" t="s">
        <v>860</v>
      </c>
      <c r="U28" s="6"/>
      <c r="V28" s="5"/>
      <c r="W28" s="6"/>
      <c r="X28" s="6"/>
      <c r="Y28" s="6"/>
      <c r="Z28" s="7"/>
      <c r="AA28" s="7"/>
      <c r="AB28" s="6"/>
      <c r="AC28" s="15"/>
      <c r="AD28" s="6"/>
      <c r="AE28" s="3"/>
      <c r="AF28" s="6"/>
      <c r="AG28" s="5"/>
      <c r="AH28" s="5"/>
      <c r="AI28" s="5"/>
      <c r="AJ28" s="5"/>
      <c r="AK28" s="5"/>
      <c r="AL28" s="3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 t="s">
        <v>860</v>
      </c>
      <c r="BD28" s="3"/>
      <c r="BE28" s="3"/>
      <c r="BF28" s="7">
        <f>SUM(BF184)</f>
      </c>
      <c r="BG28" s="6">
        <f>BF28/E28</f>
      </c>
      <c r="BH28" s="3"/>
      <c r="BI28" s="6"/>
    </row>
    <row x14ac:dyDescent="0.25" r="29" customHeight="1" ht="12.75">
      <c r="A29" s="5"/>
      <c r="B29" s="3"/>
      <c r="C29" s="39" t="s">
        <v>860</v>
      </c>
      <c r="D29" s="40" t="s">
        <v>875</v>
      </c>
      <c r="E29" s="41">
        <f>SUM(E27:E28)</f>
      </c>
      <c r="F29" s="42">
        <f>100*K29/$E29</f>
      </c>
      <c r="G29" s="42">
        <f>100*L29/$E29</f>
      </c>
      <c r="H29" s="41">
        <f>M29/$E29</f>
      </c>
      <c r="I29" s="42">
        <f>100*O29/$E29</f>
      </c>
      <c r="J29" s="42">
        <f>N29/$E29</f>
      </c>
      <c r="K29" s="42">
        <f>SUM(K27:K28)</f>
      </c>
      <c r="L29" s="42">
        <f>SUM(L27:L28)</f>
      </c>
      <c r="M29" s="40">
        <f>SUM(M27:M28)</f>
      </c>
      <c r="N29" s="41">
        <f>SUM(N27:N28)</f>
      </c>
      <c r="O29" s="42">
        <f>SUM(O27:O28)</f>
      </c>
      <c r="P29" s="42">
        <f>K29+L29+O29</f>
      </c>
      <c r="Q29" s="42">
        <f>F29+G29+I29</f>
      </c>
      <c r="R29" s="6"/>
      <c r="S29" s="6"/>
      <c r="T29" s="42" t="s">
        <v>860</v>
      </c>
      <c r="U29" s="6"/>
      <c r="V29" s="5"/>
      <c r="W29" s="6">
        <f>(F29/100)*W$3</f>
      </c>
      <c r="X29" s="6">
        <f>(G29/100)*X$3</f>
      </c>
      <c r="Y29" s="6">
        <f>(H29/1000000)*Y$3</f>
      </c>
      <c r="Z29" s="6">
        <f>(I29/100)*Z$3</f>
      </c>
      <c r="AA29" s="6">
        <f>(J29/1000000)*AA$3</f>
      </c>
      <c r="AB29" s="6"/>
      <c r="AC29" s="6">
        <f>SUM(W29:AA29)</f>
      </c>
      <c r="AD29" s="6"/>
      <c r="AE29" s="3"/>
      <c r="AF29" s="6"/>
      <c r="AG29" s="5"/>
      <c r="AH29" s="5"/>
      <c r="AI29" s="5"/>
      <c r="AJ29" s="5"/>
      <c r="AK29" s="5"/>
      <c r="AL29" s="3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42" t="s">
        <v>860</v>
      </c>
      <c r="BD29" s="3"/>
      <c r="BE29" s="3"/>
      <c r="BF29" s="41">
        <f>SUM(BF27:BF28)</f>
      </c>
      <c r="BG29" s="42">
        <f>BF29/E29</f>
      </c>
      <c r="BH29" s="3"/>
      <c r="BI29" s="6">
        <f>BG29-AC29</f>
      </c>
    </row>
    <row x14ac:dyDescent="0.25" r="30" customHeight="1" ht="12.75">
      <c r="A30" s="5"/>
      <c r="B30" s="16" t="s">
        <v>872</v>
      </c>
      <c r="C30" s="16" t="s">
        <v>1065</v>
      </c>
      <c r="D30" s="5">
        <f>COUNT(E879:E890)</f>
      </c>
      <c r="E30" s="7">
        <f>SUM(E879:E890)</f>
      </c>
      <c r="F30" s="6">
        <f>100*K30/$E30</f>
      </c>
      <c r="G30" s="6">
        <f>100*L30/$E30</f>
      </c>
      <c r="H30" s="7">
        <f>M30/$E30</f>
      </c>
      <c r="I30" s="6">
        <f>100*O30/$E30</f>
      </c>
      <c r="J30" s="6">
        <f>N30/$E30</f>
      </c>
      <c r="K30" s="6">
        <f>SUM(X879:X890)</f>
      </c>
      <c r="L30" s="6">
        <f>SUM(Y879:Y890)</f>
      </c>
      <c r="M30" s="5">
        <f>SUM(Z879:Z890)</f>
      </c>
      <c r="N30" s="7">
        <f>SUM(AA879:AA890)</f>
      </c>
      <c r="O30" s="6">
        <f>SUM(AB879:AB890)</f>
      </c>
      <c r="P30" s="6">
        <f>K30+L30+O30</f>
      </c>
      <c r="Q30" s="6">
        <f>F30+G30+I30</f>
      </c>
      <c r="R30" s="6"/>
      <c r="S30" s="6"/>
      <c r="T30" s="17" t="s">
        <v>1065</v>
      </c>
      <c r="U30" s="6"/>
      <c r="V30" s="5"/>
      <c r="W30" s="6"/>
      <c r="X30" s="6"/>
      <c r="Y30" s="6"/>
      <c r="Z30" s="7"/>
      <c r="AA30" s="7"/>
      <c r="AB30" s="6"/>
      <c r="AC30" s="15"/>
      <c r="AD30" s="6"/>
      <c r="AE30" s="3"/>
      <c r="AF30" s="6"/>
      <c r="AG30" s="5"/>
      <c r="AH30" s="5"/>
      <c r="AI30" s="5"/>
      <c r="AJ30" s="5"/>
      <c r="AK30" s="5"/>
      <c r="AL30" s="3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17" t="s">
        <v>1065</v>
      </c>
      <c r="BD30" s="3"/>
      <c r="BE30" s="3"/>
      <c r="BF30" s="7">
        <f>SUM(BF879:BF890)</f>
      </c>
      <c r="BG30" s="6">
        <f>BF30/E30</f>
      </c>
      <c r="BH30" s="3"/>
      <c r="BI30" s="6"/>
    </row>
    <row x14ac:dyDescent="0.25" r="31" customHeight="1" ht="12.75">
      <c r="A31" s="5"/>
      <c r="B31" s="38" t="s">
        <v>874</v>
      </c>
      <c r="C31" s="16" t="s">
        <v>1065</v>
      </c>
      <c r="D31" s="5">
        <f>COUNT(E891:E893)</f>
      </c>
      <c r="E31" s="7">
        <f>SUM(E891:E893)</f>
      </c>
      <c r="F31" s="6">
        <f>100*K31/$E31</f>
      </c>
      <c r="G31" s="6">
        <f>100*L31/$E31</f>
      </c>
      <c r="H31" s="7">
        <f>M31/$E31</f>
      </c>
      <c r="I31" s="6">
        <f>100*O31/$E31</f>
      </c>
      <c r="J31" s="6">
        <f>N31/$E31</f>
      </c>
      <c r="K31" s="6">
        <f>SUM(X891:X893)</f>
      </c>
      <c r="L31" s="6">
        <f>SUM(Y891:Y893)</f>
      </c>
      <c r="M31" s="5">
        <f>SUM(Z891:Z893)</f>
      </c>
      <c r="N31" s="7">
        <f>SUM(AA891:AA893)</f>
      </c>
      <c r="O31" s="6">
        <f>SUM(AB891:AB893)</f>
      </c>
      <c r="P31" s="6">
        <f>K31+L31+O31</f>
      </c>
      <c r="Q31" s="6">
        <f>F31+G31+I31</f>
      </c>
      <c r="R31" s="6"/>
      <c r="S31" s="6"/>
      <c r="T31" s="17" t="s">
        <v>1065</v>
      </c>
      <c r="U31" s="6"/>
      <c r="V31" s="5"/>
      <c r="W31" s="6"/>
      <c r="X31" s="6"/>
      <c r="Y31" s="6"/>
      <c r="Z31" s="7"/>
      <c r="AA31" s="7"/>
      <c r="AB31" s="6"/>
      <c r="AC31" s="15"/>
      <c r="AD31" s="6"/>
      <c r="AE31" s="3"/>
      <c r="AF31" s="6"/>
      <c r="AG31" s="5"/>
      <c r="AH31" s="5"/>
      <c r="AI31" s="5"/>
      <c r="AJ31" s="5"/>
      <c r="AK31" s="5"/>
      <c r="AL31" s="3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17" t="s">
        <v>1065</v>
      </c>
      <c r="BD31" s="3"/>
      <c r="BE31" s="3"/>
      <c r="BF31" s="7">
        <f>SUM(BF891:BF893)</f>
      </c>
      <c r="BG31" s="6">
        <f>BF31/E31</f>
      </c>
      <c r="BH31" s="3"/>
      <c r="BI31" s="6"/>
    </row>
    <row x14ac:dyDescent="0.25" r="32" customHeight="1" ht="12.75">
      <c r="A32" s="5"/>
      <c r="B32" s="3"/>
      <c r="C32" s="39" t="s">
        <v>1065</v>
      </c>
      <c r="D32" s="40" t="s">
        <v>875</v>
      </c>
      <c r="E32" s="41">
        <f>SUM(E30:E31)</f>
      </c>
      <c r="F32" s="42">
        <f>100*K32/$E32</f>
      </c>
      <c r="G32" s="42">
        <f>100*L32/$E32</f>
      </c>
      <c r="H32" s="41">
        <f>M32/$E32</f>
      </c>
      <c r="I32" s="42">
        <f>100*O32/$E32</f>
      </c>
      <c r="J32" s="42">
        <f>N32/$E32</f>
      </c>
      <c r="K32" s="42">
        <f>SUM(K30:K31)</f>
      </c>
      <c r="L32" s="42">
        <f>SUM(L30:L31)</f>
      </c>
      <c r="M32" s="40">
        <f>SUM(M30:M31)</f>
      </c>
      <c r="N32" s="41">
        <f>SUM(N30:N31)</f>
      </c>
      <c r="O32" s="42">
        <f>SUM(O30:O31)</f>
      </c>
      <c r="P32" s="42">
        <f>K32+L32+O32</f>
      </c>
      <c r="Q32" s="42">
        <f>F32+G32+I32</f>
      </c>
      <c r="R32" s="6"/>
      <c r="S32" s="6"/>
      <c r="T32" s="42" t="s">
        <v>1065</v>
      </c>
      <c r="U32" s="6"/>
      <c r="V32" s="5"/>
      <c r="W32" s="6">
        <f>(F32/100)*W$3</f>
      </c>
      <c r="X32" s="6">
        <f>(G32/100)*X$3</f>
      </c>
      <c r="Y32" s="6">
        <f>(H32/1000000)*Y$3</f>
      </c>
      <c r="Z32" s="6">
        <f>(I32/100)*Z$3</f>
      </c>
      <c r="AA32" s="6">
        <f>(J32/1000000)*AA$3</f>
      </c>
      <c r="AB32" s="6"/>
      <c r="AC32" s="6">
        <f>SUM(W32:AA32)</f>
      </c>
      <c r="AD32" s="6"/>
      <c r="AE32" s="3"/>
      <c r="AF32" s="6"/>
      <c r="AG32" s="5"/>
      <c r="AH32" s="5"/>
      <c r="AI32" s="5"/>
      <c r="AJ32" s="5"/>
      <c r="AK32" s="5"/>
      <c r="AL32" s="3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42" t="s">
        <v>1065</v>
      </c>
      <c r="BD32" s="3"/>
      <c r="BE32" s="3"/>
      <c r="BF32" s="41">
        <f>SUM(BF30:BF31)</f>
      </c>
      <c r="BG32" s="42">
        <f>BF32/E32</f>
      </c>
      <c r="BH32" s="3"/>
      <c r="BI32" s="6">
        <f>BG32-AC32</f>
      </c>
    </row>
    <row x14ac:dyDescent="0.25" r="33" customHeight="1" ht="12.75">
      <c r="A33" s="5"/>
      <c r="B33" s="3" t="s">
        <v>855</v>
      </c>
      <c r="C33" s="3" t="s">
        <v>862</v>
      </c>
      <c r="D33" s="5">
        <f>COUNT(E191:E194)</f>
      </c>
      <c r="E33" s="7">
        <f>SUM(E191:E194)</f>
      </c>
      <c r="F33" s="6">
        <f>100*K33/$E33</f>
      </c>
      <c r="G33" s="6">
        <f>100*L33/$E33</f>
      </c>
      <c r="H33" s="7">
        <f>M33/$E33</f>
      </c>
      <c r="I33" s="6">
        <f>100*O33/$E33</f>
      </c>
      <c r="J33" s="6">
        <f>N33/$E33</f>
      </c>
      <c r="K33" s="6">
        <f>SUM(X191:X194)</f>
      </c>
      <c r="L33" s="6">
        <f>SUM(Y191:Y194)</f>
      </c>
      <c r="M33" s="5">
        <f>SUM(Z191:Z194)</f>
      </c>
      <c r="N33" s="7">
        <f>SUM(AA191:AA194)</f>
      </c>
      <c r="O33" s="6">
        <f>SUM(AB191:AB194)</f>
      </c>
      <c r="P33" s="6">
        <f>K33+L33+O33</f>
      </c>
      <c r="Q33" s="6">
        <f>F33+G33+I33</f>
      </c>
      <c r="R33" s="6"/>
      <c r="S33" s="6"/>
      <c r="T33" s="6" t="s">
        <v>862</v>
      </c>
      <c r="U33" s="6"/>
      <c r="V33" s="5"/>
      <c r="W33" s="6">
        <f>(F33/100)*W$3</f>
      </c>
      <c r="X33" s="6">
        <f>(G33/100)*X$3</f>
      </c>
      <c r="Y33" s="6">
        <f>(H33/1000000)*Y$3</f>
      </c>
      <c r="Z33" s="6">
        <f>(I33/100)*Z$3</f>
      </c>
      <c r="AA33" s="6">
        <f>(J33/1000000)*AA$3</f>
      </c>
      <c r="AB33" s="6"/>
      <c r="AC33" s="6">
        <f>SUM(W33:AA33)</f>
      </c>
      <c r="AD33" s="6"/>
      <c r="AE33" s="3"/>
      <c r="AF33" s="6"/>
      <c r="AG33" s="5"/>
      <c r="AH33" s="5"/>
      <c r="AI33" s="5"/>
      <c r="AJ33" s="5"/>
      <c r="AK33" s="5"/>
      <c r="AL33" s="3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 t="s">
        <v>862</v>
      </c>
      <c r="BD33" s="3"/>
      <c r="BE33" s="3"/>
      <c r="BF33" s="7">
        <f>SUM(BF191:BF194)</f>
      </c>
      <c r="BG33" s="6">
        <f>BF33/E33</f>
      </c>
      <c r="BH33" s="3"/>
      <c r="BI33" s="6">
        <f>BG33-AC33</f>
      </c>
    </row>
    <row x14ac:dyDescent="0.25" r="34" customHeight="1" ht="12.75">
      <c r="A34" s="5"/>
      <c r="B34" s="3" t="s">
        <v>855</v>
      </c>
      <c r="C34" s="3" t="s">
        <v>864</v>
      </c>
      <c r="D34" s="5">
        <f>COUNT(E208:E214)</f>
      </c>
      <c r="E34" s="7">
        <f>SUM(E208:E214)</f>
      </c>
      <c r="F34" s="6">
        <f>100*K34/$E34</f>
      </c>
      <c r="G34" s="6">
        <f>100*L34/$E34</f>
      </c>
      <c r="H34" s="7">
        <f>M34/$E34</f>
      </c>
      <c r="I34" s="6">
        <f>100*O34/$E34</f>
      </c>
      <c r="J34" s="6">
        <f>N34/$E34</f>
      </c>
      <c r="K34" s="6">
        <f>SUM(X208:X214)</f>
      </c>
      <c r="L34" s="6">
        <f>SUM(Y208:Y214)</f>
      </c>
      <c r="M34" s="5">
        <f>SUM(Z208:Z214)</f>
      </c>
      <c r="N34" s="7">
        <f>SUM(AA208:AA214)</f>
      </c>
      <c r="O34" s="6">
        <f>SUM(AB208:AB214)</f>
      </c>
      <c r="P34" s="6">
        <f>K34+L34+O34</f>
      </c>
      <c r="Q34" s="6">
        <f>F34+G34+I34</f>
      </c>
      <c r="R34" s="6"/>
      <c r="S34" s="6"/>
      <c r="T34" s="6" t="s">
        <v>864</v>
      </c>
      <c r="U34" s="6"/>
      <c r="V34" s="5"/>
      <c r="W34" s="6">
        <f>(F34/100)*W$3</f>
      </c>
      <c r="X34" s="6">
        <f>(G34/100)*X$3</f>
      </c>
      <c r="Y34" s="6">
        <f>(H34/1000000)*Y$3</f>
      </c>
      <c r="Z34" s="6">
        <f>(I34/100)*Z$3</f>
      </c>
      <c r="AA34" s="6">
        <f>(J34/1000000)*AA$3</f>
      </c>
      <c r="AB34" s="6"/>
      <c r="AC34" s="6">
        <f>SUM(W34:AA34)</f>
      </c>
      <c r="AD34" s="6"/>
      <c r="AE34" s="3"/>
      <c r="AF34" s="6"/>
      <c r="AG34" s="5"/>
      <c r="AH34" s="5"/>
      <c r="AI34" s="5"/>
      <c r="AJ34" s="5"/>
      <c r="AK34" s="5"/>
      <c r="AL34" s="3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3"/>
      <c r="BE34" s="3"/>
      <c r="BF34" s="7"/>
      <c r="BG34" s="6"/>
      <c r="BH34" s="3"/>
      <c r="BI34" s="6"/>
    </row>
    <row x14ac:dyDescent="0.25" r="35" customHeight="1" ht="12.75">
      <c r="A35" s="5"/>
      <c r="B35" s="38" t="s">
        <v>859</v>
      </c>
      <c r="C35" s="3" t="s">
        <v>864</v>
      </c>
      <c r="D35" s="5">
        <f>COUNT(E215)</f>
      </c>
      <c r="E35" s="7">
        <f>SUM(E215)</f>
      </c>
      <c r="F35" s="6">
        <f>100*K35/$E35</f>
      </c>
      <c r="G35" s="6">
        <f>100*L35/$E35</f>
      </c>
      <c r="H35" s="7">
        <f>M35/$E35</f>
      </c>
      <c r="I35" s="6">
        <f>100*O35/$E35</f>
      </c>
      <c r="J35" s="6">
        <f>N35/$E35</f>
      </c>
      <c r="K35" s="6">
        <f>SUM(X215)</f>
      </c>
      <c r="L35" s="6">
        <f>SUM(Y215)</f>
      </c>
      <c r="M35" s="6">
        <f>SUM(Z215)</f>
      </c>
      <c r="N35" s="6">
        <f>SUM(AA215)</f>
      </c>
      <c r="O35" s="6">
        <f>SUM(AB215)</f>
      </c>
      <c r="P35" s="6">
        <f>K35+L35+O35</f>
      </c>
      <c r="Q35" s="6">
        <f>F35+G35+I35</f>
      </c>
      <c r="R35" s="6"/>
      <c r="S35" s="6"/>
      <c r="T35" s="6" t="s">
        <v>864</v>
      </c>
      <c r="U35" s="6"/>
      <c r="V35" s="5"/>
      <c r="W35" s="6">
        <f>(F35/100)*W$3</f>
      </c>
      <c r="X35" s="6">
        <f>(G35/100)*X$3</f>
      </c>
      <c r="Y35" s="6">
        <f>(H35/1000000)*Y$3</f>
      </c>
      <c r="Z35" s="6">
        <f>(I35/100)*Z$3</f>
      </c>
      <c r="AA35" s="6">
        <f>(J35/1000000)*AA$3</f>
      </c>
      <c r="AB35" s="6"/>
      <c r="AC35" s="6">
        <f>SUM(W35:AA35)</f>
      </c>
      <c r="AD35" s="6"/>
      <c r="AE35" s="3"/>
      <c r="AF35" s="6"/>
      <c r="AG35" s="5"/>
      <c r="AH35" s="5"/>
      <c r="AI35" s="5"/>
      <c r="AJ35" s="5"/>
      <c r="AK35" s="5"/>
      <c r="AL35" s="3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 t="s">
        <v>864</v>
      </c>
      <c r="BD35" s="3"/>
      <c r="BE35" s="3"/>
      <c r="BF35" s="7">
        <f>SUM(BF208:BF215)</f>
      </c>
      <c r="BG35" s="6">
        <f>BF35/E34</f>
      </c>
      <c r="BH35" s="3"/>
      <c r="BI35" s="6">
        <f>BG35-AC34</f>
      </c>
    </row>
    <row x14ac:dyDescent="0.25" r="36" customHeight="1" ht="12.75">
      <c r="A36" s="5"/>
      <c r="B36" s="3"/>
      <c r="C36" s="39" t="s">
        <v>864</v>
      </c>
      <c r="D36" s="40" t="s">
        <v>875</v>
      </c>
      <c r="E36" s="41">
        <f>SUM(E34:E35)</f>
      </c>
      <c r="F36" s="42">
        <f>100*K36/$E36</f>
      </c>
      <c r="G36" s="42">
        <f>100*L36/$E36</f>
      </c>
      <c r="H36" s="41">
        <f>M36/$E36</f>
      </c>
      <c r="I36" s="42">
        <f>100*O36/$E36</f>
      </c>
      <c r="J36" s="42">
        <f>N36/$E36</f>
      </c>
      <c r="K36" s="42">
        <f>SUM(K34:K35)</f>
      </c>
      <c r="L36" s="42">
        <f>SUM(L34:L35)</f>
      </c>
      <c r="M36" s="40">
        <f>SUM(M34:M35)</f>
      </c>
      <c r="N36" s="41">
        <f>SUM(N34:N35)</f>
      </c>
      <c r="O36" s="42">
        <f>SUM(O34:O35)</f>
      </c>
      <c r="P36" s="42">
        <f>K36+L36+O36</f>
      </c>
      <c r="Q36" s="42">
        <f>F36+G36+I36</f>
      </c>
      <c r="R36" s="6"/>
      <c r="S36" s="6"/>
      <c r="T36" s="6"/>
      <c r="U36" s="6"/>
      <c r="V36" s="5"/>
      <c r="W36" s="6"/>
      <c r="X36" s="6"/>
      <c r="Y36" s="6"/>
      <c r="Z36" s="7"/>
      <c r="AA36" s="7"/>
      <c r="AB36" s="6"/>
      <c r="AC36" s="15"/>
      <c r="AD36" s="6"/>
      <c r="AE36" s="3"/>
      <c r="AF36" s="6"/>
      <c r="AG36" s="5"/>
      <c r="AH36" s="5"/>
      <c r="AI36" s="5"/>
      <c r="AJ36" s="5"/>
      <c r="AK36" s="5"/>
      <c r="AL36" s="3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3"/>
      <c r="BE36" s="3"/>
      <c r="BF36" s="7"/>
      <c r="BG36" s="6"/>
      <c r="BH36" s="3"/>
      <c r="BI36" s="6"/>
    </row>
    <row x14ac:dyDescent="0.25" r="37" customHeight="1" ht="12.75">
      <c r="A37" s="5"/>
      <c r="B37" s="43" t="s">
        <v>855</v>
      </c>
      <c r="C37" s="43" t="s">
        <v>875</v>
      </c>
      <c r="D37" s="34">
        <f>D3+D7+D11+D14+D17+D20+D23+D26+D27+D33+D34</f>
      </c>
      <c r="E37" s="44">
        <f>E3+E7+E11+E14+E17+E20+E23+E26+E27+E33+E34</f>
      </c>
      <c r="F37" s="45">
        <f>100*K37/$E37</f>
      </c>
      <c r="G37" s="45">
        <f>100*L37/$E37</f>
      </c>
      <c r="H37" s="44">
        <f>M37/$E37</f>
      </c>
      <c r="I37" s="45">
        <f>100*O37/$E37</f>
      </c>
      <c r="J37" s="45">
        <f>N37/$E37</f>
      </c>
      <c r="K37" s="45">
        <f>K3+K7+K11+K14+K17+K20+K23+K26+K27+K33+K34</f>
      </c>
      <c r="L37" s="45">
        <f>L3+L7+L11+L14+L17+L20+L23+L26+L27+L33+L34</f>
      </c>
      <c r="M37" s="34">
        <f>M3+M7+M11+M14+M17+M20+M23+M26+M27+M33+M34</f>
      </c>
      <c r="N37" s="44">
        <f>N3+N7+N11+N14+N17+N20+N23+N26+N27+N33+N34</f>
      </c>
      <c r="O37" s="45">
        <f>O3+O7+O11+O14+O17+O20+O23+O26+O27+O33+O34</f>
      </c>
      <c r="P37" s="45">
        <f>K37+L37+O37</f>
      </c>
      <c r="Q37" s="45">
        <f>F37+G37+I37</f>
      </c>
      <c r="R37" s="6"/>
      <c r="S37" s="6"/>
      <c r="T37" s="6"/>
      <c r="U37" s="6"/>
      <c r="V37" s="5"/>
      <c r="W37" s="6"/>
      <c r="X37" s="6"/>
      <c r="Y37" s="6"/>
      <c r="Z37" s="7"/>
      <c r="AA37" s="7"/>
      <c r="AB37" s="6"/>
      <c r="AC37" s="15"/>
      <c r="AD37" s="6"/>
      <c r="AE37" s="3"/>
      <c r="AF37" s="6"/>
      <c r="AG37" s="5"/>
      <c r="AH37" s="5"/>
      <c r="AI37" s="5"/>
      <c r="AJ37" s="5"/>
      <c r="AK37" s="5"/>
      <c r="AL37" s="3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3"/>
      <c r="BE37" s="3"/>
      <c r="BF37" s="44">
        <f>BF3+BF7+BF11+BF14+BF17+BF20+BF23+BF26+BF27+BF33+BF35</f>
      </c>
      <c r="BG37" s="6"/>
      <c r="BH37" s="3"/>
      <c r="BI37" s="6"/>
    </row>
    <row x14ac:dyDescent="0.25" r="38" customHeight="1" ht="12.75">
      <c r="A38" s="5"/>
      <c r="B38" s="46" t="s">
        <v>859</v>
      </c>
      <c r="C38" s="43" t="s">
        <v>875</v>
      </c>
      <c r="D38" s="34">
        <f>D4+D8+D12+D15+D18+D21+D24+D28+D35</f>
      </c>
      <c r="E38" s="44">
        <f>E4+E8+E12+E15+E18+E21+E24+E28+E35</f>
      </c>
      <c r="F38" s="45">
        <f>100*K38/$E38</f>
      </c>
      <c r="G38" s="45">
        <f>100*L38/$E38</f>
      </c>
      <c r="H38" s="44">
        <f>M38/$E38</f>
      </c>
      <c r="I38" s="45">
        <f>100*O38/$E38</f>
      </c>
      <c r="J38" s="45">
        <f>N38/$E38</f>
      </c>
      <c r="K38" s="45">
        <f>K4+K8+K12+K15+K18+K21+K24+K28+K35</f>
      </c>
      <c r="L38" s="45">
        <f>L4+L8+L12+L15+L18+L21+L24+L28+L35</f>
      </c>
      <c r="M38" s="34">
        <f>M4+M8+M12+M15+M18+M21+M24+M28+M35</f>
      </c>
      <c r="N38" s="44">
        <f>N4+N8+N12+N15+N18+N21+N24+N28+N35</f>
      </c>
      <c r="O38" s="45">
        <f>O4+O8+O12+O15+O18+O21+O24+O28+O35</f>
      </c>
      <c r="P38" s="45">
        <f>K38+L38+O38</f>
      </c>
      <c r="Q38" s="45">
        <f>F38+G38+I38</f>
      </c>
      <c r="R38" s="6"/>
      <c r="S38" s="6"/>
      <c r="T38" s="6"/>
      <c r="U38" s="6"/>
      <c r="V38" s="5"/>
      <c r="W38" s="6"/>
      <c r="X38" s="6"/>
      <c r="Y38" s="6"/>
      <c r="Z38" s="7"/>
      <c r="AA38" s="7"/>
      <c r="AB38" s="6"/>
      <c r="AC38" s="15"/>
      <c r="AD38" s="6"/>
      <c r="AE38" s="3"/>
      <c r="AF38" s="6"/>
      <c r="AG38" s="1" t="s">
        <v>881</v>
      </c>
      <c r="AH38" s="1" t="s">
        <v>881</v>
      </c>
      <c r="AI38" s="1" t="s">
        <v>881</v>
      </c>
      <c r="AJ38" s="1" t="s">
        <v>881</v>
      </c>
      <c r="AK38" s="1" t="s">
        <v>881</v>
      </c>
      <c r="AL38" s="3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47" t="s">
        <v>1066</v>
      </c>
      <c r="BE38" s="3"/>
      <c r="BF38" s="44">
        <f>BF4+BF8+BF12+BF15+BF18+BF21+BF24+BF28</f>
      </c>
      <c r="BG38" s="17">
        <f>SUM(BF37:BF39)/SUM(E37:E39)</f>
      </c>
      <c r="BH38" s="3"/>
      <c r="BI38" s="6">
        <f>BG38-AC1</f>
      </c>
    </row>
    <row x14ac:dyDescent="0.25" r="39" customHeight="1" ht="12.75">
      <c r="A39" s="5"/>
      <c r="B39" s="25" t="s">
        <v>1067</v>
      </c>
      <c r="C39" s="43" t="s">
        <v>875</v>
      </c>
      <c r="D39" s="34">
        <f>D5+D9+D30+D31</f>
      </c>
      <c r="E39" s="44">
        <f>E5+E9+E30+E31</f>
      </c>
      <c r="F39" s="45">
        <f>100*K39/$E39</f>
      </c>
      <c r="G39" s="45">
        <f>100*L39/$E39</f>
      </c>
      <c r="H39" s="44">
        <f>M39/$E39</f>
      </c>
      <c r="I39" s="45">
        <f>100*O39/$E39</f>
      </c>
      <c r="J39" s="45">
        <f>N39/$E39</f>
      </c>
      <c r="K39" s="45">
        <f>K5+K9+K30+K31</f>
      </c>
      <c r="L39" s="45">
        <f>L5+L9+L30+L31</f>
      </c>
      <c r="M39" s="34">
        <f>M5+M9+M30+M31</f>
      </c>
      <c r="N39" s="44">
        <f>N5+N9+N30+N31</f>
      </c>
      <c r="O39" s="45">
        <f>O5+O9+O30+O31</f>
      </c>
      <c r="P39" s="45">
        <f>K39+L39+O39</f>
      </c>
      <c r="Q39" s="45">
        <f>F39+G39+I39</f>
      </c>
      <c r="R39" s="6"/>
      <c r="S39" s="6"/>
      <c r="T39" s="6"/>
      <c r="U39" s="6"/>
      <c r="V39" s="5"/>
      <c r="W39" s="6"/>
      <c r="X39" s="6"/>
      <c r="Y39" s="6"/>
      <c r="Z39" s="7"/>
      <c r="AA39" s="7"/>
      <c r="AB39" s="6"/>
      <c r="AC39" s="15"/>
      <c r="AD39" s="6"/>
      <c r="AE39" s="3"/>
      <c r="AF39" s="6"/>
      <c r="AG39" s="5">
        <f>SUM(AG43:AG893)</f>
      </c>
      <c r="AH39" s="5">
        <f>SUM(AH43:AH893)</f>
      </c>
      <c r="AI39" s="5">
        <f>SUM(AI43:AI893)</f>
      </c>
      <c r="AJ39" s="5">
        <f>SUM(AJ43:AJ893)</f>
      </c>
      <c r="AK39" s="5">
        <f>SUM(AK43:AK893)</f>
      </c>
      <c r="AL39" s="3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3"/>
      <c r="BE39" s="3"/>
      <c r="BF39" s="44">
        <f>BF5+BF9+BF30+BF31</f>
      </c>
      <c r="BG39" s="6"/>
      <c r="BH39" s="3"/>
      <c r="BI39" s="6"/>
    </row>
    <row x14ac:dyDescent="0.25" r="40" customHeight="1" ht="12.75">
      <c r="A40" s="5"/>
      <c r="B40" s="3"/>
      <c r="C40" s="3"/>
      <c r="D40" s="5"/>
      <c r="E40" s="23"/>
      <c r="F40" s="6"/>
      <c r="G40" s="6"/>
      <c r="H40" s="7"/>
      <c r="I40" s="6"/>
      <c r="J40" s="6"/>
      <c r="K40" s="7"/>
      <c r="L40" s="6"/>
      <c r="M40" s="6"/>
      <c r="N40" s="23"/>
      <c r="O40" s="5"/>
      <c r="P40" s="6"/>
      <c r="Q40" s="6"/>
      <c r="R40" s="6"/>
      <c r="S40" s="6"/>
      <c r="T40" s="6"/>
      <c r="U40" s="6"/>
      <c r="V40" s="5"/>
      <c r="W40" s="6"/>
      <c r="X40" s="6"/>
      <c r="Y40" s="6"/>
      <c r="Z40" s="7"/>
      <c r="AA40" s="7"/>
      <c r="AB40" s="6"/>
      <c r="AC40" s="15"/>
      <c r="AD40" s="6"/>
      <c r="AE40" s="3"/>
      <c r="AF40" s="6"/>
      <c r="AG40" s="5"/>
      <c r="AH40" s="5"/>
      <c r="AI40" s="5"/>
      <c r="AJ40" s="5"/>
      <c r="AK40" s="5"/>
      <c r="AL40" s="3"/>
      <c r="AM40" s="48" t="s">
        <v>1068</v>
      </c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3"/>
      <c r="BE40" s="3"/>
      <c r="BF40" s="7"/>
      <c r="BG40" s="6"/>
      <c r="BH40" s="3"/>
      <c r="BI40" s="6"/>
    </row>
    <row x14ac:dyDescent="0.25" r="41" customHeight="1" ht="12.75">
      <c r="A41" s="5"/>
      <c r="B41" s="3"/>
      <c r="C41" s="3"/>
      <c r="D41" s="5"/>
      <c r="E41" s="23"/>
      <c r="F41" s="6"/>
      <c r="G41" s="6"/>
      <c r="H41" s="7"/>
      <c r="I41" s="6"/>
      <c r="J41" s="6"/>
      <c r="K41" s="7"/>
      <c r="L41" s="6"/>
      <c r="M41" s="6"/>
      <c r="N41" s="23"/>
      <c r="O41" s="5"/>
      <c r="P41" s="6"/>
      <c r="Q41" s="6"/>
      <c r="R41" s="6"/>
      <c r="S41" s="6"/>
      <c r="T41" s="6"/>
      <c r="U41" s="6"/>
      <c r="V41" s="5"/>
      <c r="W41" s="6"/>
      <c r="X41" s="6"/>
      <c r="Y41" s="6"/>
      <c r="Z41" s="7"/>
      <c r="AA41" s="7"/>
      <c r="AB41" s="6"/>
      <c r="AC41" s="15"/>
      <c r="AD41" s="6"/>
      <c r="AE41" s="3"/>
      <c r="AF41" s="6"/>
      <c r="AG41" s="1" t="s">
        <v>884</v>
      </c>
      <c r="AH41" s="1" t="s">
        <v>911</v>
      </c>
      <c r="AI41" s="1" t="s">
        <v>1069</v>
      </c>
      <c r="AJ41" s="1" t="s">
        <v>886</v>
      </c>
      <c r="AK41" s="1" t="s">
        <v>887</v>
      </c>
      <c r="AL41" s="3"/>
      <c r="AM41" s="36">
        <f>0.86*2204.6</f>
      </c>
      <c r="AN41" s="36">
        <f>0.985*2204.6</f>
      </c>
      <c r="AO41" s="36">
        <f>(19.03/31.1)*1000000</f>
      </c>
      <c r="AP41" s="36">
        <f>3.15*2204.6</f>
      </c>
      <c r="AQ41" s="36">
        <f>(1270/31.1)*1000000</f>
      </c>
      <c r="AR41" s="36">
        <v>102</v>
      </c>
      <c r="AS41" s="36">
        <v>16863</v>
      </c>
      <c r="AT41" s="36">
        <f>14*2204.6</f>
      </c>
      <c r="AU41" s="36">
        <v>980</v>
      </c>
      <c r="AV41" s="36">
        <v>735000</v>
      </c>
      <c r="AW41" s="36">
        <v>26900</v>
      </c>
      <c r="AX41" s="36">
        <v>101</v>
      </c>
      <c r="AY41" s="36">
        <f>(350/10)*1000</f>
      </c>
      <c r="AZ41" s="36">
        <f>33*2204.6</f>
      </c>
      <c r="BA41" s="36">
        <f>0.79*2204.6</f>
      </c>
      <c r="BB41" s="36">
        <f>5.8*2204.6</f>
      </c>
      <c r="BC41" s="6"/>
      <c r="BD41" s="3"/>
      <c r="BE41" s="3"/>
      <c r="BF41" s="7"/>
      <c r="BG41" s="6"/>
      <c r="BH41" s="3"/>
      <c r="BI41" s="6"/>
    </row>
    <row x14ac:dyDescent="0.25" r="42" customHeight="1" ht="12.75">
      <c r="A42" s="1">
        <v>2013</v>
      </c>
      <c r="B42" s="28"/>
      <c r="C42" s="28" t="s">
        <v>882</v>
      </c>
      <c r="D42" s="1" t="s">
        <v>883</v>
      </c>
      <c r="E42" s="35" t="s">
        <v>888</v>
      </c>
      <c r="F42" s="2" t="s">
        <v>889</v>
      </c>
      <c r="G42" s="2" t="s">
        <v>890</v>
      </c>
      <c r="H42" s="4" t="s">
        <v>891</v>
      </c>
      <c r="I42" s="2" t="s">
        <v>892</v>
      </c>
      <c r="J42" s="2" t="s">
        <v>893</v>
      </c>
      <c r="K42" s="4" t="s">
        <v>894</v>
      </c>
      <c r="L42" s="2" t="s">
        <v>895</v>
      </c>
      <c r="M42" s="2" t="s">
        <v>896</v>
      </c>
      <c r="N42" s="35" t="s">
        <v>897</v>
      </c>
      <c r="O42" s="29" t="s">
        <v>898</v>
      </c>
      <c r="P42" s="2" t="s">
        <v>899</v>
      </c>
      <c r="Q42" s="2" t="s">
        <v>900</v>
      </c>
      <c r="R42" s="2" t="s">
        <v>901</v>
      </c>
      <c r="S42" s="2" t="s">
        <v>902</v>
      </c>
      <c r="T42" s="2" t="s">
        <v>903</v>
      </c>
      <c r="U42" s="2" t="s">
        <v>904</v>
      </c>
      <c r="V42" s="29" t="s">
        <v>887</v>
      </c>
      <c r="W42" s="2" t="s">
        <v>887</v>
      </c>
      <c r="X42" s="2" t="s">
        <v>905</v>
      </c>
      <c r="Y42" s="2" t="s">
        <v>906</v>
      </c>
      <c r="Z42" s="4" t="s">
        <v>907</v>
      </c>
      <c r="AA42" s="4" t="s">
        <v>909</v>
      </c>
      <c r="AB42" s="2" t="s">
        <v>908</v>
      </c>
      <c r="AC42" s="30" t="s">
        <v>0</v>
      </c>
      <c r="AD42" s="2" t="s">
        <v>1</v>
      </c>
      <c r="AE42" s="3"/>
      <c r="AF42" s="2" t="s">
        <v>2</v>
      </c>
      <c r="AG42" s="5" t="s">
        <v>1070</v>
      </c>
      <c r="AH42" s="5" t="s">
        <v>1071</v>
      </c>
      <c r="AI42" s="5" t="s">
        <v>1072</v>
      </c>
      <c r="AJ42" s="5" t="s">
        <v>1073</v>
      </c>
      <c r="AK42" s="5" t="s">
        <v>1072</v>
      </c>
      <c r="AL42" s="3"/>
      <c r="AM42" s="2" t="s">
        <v>889</v>
      </c>
      <c r="AN42" s="2" t="s">
        <v>890</v>
      </c>
      <c r="AO42" s="2" t="s">
        <v>891</v>
      </c>
      <c r="AP42" s="2" t="s">
        <v>892</v>
      </c>
      <c r="AQ42" s="2" t="s">
        <v>893</v>
      </c>
      <c r="AR42" s="2" t="s">
        <v>894</v>
      </c>
      <c r="AS42" s="2" t="s">
        <v>895</v>
      </c>
      <c r="AT42" s="2" t="s">
        <v>896</v>
      </c>
      <c r="AU42" s="2" t="s">
        <v>897</v>
      </c>
      <c r="AV42" s="2" t="s">
        <v>898</v>
      </c>
      <c r="AW42" s="2" t="s">
        <v>899</v>
      </c>
      <c r="AX42" s="2" t="s">
        <v>900</v>
      </c>
      <c r="AY42" s="2" t="s">
        <v>901</v>
      </c>
      <c r="AZ42" s="2" t="s">
        <v>902</v>
      </c>
      <c r="BA42" s="2" t="s">
        <v>903</v>
      </c>
      <c r="BB42" s="2" t="s">
        <v>904</v>
      </c>
      <c r="BC42" s="2" t="s">
        <v>887</v>
      </c>
      <c r="BD42" s="27" t="s">
        <v>887</v>
      </c>
      <c r="BE42" s="3"/>
      <c r="BF42" s="4" t="s">
        <v>3</v>
      </c>
      <c r="BG42" s="6"/>
      <c r="BH42" s="3"/>
      <c r="BI42" s="6"/>
    </row>
    <row x14ac:dyDescent="0.25" r="43" customHeight="1" ht="12.75">
      <c r="A43" s="5" t="s">
        <v>72</v>
      </c>
      <c r="B43" s="3" t="s">
        <v>855</v>
      </c>
      <c r="C43" s="43" t="s">
        <v>856</v>
      </c>
      <c r="D43" s="34" t="s">
        <v>934</v>
      </c>
      <c r="E43" s="6">
        <v>203.09699999999998</v>
      </c>
      <c r="F43" s="6">
        <v>1.0594354421778758</v>
      </c>
      <c r="G43" s="6">
        <v>2.5489258334687372</v>
      </c>
      <c r="H43" s="7">
        <v>100.22595286488722</v>
      </c>
      <c r="I43" s="6">
        <v>0.21476708173926745</v>
      </c>
      <c r="J43" s="6"/>
      <c r="K43" s="7"/>
      <c r="L43" s="6"/>
      <c r="M43" s="6"/>
      <c r="N43" s="23"/>
      <c r="O43" s="5"/>
      <c r="P43" s="6"/>
      <c r="Q43" s="6"/>
      <c r="R43" s="6"/>
      <c r="S43" s="6"/>
      <c r="T43" s="6"/>
      <c r="U43" s="6"/>
      <c r="V43" s="5"/>
      <c r="W43" s="6"/>
      <c r="X43" s="6">
        <f>E43*F43/100</f>
      </c>
      <c r="Y43" s="6">
        <f>E43*G43/100</f>
      </c>
      <c r="Z43" s="7">
        <f>E43*H43</f>
      </c>
      <c r="AA43" s="7">
        <f>E43*J43</f>
      </c>
      <c r="AB43" s="6">
        <f>E43*I43/100</f>
      </c>
      <c r="AC43" s="15">
        <f>X43+Y43+AB43</f>
      </c>
      <c r="AD43" s="6">
        <f>F43+G43+I43</f>
      </c>
      <c r="AE43" s="3"/>
      <c r="AF43" s="6">
        <f>SUM(AM43:BC43)</f>
      </c>
      <c r="AG43" s="5">
        <f>IF(SUM(AM43:AO43)&gt;0.7*AF43,1,0)</f>
      </c>
      <c r="AH43" s="5">
        <f>IF(AN43&gt;0.4*AF43,1,0)</f>
      </c>
      <c r="AI43" s="5">
        <f>IF(SUM(AP43:AQ43)&gt;0.3*AF43,1,0)</f>
      </c>
      <c r="AJ43" s="5">
        <f>IF(AQ43&gt;0.2*AF43,1,0)</f>
      </c>
      <c r="AK43" s="5">
        <f>IF(SUM(AR43:BC43)&gt;0.3*AF43,1,0)</f>
      </c>
      <c r="AL43" s="3"/>
      <c r="AM43" s="6">
        <f>(F43/100)*AM$41</f>
      </c>
      <c r="AN43" s="6">
        <f>(G43/100)*AN$41</f>
      </c>
      <c r="AO43" s="6">
        <f>(H43/1000000)*AO$41</f>
      </c>
      <c r="AP43" s="6">
        <f>(I43/100)*AP$41</f>
      </c>
      <c r="AQ43" s="6">
        <f>(J43/1000000)*AQ$41</f>
      </c>
      <c r="AR43" s="6">
        <f>(K43/100)*AR$41</f>
      </c>
      <c r="AS43" s="6">
        <f>(L43/100)*AS$41</f>
      </c>
      <c r="AT43" s="6">
        <f>(M43/100)*AT$41</f>
      </c>
      <c r="AU43" s="6">
        <f>(N43/100)*AU$41</f>
      </c>
      <c r="AV43" s="6">
        <f>(O43/1000000)*AV$41</f>
      </c>
      <c r="AW43" s="6">
        <f>(P43/100)*AW$41</f>
      </c>
      <c r="AX43" s="6">
        <f>(Q43/100)*AX$41</f>
      </c>
      <c r="AY43" s="6">
        <f>(R43/100)*AY$41</f>
      </c>
      <c r="AZ43" s="6">
        <f>(S43/100)*AZ$41</f>
      </c>
      <c r="BA43" s="6">
        <f>(T43/100)*BA$41</f>
      </c>
      <c r="BB43" s="6">
        <f>(U43/100)*BB$41</f>
      </c>
      <c r="BC43" s="6"/>
      <c r="BD43" s="3"/>
      <c r="BE43" s="3"/>
      <c r="BF43" s="7">
        <f>AF43*E43</f>
      </c>
      <c r="BG43" s="6"/>
      <c r="BH43" s="3"/>
      <c r="BI43" s="6"/>
    </row>
    <row x14ac:dyDescent="0.25" r="44" customHeight="1" ht="12.75">
      <c r="A44" s="5" t="s">
        <v>96</v>
      </c>
      <c r="B44" s="3" t="s">
        <v>855</v>
      </c>
      <c r="C44" s="43" t="s">
        <v>856</v>
      </c>
      <c r="D44" s="34"/>
      <c r="E44" s="6">
        <v>93.07</v>
      </c>
      <c r="F44" s="6">
        <v>0.62</v>
      </c>
      <c r="G44" s="6">
        <v>4.09</v>
      </c>
      <c r="H44" s="6">
        <v>9.2</v>
      </c>
      <c r="I44" s="6">
        <v>1.28</v>
      </c>
      <c r="J44" s="6">
        <v>1.8</v>
      </c>
      <c r="K44" s="7"/>
      <c r="L44" s="6"/>
      <c r="M44" s="6"/>
      <c r="N44" s="23"/>
      <c r="O44" s="5"/>
      <c r="P44" s="6"/>
      <c r="Q44" s="6"/>
      <c r="R44" s="6"/>
      <c r="S44" s="6"/>
      <c r="T44" s="6"/>
      <c r="U44" s="6"/>
      <c r="V44" s="5"/>
      <c r="W44" s="6" t="s">
        <v>948</v>
      </c>
      <c r="X44" s="6">
        <f>E44*F44/100</f>
      </c>
      <c r="Y44" s="6">
        <f>E44*G44/100</f>
      </c>
      <c r="Z44" s="7">
        <f>E44*H44</f>
      </c>
      <c r="AA44" s="7">
        <f>E44*J44</f>
      </c>
      <c r="AB44" s="6">
        <f>E44*I44/100</f>
      </c>
      <c r="AC44" s="15">
        <f>X44+Y44+AB44</f>
      </c>
      <c r="AD44" s="6">
        <f>F44+G44+I44</f>
      </c>
      <c r="AE44" s="3"/>
      <c r="AF44" s="6">
        <f>SUM(AM44:BC44)</f>
      </c>
      <c r="AG44" s="5">
        <f>IF(SUM(AM44:AO44)&gt;0.7*AF44,1,0)</f>
      </c>
      <c r="AH44" s="5">
        <f>IF(AN44&gt;0.4*AF44,1,0)</f>
      </c>
      <c r="AI44" s="5">
        <f>IF(SUM(AP44:AQ44)&gt;0.3*AF44,1,0)</f>
      </c>
      <c r="AJ44" s="5">
        <f>IF(AQ44&gt;0.2*AF44,1,0)</f>
      </c>
      <c r="AK44" s="5">
        <f>IF(SUM(AR44:BC44)&gt;0.3*AF44,1,0)</f>
      </c>
      <c r="AL44" s="3"/>
      <c r="AM44" s="6">
        <f>(F44/100)*AM$41</f>
      </c>
      <c r="AN44" s="6">
        <f>(G44/100)*AN$41</f>
      </c>
      <c r="AO44" s="6">
        <f>(H44/1000000)*AO$41</f>
      </c>
      <c r="AP44" s="6">
        <f>(I44/100)*AP$41</f>
      </c>
      <c r="AQ44" s="6">
        <f>(J44/1000000)*AQ$41</f>
      </c>
      <c r="AR44" s="6">
        <f>(K44/100)*AR$41</f>
      </c>
      <c r="AS44" s="6">
        <f>(L44/100)*AS$41</f>
      </c>
      <c r="AT44" s="6">
        <f>(M44/100)*AT$41</f>
      </c>
      <c r="AU44" s="6">
        <f>(N44/100)*AU$41</f>
      </c>
      <c r="AV44" s="6">
        <f>(O44/1000000)*AV$41</f>
      </c>
      <c r="AW44" s="6">
        <f>(P44/100)*AW$41</f>
      </c>
      <c r="AX44" s="6">
        <f>(Q44/100)*AX$41</f>
      </c>
      <c r="AY44" s="6">
        <f>(R44/100)*AY$41</f>
      </c>
      <c r="AZ44" s="6">
        <f>(S44/100)*AZ$41</f>
      </c>
      <c r="BA44" s="6">
        <f>(T44/100)*BA$41</f>
      </c>
      <c r="BB44" s="6">
        <f>(U44/100)*BB$41</f>
      </c>
      <c r="BC44" s="6">
        <f>((7.6/1000)*89)+((7.1/1000000)*(22.8*29.0082))</f>
      </c>
      <c r="BD44" s="3" t="s">
        <v>949</v>
      </c>
      <c r="BE44" s="3"/>
      <c r="BF44" s="7">
        <f>AF44*E44</f>
      </c>
      <c r="BG44" s="6"/>
      <c r="BH44" s="3"/>
      <c r="BI44" s="6"/>
    </row>
    <row x14ac:dyDescent="0.25" r="45" customHeight="1" ht="12.75">
      <c r="A45" s="5" t="s">
        <v>120</v>
      </c>
      <c r="B45" s="3" t="s">
        <v>855</v>
      </c>
      <c r="C45" s="43" t="s">
        <v>856</v>
      </c>
      <c r="D45" s="34" t="s">
        <v>925</v>
      </c>
      <c r="E45" s="23">
        <v>79.933811</v>
      </c>
      <c r="F45" s="6">
        <v>1.528</v>
      </c>
      <c r="G45" s="6">
        <v>5.223</v>
      </c>
      <c r="H45" s="7">
        <v>9.578800000000001</v>
      </c>
      <c r="I45" s="6"/>
      <c r="J45" s="6"/>
      <c r="K45" s="7"/>
      <c r="L45" s="6"/>
      <c r="M45" s="6"/>
      <c r="N45" s="23"/>
      <c r="O45" s="5"/>
      <c r="P45" s="6"/>
      <c r="Q45" s="6"/>
      <c r="R45" s="6"/>
      <c r="S45" s="6"/>
      <c r="T45" s="6"/>
      <c r="U45" s="6"/>
      <c r="V45" s="5"/>
      <c r="W45" s="6"/>
      <c r="X45" s="6">
        <f>E45*F45/100</f>
      </c>
      <c r="Y45" s="6">
        <f>E45*G45/100</f>
      </c>
      <c r="Z45" s="7">
        <f>E45*H45</f>
      </c>
      <c r="AA45" s="7">
        <f>E45*J45</f>
      </c>
      <c r="AB45" s="6">
        <f>E45*I45/100</f>
      </c>
      <c r="AC45" s="15">
        <f>X45+Y45+AB45</f>
      </c>
      <c r="AD45" s="6">
        <f>F45+G45+I45</f>
      </c>
      <c r="AE45" s="3"/>
      <c r="AF45" s="6">
        <f>SUM(AM45:BC45)</f>
      </c>
      <c r="AG45" s="5">
        <f>IF(SUM(AM45:AO45)&gt;0.7*AF45,1,0)</f>
      </c>
      <c r="AH45" s="5">
        <f>IF(AN45&gt;0.4*AF45,1,0)</f>
      </c>
      <c r="AI45" s="5">
        <f>IF(SUM(AP45:AQ45)&gt;0.3*AF45,1,0)</f>
      </c>
      <c r="AJ45" s="5">
        <f>IF(AQ45&gt;0.2*AF45,1,0)</f>
      </c>
      <c r="AK45" s="5">
        <f>IF(SUM(AR45:BC45)&gt;0.3*AF45,1,0)</f>
      </c>
      <c r="AL45" s="3"/>
      <c r="AM45" s="6">
        <f>(F45/100)*AM$41</f>
      </c>
      <c r="AN45" s="6">
        <f>(G45/100)*AN$41</f>
      </c>
      <c r="AO45" s="6">
        <f>(H45/1000000)*AO$41</f>
      </c>
      <c r="AP45" s="6">
        <f>(I45/100)*AP$41</f>
      </c>
      <c r="AQ45" s="6">
        <f>(J45/1000000)*AQ$41</f>
      </c>
      <c r="AR45" s="6">
        <f>(K45/100)*AR$41</f>
      </c>
      <c r="AS45" s="6">
        <f>(L45/100)*AS$41</f>
      </c>
      <c r="AT45" s="6">
        <f>(M45/100)*AT$41</f>
      </c>
      <c r="AU45" s="6">
        <f>(N45/100)*AU$41</f>
      </c>
      <c r="AV45" s="6">
        <f>(O45/1000000)*AV$41</f>
      </c>
      <c r="AW45" s="6">
        <f>(P45/100)*AW$41</f>
      </c>
      <c r="AX45" s="6">
        <f>(Q45/100)*AX$41</f>
      </c>
      <c r="AY45" s="6">
        <f>(R45/100)*AY$41</f>
      </c>
      <c r="AZ45" s="6">
        <f>(S45/100)*AZ$41</f>
      </c>
      <c r="BA45" s="6">
        <f>(T45/100)*BA$41</f>
      </c>
      <c r="BB45" s="6">
        <f>(U45/100)*BB$41</f>
      </c>
      <c r="BC45" s="6"/>
      <c r="BD45" s="3"/>
      <c r="BE45" s="3"/>
      <c r="BF45" s="7">
        <f>AF45*E45</f>
      </c>
      <c r="BG45" s="6"/>
      <c r="BH45" s="3"/>
      <c r="BI45" s="6"/>
    </row>
    <row x14ac:dyDescent="0.25" r="46" customHeight="1" ht="12.75">
      <c r="A46" s="5" t="s">
        <v>148</v>
      </c>
      <c r="B46" s="3" t="s">
        <v>855</v>
      </c>
      <c r="C46" s="43" t="s">
        <v>856</v>
      </c>
      <c r="D46" s="34"/>
      <c r="E46" s="6">
        <v>68.6</v>
      </c>
      <c r="F46" s="6">
        <v>1.1</v>
      </c>
      <c r="G46" s="6">
        <v>4.6</v>
      </c>
      <c r="H46" s="7"/>
      <c r="I46" s="6"/>
      <c r="J46" s="6"/>
      <c r="K46" s="7"/>
      <c r="L46" s="6"/>
      <c r="M46" s="6"/>
      <c r="N46" s="23"/>
      <c r="O46" s="5"/>
      <c r="P46" s="6"/>
      <c r="Q46" s="6"/>
      <c r="R46" s="6"/>
      <c r="S46" s="6"/>
      <c r="T46" s="6"/>
      <c r="U46" s="6"/>
      <c r="V46" s="5"/>
      <c r="W46" s="6"/>
      <c r="X46" s="6">
        <f>E46*F46/100</f>
      </c>
      <c r="Y46" s="6">
        <f>E46*G46/100</f>
      </c>
      <c r="Z46" s="7">
        <f>E46*H46</f>
      </c>
      <c r="AA46" s="7">
        <f>E46*J46</f>
      </c>
      <c r="AB46" s="6">
        <f>E46*I46/100</f>
      </c>
      <c r="AC46" s="15">
        <f>X46+Y46+AB46</f>
      </c>
      <c r="AD46" s="6">
        <f>F46+G46+I46</f>
      </c>
      <c r="AE46" s="3"/>
      <c r="AF46" s="6">
        <f>SUM(AM46:BC46)</f>
      </c>
      <c r="AG46" s="5">
        <f>IF(SUM(AM46:AO46)&gt;0.7*AF46,1,0)</f>
      </c>
      <c r="AH46" s="5">
        <f>IF(AN46&gt;0.4*AF46,1,0)</f>
      </c>
      <c r="AI46" s="5">
        <f>IF(SUM(AP46:AQ46)&gt;0.3*AF46,1,0)</f>
      </c>
      <c r="AJ46" s="5">
        <f>IF(AQ46&gt;0.2*AF46,1,0)</f>
      </c>
      <c r="AK46" s="5">
        <f>IF(SUM(AR46:BC46)&gt;0.3*AF46,1,0)</f>
      </c>
      <c r="AL46" s="3"/>
      <c r="AM46" s="6">
        <f>(F46/100)*AM$41</f>
      </c>
      <c r="AN46" s="6">
        <f>(G46/100)*AN$41</f>
      </c>
      <c r="AO46" s="6">
        <f>(H46/1000000)*AO$41</f>
      </c>
      <c r="AP46" s="6">
        <f>(I46/100)*AP$41</f>
      </c>
      <c r="AQ46" s="6">
        <f>(J46/1000000)*AQ$41</f>
      </c>
      <c r="AR46" s="6">
        <f>(K46/100)*AR$41</f>
      </c>
      <c r="AS46" s="6">
        <f>(L46/100)*AS$41</f>
      </c>
      <c r="AT46" s="6">
        <f>(M46/100)*AT$41</f>
      </c>
      <c r="AU46" s="6">
        <f>(N46/100)*AU$41</f>
      </c>
      <c r="AV46" s="6">
        <f>(O46/1000000)*AV$41</f>
      </c>
      <c r="AW46" s="6">
        <f>(P46/100)*AW$41</f>
      </c>
      <c r="AX46" s="6">
        <f>(Q46/100)*AX$41</f>
      </c>
      <c r="AY46" s="6">
        <f>(R46/100)*AY$41</f>
      </c>
      <c r="AZ46" s="6">
        <f>(S46/100)*AZ$41</f>
      </c>
      <c r="BA46" s="6">
        <f>(T46/100)*BA$41</f>
      </c>
      <c r="BB46" s="6">
        <f>(U46/100)*BB$41</f>
      </c>
      <c r="BC46" s="6"/>
      <c r="BD46" s="3"/>
      <c r="BE46" s="3"/>
      <c r="BF46" s="7">
        <f>AF46*E46</f>
      </c>
      <c r="BG46" s="6"/>
      <c r="BH46" s="3"/>
      <c r="BI46" s="6"/>
    </row>
    <row x14ac:dyDescent="0.25" r="47" customHeight="1" ht="12.75">
      <c r="A47" s="5" t="s">
        <v>153</v>
      </c>
      <c r="B47" s="3" t="s">
        <v>855</v>
      </c>
      <c r="C47" s="43" t="s">
        <v>856</v>
      </c>
      <c r="D47" s="34" t="s">
        <v>926</v>
      </c>
      <c r="E47" s="6">
        <v>340.384</v>
      </c>
      <c r="F47" s="6">
        <v>0.6333830262292</v>
      </c>
      <c r="G47" s="6">
        <v>0.38104979963805585</v>
      </c>
      <c r="H47" s="7">
        <v>37.15595171923474</v>
      </c>
      <c r="I47" s="6"/>
      <c r="J47" s="6"/>
      <c r="K47" s="7"/>
      <c r="L47" s="6"/>
      <c r="M47" s="6"/>
      <c r="N47" s="23"/>
      <c r="O47" s="5"/>
      <c r="P47" s="6"/>
      <c r="Q47" s="6"/>
      <c r="R47" s="6"/>
      <c r="S47" s="6"/>
      <c r="T47" s="6"/>
      <c r="U47" s="6"/>
      <c r="V47" s="5"/>
      <c r="W47" s="6"/>
      <c r="X47" s="6">
        <f>E47*F47/100</f>
      </c>
      <c r="Y47" s="6">
        <f>E47*G47/100</f>
      </c>
      <c r="Z47" s="7">
        <f>E47*H47</f>
      </c>
      <c r="AA47" s="7">
        <f>E47*J47</f>
      </c>
      <c r="AB47" s="6">
        <f>E47*I47/100</f>
      </c>
      <c r="AC47" s="15">
        <f>X47+Y47+AB47</f>
      </c>
      <c r="AD47" s="6">
        <f>F47+G47+I47</f>
      </c>
      <c r="AE47" s="3"/>
      <c r="AF47" s="6">
        <f>SUM(AM47:BC47)</f>
      </c>
      <c r="AG47" s="5">
        <f>IF(SUM(AM47:AO47)&gt;0.7*AF47,1,0)</f>
      </c>
      <c r="AH47" s="5">
        <f>IF(AN47&gt;0.4*AF47,1,0)</f>
      </c>
      <c r="AI47" s="5">
        <f>IF(SUM(AP47:AQ47)&gt;0.3*AF47,1,0)</f>
      </c>
      <c r="AJ47" s="5">
        <f>IF(AQ47&gt;0.2*AF47,1,0)</f>
      </c>
      <c r="AK47" s="5">
        <f>IF(SUM(AR47:BC47)&gt;0.3*AF47,1,0)</f>
      </c>
      <c r="AL47" s="3"/>
      <c r="AM47" s="6">
        <f>(F47/100)*AM$41</f>
      </c>
      <c r="AN47" s="6">
        <f>(G47/100)*AN$41</f>
      </c>
      <c r="AO47" s="6">
        <f>(H47/1000000)*AO$41</f>
      </c>
      <c r="AP47" s="6">
        <f>(I47/100)*AP$41</f>
      </c>
      <c r="AQ47" s="6">
        <f>(J47/1000000)*AQ$41</f>
      </c>
      <c r="AR47" s="6">
        <f>(K47/100)*AR$41</f>
      </c>
      <c r="AS47" s="6">
        <f>(L47/100)*AS$41</f>
      </c>
      <c r="AT47" s="6">
        <f>(M47/100)*AT$41</f>
      </c>
      <c r="AU47" s="6">
        <f>(N47/100)*AU$41</f>
      </c>
      <c r="AV47" s="6">
        <f>(O47/1000000)*AV$41</f>
      </c>
      <c r="AW47" s="6">
        <f>(P47/100)*AW$41</f>
      </c>
      <c r="AX47" s="6">
        <f>(Q47/100)*AX$41</f>
      </c>
      <c r="AY47" s="6">
        <f>(R47/100)*AY$41</f>
      </c>
      <c r="AZ47" s="6">
        <f>(S47/100)*AZ$41</f>
      </c>
      <c r="BA47" s="6">
        <f>(T47/100)*BA$41</f>
      </c>
      <c r="BB47" s="6">
        <f>(U47/100)*BB$41</f>
      </c>
      <c r="BC47" s="6"/>
      <c r="BD47" s="3"/>
      <c r="BE47" s="3"/>
      <c r="BF47" s="7">
        <f>AF47*E47</f>
      </c>
      <c r="BG47" s="6"/>
      <c r="BH47" s="3"/>
      <c r="BI47" s="6"/>
    </row>
    <row x14ac:dyDescent="0.25" r="48" customHeight="1" ht="12.75">
      <c r="A48" s="5" t="s">
        <v>105</v>
      </c>
      <c r="B48" s="3" t="s">
        <v>855</v>
      </c>
      <c r="C48" s="43" t="s">
        <v>856</v>
      </c>
      <c r="D48" s="34" t="s">
        <v>928</v>
      </c>
      <c r="E48" s="6">
        <v>69.49000000000001</v>
      </c>
      <c r="F48" s="6">
        <v>1.4514131529716503</v>
      </c>
      <c r="G48" s="6">
        <v>2.8235400777090227</v>
      </c>
      <c r="H48" s="31">
        <v>358.0692185926032</v>
      </c>
      <c r="I48" s="6"/>
      <c r="J48" s="6">
        <v>0.7537544970499351</v>
      </c>
      <c r="K48" s="7"/>
      <c r="L48" s="6"/>
      <c r="M48" s="6"/>
      <c r="N48" s="23"/>
      <c r="O48" s="5"/>
      <c r="P48" s="6"/>
      <c r="Q48" s="6"/>
      <c r="R48" s="6"/>
      <c r="S48" s="6"/>
      <c r="T48" s="6"/>
      <c r="U48" s="6"/>
      <c r="V48" s="5"/>
      <c r="W48" s="6"/>
      <c r="X48" s="6">
        <f>E48*F48/100</f>
      </c>
      <c r="Y48" s="6">
        <f>E48*G48/100</f>
      </c>
      <c r="Z48" s="7">
        <f>E48*H48</f>
      </c>
      <c r="AA48" s="7">
        <f>E48*J48</f>
      </c>
      <c r="AB48" s="6">
        <f>E48*I48/100</f>
      </c>
      <c r="AC48" s="15">
        <f>X48+Y48+AB48</f>
      </c>
      <c r="AD48" s="6">
        <f>F48+G48+I48</f>
      </c>
      <c r="AE48" s="3"/>
      <c r="AF48" s="6">
        <f>SUM(AM48:BC48)</f>
      </c>
      <c r="AG48" s="5">
        <f>IF(SUM(AM48:AO48)&gt;0.7*AF48,1,0)</f>
      </c>
      <c r="AH48" s="5">
        <f>IF(AN48&gt;0.4*AF48,1,0)</f>
      </c>
      <c r="AI48" s="5">
        <f>IF(SUM(AP48:AQ48)&gt;0.3*AF48,1,0)</f>
      </c>
      <c r="AJ48" s="5">
        <f>IF(AQ48&gt;0.2*AF48,1,0)</f>
      </c>
      <c r="AK48" s="5">
        <f>IF(SUM(AR48:BC48)&gt;0.3*AF48,1,0)</f>
      </c>
      <c r="AL48" s="3"/>
      <c r="AM48" s="6">
        <f>(F48/100)*AM$41</f>
      </c>
      <c r="AN48" s="6">
        <f>(G48/100)*AN$41</f>
      </c>
      <c r="AO48" s="6">
        <f>(H48/1000000)*AO$41</f>
      </c>
      <c r="AP48" s="6">
        <f>(I48/100)*AP$41</f>
      </c>
      <c r="AQ48" s="6">
        <f>(J48/1000000)*AQ$41</f>
      </c>
      <c r="AR48" s="6">
        <f>(K48/100)*AR$41</f>
      </c>
      <c r="AS48" s="6">
        <f>(L48/100)*AS$41</f>
      </c>
      <c r="AT48" s="6">
        <f>(M48/100)*AT$41</f>
      </c>
      <c r="AU48" s="6">
        <f>(N48/100)*AU$41</f>
      </c>
      <c r="AV48" s="6">
        <f>(O48/1000000)*AV$41</f>
      </c>
      <c r="AW48" s="6">
        <f>(P48/100)*AW$41</f>
      </c>
      <c r="AX48" s="6">
        <f>(Q48/100)*AX$41</f>
      </c>
      <c r="AY48" s="6">
        <f>(R48/100)*AY$41</f>
      </c>
      <c r="AZ48" s="6">
        <f>(S48/100)*AZ$41</f>
      </c>
      <c r="BA48" s="6">
        <f>(T48/100)*BA$41</f>
      </c>
      <c r="BB48" s="6">
        <f>(U48/100)*BB$41</f>
      </c>
      <c r="BC48" s="6"/>
      <c r="BD48" s="3"/>
      <c r="BE48" s="3"/>
      <c r="BF48" s="7">
        <f>AF48*E48</f>
      </c>
      <c r="BG48" s="6"/>
      <c r="BH48" s="3"/>
      <c r="BI48" s="6"/>
    </row>
    <row x14ac:dyDescent="0.25" r="49" customHeight="1" ht="12.75">
      <c r="A49" s="5" t="s">
        <v>114</v>
      </c>
      <c r="B49" s="3" t="s">
        <v>855</v>
      </c>
      <c r="C49" s="43" t="s">
        <v>856</v>
      </c>
      <c r="D49" s="34" t="s">
        <v>927</v>
      </c>
      <c r="E49" s="6">
        <v>282.40000000000003</v>
      </c>
      <c r="F49" s="6">
        <v>0.3113916430594901</v>
      </c>
      <c r="G49" s="6">
        <v>0.7020007082152974</v>
      </c>
      <c r="H49" s="7">
        <v>81.32092776203964</v>
      </c>
      <c r="I49" s="6"/>
      <c r="J49" s="6"/>
      <c r="K49" s="7"/>
      <c r="L49" s="6"/>
      <c r="M49" s="6"/>
      <c r="N49" s="23"/>
      <c r="O49" s="5"/>
      <c r="P49" s="6"/>
      <c r="Q49" s="6"/>
      <c r="R49" s="6"/>
      <c r="S49" s="6"/>
      <c r="T49" s="6"/>
      <c r="U49" s="6"/>
      <c r="V49" s="5"/>
      <c r="W49" s="6"/>
      <c r="X49" s="6">
        <f>E49*F49/100</f>
      </c>
      <c r="Y49" s="6">
        <f>E49*G49/100</f>
      </c>
      <c r="Z49" s="7">
        <f>E49*H49</f>
      </c>
      <c r="AA49" s="7">
        <f>E49*J49</f>
      </c>
      <c r="AB49" s="6">
        <f>E49*I49/100</f>
      </c>
      <c r="AC49" s="15">
        <f>X49+Y49+AB49</f>
      </c>
      <c r="AD49" s="6">
        <f>F49+G49+I49</f>
      </c>
      <c r="AE49" s="3"/>
      <c r="AF49" s="6">
        <f>SUM(AM49:BC49)</f>
      </c>
      <c r="AG49" s="5">
        <f>IF(SUM(AM49:AO49)&gt;0.7*AF49,1,0)</f>
      </c>
      <c r="AH49" s="5">
        <f>IF(AN49&gt;0.4*AF49,1,0)</f>
      </c>
      <c r="AI49" s="5">
        <f>IF(SUM(AP49:AQ49)&gt;0.3*AF49,1,0)</f>
      </c>
      <c r="AJ49" s="5">
        <f>IF(AQ49&gt;0.2*AF49,1,0)</f>
      </c>
      <c r="AK49" s="5">
        <f>IF(SUM(AR49:BC49)&gt;0.3*AF49,1,0)</f>
      </c>
      <c r="AL49" s="3"/>
      <c r="AM49" s="6">
        <f>(F49/100)*AM$41</f>
      </c>
      <c r="AN49" s="6">
        <f>(G49/100)*AN$41</f>
      </c>
      <c r="AO49" s="6">
        <f>(H49/1000000)*AO$41</f>
      </c>
      <c r="AP49" s="6">
        <f>(I49/100)*AP$41</f>
      </c>
      <c r="AQ49" s="6">
        <f>(J49/1000000)*AQ$41</f>
      </c>
      <c r="AR49" s="6">
        <f>(K49/100)*AR$41</f>
      </c>
      <c r="AS49" s="6">
        <f>(L49/100)*AS$41</f>
      </c>
      <c r="AT49" s="6">
        <f>(M49/100)*AT$41</f>
      </c>
      <c r="AU49" s="6">
        <f>(N49/100)*AU$41</f>
      </c>
      <c r="AV49" s="6">
        <f>(O49/1000000)*AV$41</f>
      </c>
      <c r="AW49" s="6">
        <f>(P49/100)*AW$41</f>
      </c>
      <c r="AX49" s="6">
        <f>(Q49/100)*AX$41</f>
      </c>
      <c r="AY49" s="6">
        <f>(R49/100)*AY$41</f>
      </c>
      <c r="AZ49" s="6">
        <f>(S49/100)*AZ$41</f>
      </c>
      <c r="BA49" s="6">
        <f>(T49/100)*BA$41</f>
      </c>
      <c r="BB49" s="6">
        <f>(U49/100)*BB$41</f>
      </c>
      <c r="BC49" s="6"/>
      <c r="BD49" s="3"/>
      <c r="BE49" s="3"/>
      <c r="BF49" s="7">
        <f>AF49*E49</f>
      </c>
      <c r="BG49" s="6"/>
      <c r="BH49" s="3"/>
      <c r="BI49" s="6"/>
    </row>
    <row x14ac:dyDescent="0.25" r="50" customHeight="1" ht="12.75">
      <c r="A50" s="5" t="s">
        <v>109</v>
      </c>
      <c r="B50" s="3" t="s">
        <v>855</v>
      </c>
      <c r="C50" s="43" t="s">
        <v>856</v>
      </c>
      <c r="D50" s="34" t="s">
        <v>925</v>
      </c>
      <c r="E50" s="6">
        <v>519.541</v>
      </c>
      <c r="F50" s="6">
        <v>0.05</v>
      </c>
      <c r="G50" s="6">
        <v>0.19</v>
      </c>
      <c r="H50" s="6">
        <v>7.56</v>
      </c>
      <c r="I50" s="6">
        <v>0.27</v>
      </c>
      <c r="J50" s="6">
        <v>0.35</v>
      </c>
      <c r="K50" s="7"/>
      <c r="L50" s="6"/>
      <c r="M50" s="6"/>
      <c r="N50" s="23"/>
      <c r="O50" s="5"/>
      <c r="P50" s="23">
        <v>0.000925</v>
      </c>
      <c r="Q50" s="6"/>
      <c r="R50" s="6"/>
      <c r="S50" s="6"/>
      <c r="T50" s="6"/>
      <c r="U50" s="6"/>
      <c r="V50" s="5"/>
      <c r="W50" s="6"/>
      <c r="X50" s="6">
        <f>E50*F50/100</f>
      </c>
      <c r="Y50" s="6">
        <f>E50*G50/100</f>
      </c>
      <c r="Z50" s="7">
        <f>E50*H50</f>
      </c>
      <c r="AA50" s="7">
        <f>E50*J50</f>
      </c>
      <c r="AB50" s="6">
        <f>E50*I50/100</f>
      </c>
      <c r="AC50" s="15">
        <f>X50+Y50+AB50</f>
      </c>
      <c r="AD50" s="6">
        <f>F50+G50+I50</f>
      </c>
      <c r="AE50" s="3"/>
      <c r="AF50" s="6">
        <f>SUM(AM50:BC50)</f>
      </c>
      <c r="AG50" s="5">
        <f>IF(SUM(AM50:AO50)&gt;0.7*AF50,1,0)</f>
      </c>
      <c r="AH50" s="5">
        <f>IF(AN50&gt;0.4*AF50,1,0)</f>
      </c>
      <c r="AI50" s="5">
        <f>IF(SUM(AP50:AQ50)&gt;0.3*AF50,1,0)</f>
      </c>
      <c r="AJ50" s="5">
        <f>IF(AQ50&gt;0.2*AF50,1,0)</f>
      </c>
      <c r="AK50" s="5">
        <f>IF(SUM(AR50:BC50)&gt;0.3*AF50,1,0)</f>
      </c>
      <c r="AL50" s="3"/>
      <c r="AM50" s="6">
        <f>(F50/100)*AM$41</f>
      </c>
      <c r="AN50" s="6">
        <f>(G50/100)*AN$41</f>
      </c>
      <c r="AO50" s="6">
        <f>(H50/1000000)*AO$41</f>
      </c>
      <c r="AP50" s="6">
        <f>(I50/100)*AP$41</f>
      </c>
      <c r="AQ50" s="6">
        <f>(J50/1000000)*AQ$41</f>
      </c>
      <c r="AR50" s="6">
        <f>(K50/100)*AR$41</f>
      </c>
      <c r="AS50" s="6">
        <f>(L50/100)*AS$41</f>
      </c>
      <c r="AT50" s="6">
        <f>(M50/100)*AT$41</f>
      </c>
      <c r="AU50" s="6">
        <f>(N50/100)*AU$41</f>
      </c>
      <c r="AV50" s="6">
        <f>(O50/1000000)*AV$41</f>
      </c>
      <c r="AW50" s="6">
        <f>(P50/100)*AW$41</f>
      </c>
      <c r="AX50" s="6">
        <f>(Q50/100)*AX$41</f>
      </c>
      <c r="AY50" s="6">
        <f>(R50/100)*AY$41</f>
      </c>
      <c r="AZ50" s="6">
        <f>(S50/100)*AZ$41</f>
      </c>
      <c r="BA50" s="6">
        <f>(T50/100)*BA$41</f>
      </c>
      <c r="BB50" s="6">
        <f>(U50/100)*BB$41</f>
      </c>
      <c r="BC50" s="6"/>
      <c r="BD50" s="3"/>
      <c r="BE50" s="3"/>
      <c r="BF50" s="7">
        <f>AF50*E50</f>
      </c>
      <c r="BG50" s="6"/>
      <c r="BH50" s="3"/>
      <c r="BI50" s="6"/>
    </row>
    <row x14ac:dyDescent="0.25" r="51" customHeight="1" ht="12.75">
      <c r="A51" s="5" t="s">
        <v>142</v>
      </c>
      <c r="B51" s="3" t="s">
        <v>855</v>
      </c>
      <c r="C51" s="43" t="s">
        <v>856</v>
      </c>
      <c r="D51" s="34" t="s">
        <v>927</v>
      </c>
      <c r="E51" s="6">
        <v>44.39</v>
      </c>
      <c r="F51" s="6">
        <v>1.3730254561838249</v>
      </c>
      <c r="G51" s="6">
        <v>2.3855327776526245</v>
      </c>
      <c r="H51" s="31">
        <v>362.8247353007434</v>
      </c>
      <c r="I51" s="6"/>
      <c r="J51" s="6">
        <v>1.4399324172110834</v>
      </c>
      <c r="K51" s="7"/>
      <c r="L51" s="6"/>
      <c r="M51" s="6"/>
      <c r="N51" s="23"/>
      <c r="O51" s="5"/>
      <c r="P51" s="6"/>
      <c r="Q51" s="6"/>
      <c r="R51" s="6"/>
      <c r="S51" s="6"/>
      <c r="T51" s="6"/>
      <c r="U51" s="6"/>
      <c r="V51" s="5"/>
      <c r="W51" s="6"/>
      <c r="X51" s="6">
        <f>E51*F51/100</f>
      </c>
      <c r="Y51" s="6">
        <f>E51*G51/100</f>
      </c>
      <c r="Z51" s="7">
        <f>E51*H51</f>
      </c>
      <c r="AA51" s="7">
        <f>E51*J51</f>
      </c>
      <c r="AB51" s="6">
        <f>E51*I51/100</f>
      </c>
      <c r="AC51" s="15">
        <f>X51+Y51+AB51</f>
      </c>
      <c r="AD51" s="6">
        <f>F51+G51+I51</f>
      </c>
      <c r="AE51" s="3"/>
      <c r="AF51" s="6">
        <f>SUM(AM51:BC51)</f>
      </c>
      <c r="AG51" s="5">
        <f>IF(SUM(AM51:AO51)&gt;0.7*AF51,1,0)</f>
      </c>
      <c r="AH51" s="5">
        <f>IF(AN51&gt;0.4*AF51,1,0)</f>
      </c>
      <c r="AI51" s="5">
        <f>IF(SUM(AP51:AQ51)&gt;0.3*AF51,1,0)</f>
      </c>
      <c r="AJ51" s="5">
        <f>IF(AQ51&gt;0.2*AF51,1,0)</f>
      </c>
      <c r="AK51" s="5">
        <f>IF(SUM(AR51:BC51)&gt;0.3*AF51,1,0)</f>
      </c>
      <c r="AL51" s="3"/>
      <c r="AM51" s="6">
        <f>(F51/100)*AM$41</f>
      </c>
      <c r="AN51" s="6">
        <f>(G51/100)*AN$41</f>
      </c>
      <c r="AO51" s="6">
        <f>(H51/1000000)*AO$41</f>
      </c>
      <c r="AP51" s="6">
        <f>(I51/100)*AP$41</f>
      </c>
      <c r="AQ51" s="6">
        <f>(J51/1000000)*AQ$41</f>
      </c>
      <c r="AR51" s="6">
        <f>(K51/100)*AR$41</f>
      </c>
      <c r="AS51" s="6">
        <f>(L51/100)*AS$41</f>
      </c>
      <c r="AT51" s="6">
        <f>(M51/100)*AT$41</f>
      </c>
      <c r="AU51" s="6">
        <f>(N51/100)*AU$41</f>
      </c>
      <c r="AV51" s="6">
        <f>(O51/1000000)*AV$41</f>
      </c>
      <c r="AW51" s="6">
        <f>(P51/100)*AW$41</f>
      </c>
      <c r="AX51" s="6">
        <f>(Q51/100)*AX$41</f>
      </c>
      <c r="AY51" s="6">
        <f>(R51/100)*AY$41</f>
      </c>
      <c r="AZ51" s="6">
        <f>(S51/100)*AZ$41</f>
      </c>
      <c r="BA51" s="6">
        <f>(T51/100)*BA$41</f>
      </c>
      <c r="BB51" s="6">
        <f>(U51/100)*BB$41</f>
      </c>
      <c r="BC51" s="6"/>
      <c r="BD51" s="3"/>
      <c r="BE51" s="3"/>
      <c r="BF51" s="7">
        <f>AF51*E51</f>
      </c>
      <c r="BG51" s="6"/>
      <c r="BH51" s="3"/>
      <c r="BI51" s="6"/>
    </row>
    <row x14ac:dyDescent="0.25" r="52" customHeight="1" ht="12.75">
      <c r="A52" s="5" t="s">
        <v>126</v>
      </c>
      <c r="B52" s="3" t="s">
        <v>855</v>
      </c>
      <c r="C52" s="43" t="s">
        <v>856</v>
      </c>
      <c r="D52" s="34"/>
      <c r="E52" s="6">
        <v>201.10000000000002</v>
      </c>
      <c r="F52" s="6">
        <v>0.7895624067628045</v>
      </c>
      <c r="G52" s="6"/>
      <c r="H52" s="31">
        <v>116.57135753356539</v>
      </c>
      <c r="I52" s="6">
        <v>0.04002983590253605</v>
      </c>
      <c r="J52" s="6"/>
      <c r="K52" s="7"/>
      <c r="L52" s="6"/>
      <c r="M52" s="6"/>
      <c r="N52" s="23"/>
      <c r="O52" s="5"/>
      <c r="P52" s="6"/>
      <c r="Q52" s="6"/>
      <c r="R52" s="6"/>
      <c r="S52" s="6"/>
      <c r="T52" s="6"/>
      <c r="U52" s="6"/>
      <c r="V52" s="5"/>
      <c r="W52" s="6"/>
      <c r="X52" s="6">
        <f>E52*F52/100</f>
      </c>
      <c r="Y52" s="6">
        <f>E52*G52/100</f>
      </c>
      <c r="Z52" s="7">
        <f>E52*H52</f>
      </c>
      <c r="AA52" s="7">
        <f>E52*J52</f>
      </c>
      <c r="AB52" s="6">
        <f>E52*I52/100</f>
      </c>
      <c r="AC52" s="15">
        <f>X52+Y52+AB52</f>
      </c>
      <c r="AD52" s="6">
        <f>F52+G52+I52</f>
      </c>
      <c r="AE52" s="3"/>
      <c r="AF52" s="6">
        <f>SUM(AM52:BC52)</f>
      </c>
      <c r="AG52" s="5">
        <f>IF(SUM(AM52:AO52)&gt;0.7*AF52,1,0)</f>
      </c>
      <c r="AH52" s="5">
        <f>IF(AN52&gt;0.4*AF52,1,0)</f>
      </c>
      <c r="AI52" s="5">
        <f>IF(SUM(AP52:AQ52)&gt;0.3*AF52,1,0)</f>
      </c>
      <c r="AJ52" s="5">
        <f>IF(AQ52&gt;0.2*AF52,1,0)</f>
      </c>
      <c r="AK52" s="5">
        <f>IF(SUM(AR52:BC52)&gt;0.3*AF52,1,0)</f>
      </c>
      <c r="AL52" s="3"/>
      <c r="AM52" s="6">
        <f>(F52/100)*AM$41</f>
      </c>
      <c r="AN52" s="6">
        <f>(G52/100)*AN$41</f>
      </c>
      <c r="AO52" s="6">
        <f>(H52/1000000)*AO$41</f>
      </c>
      <c r="AP52" s="6">
        <f>(I52/100)*AP$41</f>
      </c>
      <c r="AQ52" s="6">
        <f>(J52/1000000)*AQ$41</f>
      </c>
      <c r="AR52" s="6">
        <f>(K52/100)*AR$41</f>
      </c>
      <c r="AS52" s="6">
        <f>(L52/100)*AS$41</f>
      </c>
      <c r="AT52" s="6">
        <f>(M52/100)*AT$41</f>
      </c>
      <c r="AU52" s="6">
        <f>(N52/100)*AU$41</f>
      </c>
      <c r="AV52" s="6">
        <f>(O52/1000000)*AV$41</f>
      </c>
      <c r="AW52" s="6">
        <f>(P52/100)*AW$41</f>
      </c>
      <c r="AX52" s="6">
        <f>(Q52/100)*AX$41</f>
      </c>
      <c r="AY52" s="6">
        <f>(R52/100)*AY$41</f>
      </c>
      <c r="AZ52" s="6">
        <f>(S52/100)*AZ$41</f>
      </c>
      <c r="BA52" s="6">
        <f>(T52/100)*BA$41</f>
      </c>
      <c r="BB52" s="6">
        <f>(U52/100)*BB$41</f>
      </c>
      <c r="BC52" s="6"/>
      <c r="BD52" s="3"/>
      <c r="BE52" s="3"/>
      <c r="BF52" s="7">
        <f>AF52*E52</f>
      </c>
      <c r="BG52" s="6"/>
      <c r="BH52" s="3"/>
      <c r="BI52" s="6"/>
    </row>
    <row x14ac:dyDescent="0.25" r="53" customHeight="1" ht="12.75">
      <c r="A53" s="5" t="s">
        <v>314</v>
      </c>
      <c r="B53" s="3" t="s">
        <v>855</v>
      </c>
      <c r="C53" s="43" t="s">
        <v>856</v>
      </c>
      <c r="D53" s="34" t="s">
        <v>928</v>
      </c>
      <c r="E53" s="6">
        <v>45.926</v>
      </c>
      <c r="F53" s="6">
        <v>0.86</v>
      </c>
      <c r="G53" s="6">
        <v>2.53</v>
      </c>
      <c r="H53" s="7">
        <v>28.612000000000002</v>
      </c>
      <c r="I53" s="6"/>
      <c r="J53" s="6"/>
      <c r="K53" s="7"/>
      <c r="L53" s="6"/>
      <c r="M53" s="6"/>
      <c r="N53" s="23"/>
      <c r="O53" s="5"/>
      <c r="P53" s="6"/>
      <c r="Q53" s="6"/>
      <c r="R53" s="6"/>
      <c r="S53" s="6"/>
      <c r="T53" s="6"/>
      <c r="U53" s="6"/>
      <c r="V53" s="5"/>
      <c r="W53" s="6"/>
      <c r="X53" s="6">
        <f>E53*F53/100</f>
      </c>
      <c r="Y53" s="6">
        <f>E53*G53/100</f>
      </c>
      <c r="Z53" s="7">
        <f>E53*H53</f>
      </c>
      <c r="AA53" s="7">
        <f>E53*J53</f>
      </c>
      <c r="AB53" s="6">
        <f>E53*I53/100</f>
      </c>
      <c r="AC53" s="15">
        <f>X53+Y53+AB53</f>
      </c>
      <c r="AD53" s="6">
        <f>F53+G53+I53</f>
      </c>
      <c r="AE53" s="3"/>
      <c r="AF53" s="6">
        <f>SUM(AM53:BC53)</f>
      </c>
      <c r="AG53" s="5">
        <f>IF(SUM(AM53:AO53)&gt;0.7*AF53,1,0)</f>
      </c>
      <c r="AH53" s="5">
        <f>IF(AN53&gt;0.4*AF53,1,0)</f>
      </c>
      <c r="AI53" s="5">
        <f>IF(SUM(AP53:AQ53)&gt;0.3*AF53,1,0)</f>
      </c>
      <c r="AJ53" s="5">
        <f>IF(AQ53&gt;0.2*AF53,1,0)</f>
      </c>
      <c r="AK53" s="5">
        <f>IF(SUM(AR53:BC53)&gt;0.3*AF53,1,0)</f>
      </c>
      <c r="AL53" s="3"/>
      <c r="AM53" s="6">
        <f>(F53/100)*AM$41</f>
      </c>
      <c r="AN53" s="6">
        <f>(G53/100)*AN$41</f>
      </c>
      <c r="AO53" s="6">
        <f>(H53/1000000)*AO$41</f>
      </c>
      <c r="AP53" s="6">
        <f>(I53/100)*AP$41</f>
      </c>
      <c r="AQ53" s="6">
        <f>(J53/1000000)*AQ$41</f>
      </c>
      <c r="AR53" s="6">
        <f>(K53/100)*AR$41</f>
      </c>
      <c r="AS53" s="6">
        <f>(L53/100)*AS$41</f>
      </c>
      <c r="AT53" s="6">
        <f>(M53/100)*AT$41</f>
      </c>
      <c r="AU53" s="6">
        <f>(N53/100)*AU$41</f>
      </c>
      <c r="AV53" s="6">
        <f>(O53/1000000)*AV$41</f>
      </c>
      <c r="AW53" s="6">
        <f>(P53/100)*AW$41</f>
      </c>
      <c r="AX53" s="6">
        <f>(Q53/100)*AX$41</f>
      </c>
      <c r="AY53" s="6">
        <f>(R53/100)*AY$41</f>
      </c>
      <c r="AZ53" s="6">
        <f>(S53/100)*AZ$41</f>
      </c>
      <c r="BA53" s="6">
        <f>(T53/100)*BA$41</f>
      </c>
      <c r="BB53" s="6">
        <f>(U53/100)*BB$41</f>
      </c>
      <c r="BC53" s="6"/>
      <c r="BD53" s="3"/>
      <c r="BE53" s="3"/>
      <c r="BF53" s="7">
        <f>AF53*E53</f>
      </c>
      <c r="BG53" s="6"/>
      <c r="BH53" s="3"/>
      <c r="BI53" s="6"/>
    </row>
    <row x14ac:dyDescent="0.25" r="54" customHeight="1" ht="12.75">
      <c r="A54" s="5" t="s">
        <v>343</v>
      </c>
      <c r="B54" s="3" t="s">
        <v>855</v>
      </c>
      <c r="C54" s="43" t="s">
        <v>856</v>
      </c>
      <c r="D54" s="34" t="s">
        <v>929</v>
      </c>
      <c r="E54" s="6">
        <v>22.6</v>
      </c>
      <c r="F54" s="6">
        <v>1.5543805309734515</v>
      </c>
      <c r="G54" s="6">
        <v>2.870265486725664</v>
      </c>
      <c r="H54" s="31">
        <v>164.14601769911505</v>
      </c>
      <c r="I54" s="6">
        <v>0.354646017699115</v>
      </c>
      <c r="J54" s="6"/>
      <c r="K54" s="7"/>
      <c r="L54" s="6"/>
      <c r="M54" s="6"/>
      <c r="N54" s="23"/>
      <c r="O54" s="5"/>
      <c r="P54" s="6"/>
      <c r="Q54" s="6"/>
      <c r="R54" s="6"/>
      <c r="S54" s="6"/>
      <c r="T54" s="6"/>
      <c r="U54" s="6"/>
      <c r="V54" s="5"/>
      <c r="W54" s="6"/>
      <c r="X54" s="6">
        <f>E54*F54/100</f>
      </c>
      <c r="Y54" s="6">
        <f>E54*G54/100</f>
      </c>
      <c r="Z54" s="7">
        <f>E54*H54</f>
      </c>
      <c r="AA54" s="7">
        <f>E54*J54</f>
      </c>
      <c r="AB54" s="6">
        <f>E54*I54/100</f>
      </c>
      <c r="AC54" s="15">
        <f>X54+Y54+AB54</f>
      </c>
      <c r="AD54" s="6">
        <f>F54+G54+I54</f>
      </c>
      <c r="AE54" s="3"/>
      <c r="AF54" s="6">
        <f>SUM(AM54:BC54)</f>
      </c>
      <c r="AG54" s="5">
        <f>IF(SUM(AM54:AO54)&gt;0.7*AF54,1,0)</f>
      </c>
      <c r="AH54" s="5">
        <f>IF(AN54&gt;0.4*AF54,1,0)</f>
      </c>
      <c r="AI54" s="5">
        <f>IF(SUM(AP54:AQ54)&gt;0.3*AF54,1,0)</f>
      </c>
      <c r="AJ54" s="5">
        <f>IF(AQ54&gt;0.2*AF54,1,0)</f>
      </c>
      <c r="AK54" s="5">
        <f>IF(SUM(AR54:BC54)&gt;0.3*AF54,1,0)</f>
      </c>
      <c r="AL54" s="3"/>
      <c r="AM54" s="6">
        <f>(F54/100)*AM$41</f>
      </c>
      <c r="AN54" s="6">
        <f>(G54/100)*AN$41</f>
      </c>
      <c r="AO54" s="6">
        <f>(H54/1000000)*AO$41</f>
      </c>
      <c r="AP54" s="6">
        <f>(I54/100)*AP$41</f>
      </c>
      <c r="AQ54" s="6">
        <f>(J54/1000000)*AQ$41</f>
      </c>
      <c r="AR54" s="6">
        <f>(K54/100)*AR$41</f>
      </c>
      <c r="AS54" s="6">
        <f>(L54/100)*AS$41</f>
      </c>
      <c r="AT54" s="6">
        <f>(M54/100)*AT$41</f>
      </c>
      <c r="AU54" s="6">
        <f>(N54/100)*AU$41</f>
      </c>
      <c r="AV54" s="6">
        <f>(O54/1000000)*AV$41</f>
      </c>
      <c r="AW54" s="6">
        <f>(P54/100)*AW$41</f>
      </c>
      <c r="AX54" s="6">
        <f>(Q54/100)*AX$41</f>
      </c>
      <c r="AY54" s="6">
        <f>(R54/100)*AY$41</f>
      </c>
      <c r="AZ54" s="6">
        <f>(S54/100)*AZ$41</f>
      </c>
      <c r="BA54" s="6">
        <f>(T54/100)*BA$41</f>
      </c>
      <c r="BB54" s="6">
        <f>(U54/100)*BB$41</f>
      </c>
      <c r="BC54" s="6"/>
      <c r="BD54" s="3"/>
      <c r="BE54" s="3"/>
      <c r="BF54" s="7">
        <f>AF54*E54</f>
      </c>
      <c r="BG54" s="6"/>
      <c r="BH54" s="3"/>
      <c r="BI54" s="6"/>
    </row>
    <row x14ac:dyDescent="0.25" r="55" customHeight="1" ht="12.75">
      <c r="A55" s="5" t="s">
        <v>379</v>
      </c>
      <c r="B55" s="3" t="s">
        <v>855</v>
      </c>
      <c r="C55" s="43" t="s">
        <v>856</v>
      </c>
      <c r="D55" s="34"/>
      <c r="E55" s="6">
        <v>25.490000000000002</v>
      </c>
      <c r="F55" s="7">
        <v>1.3249509611612393</v>
      </c>
      <c r="G55" s="7">
        <v>2.724872499019223</v>
      </c>
      <c r="H55" s="31">
        <v>115.99333071792859</v>
      </c>
      <c r="I55" s="7">
        <v>0.1</v>
      </c>
      <c r="J55" s="6">
        <v>0.16498626912514713</v>
      </c>
      <c r="K55" s="7"/>
      <c r="L55" s="6"/>
      <c r="M55" s="6"/>
      <c r="N55" s="23"/>
      <c r="O55" s="5"/>
      <c r="P55" s="6"/>
      <c r="Q55" s="6"/>
      <c r="R55" s="6"/>
      <c r="S55" s="6"/>
      <c r="T55" s="6"/>
      <c r="U55" s="6"/>
      <c r="V55" s="5"/>
      <c r="W55" s="6"/>
      <c r="X55" s="6">
        <f>E55*F55/100</f>
      </c>
      <c r="Y55" s="6">
        <f>E55*G55/100</f>
      </c>
      <c r="Z55" s="7">
        <f>E55*H55</f>
      </c>
      <c r="AA55" s="7">
        <f>E55*J55</f>
      </c>
      <c r="AB55" s="6">
        <f>E55*I55/100</f>
      </c>
      <c r="AC55" s="15">
        <f>X55+Y55+AB55</f>
      </c>
      <c r="AD55" s="6">
        <f>F55+G55+I55</f>
      </c>
      <c r="AE55" s="3"/>
      <c r="AF55" s="6">
        <f>SUM(AM55:BC55)</f>
      </c>
      <c r="AG55" s="5">
        <f>IF(SUM(AM55:AO55)&gt;0.7*AF55,1,0)</f>
      </c>
      <c r="AH55" s="5">
        <f>IF(AN55&gt;0.4*AF55,1,0)</f>
      </c>
      <c r="AI55" s="5">
        <f>IF(SUM(AP55:AQ55)&gt;0.3*AF55,1,0)</f>
      </c>
      <c r="AJ55" s="5">
        <f>IF(AQ55&gt;0.2*AF55,1,0)</f>
      </c>
      <c r="AK55" s="5">
        <f>IF(SUM(AR55:BC55)&gt;0.3*AF55,1,0)</f>
      </c>
      <c r="AL55" s="3"/>
      <c r="AM55" s="6">
        <f>(F55/100)*AM$41</f>
      </c>
      <c r="AN55" s="6">
        <f>(G55/100)*AN$41</f>
      </c>
      <c r="AO55" s="6">
        <f>(H55/1000000)*AO$41</f>
      </c>
      <c r="AP55" s="6">
        <f>(I55/100)*AP$41</f>
      </c>
      <c r="AQ55" s="6">
        <f>(J55/1000000)*AQ$41</f>
      </c>
      <c r="AR55" s="6">
        <f>(K55/100)*AR$41</f>
      </c>
      <c r="AS55" s="6">
        <f>(L55/100)*AS$41</f>
      </c>
      <c r="AT55" s="6">
        <f>(M55/100)*AT$41</f>
      </c>
      <c r="AU55" s="6">
        <f>(N55/100)*AU$41</f>
      </c>
      <c r="AV55" s="6">
        <f>(O55/1000000)*AV$41</f>
      </c>
      <c r="AW55" s="6">
        <f>(P55/100)*AW$41</f>
      </c>
      <c r="AX55" s="6">
        <f>(Q55/100)*AX$41</f>
      </c>
      <c r="AY55" s="6">
        <f>(R55/100)*AY$41</f>
      </c>
      <c r="AZ55" s="6">
        <f>(S55/100)*AZ$41</f>
      </c>
      <c r="BA55" s="6">
        <f>(T55/100)*BA$41</f>
      </c>
      <c r="BB55" s="6">
        <f>(U55/100)*BB$41</f>
      </c>
      <c r="BC55" s="6"/>
      <c r="BD55" s="3"/>
      <c r="BE55" s="3"/>
      <c r="BF55" s="7">
        <f>AF55*E55</f>
      </c>
      <c r="BG55" s="6"/>
      <c r="BH55" s="3"/>
      <c r="BI55" s="6"/>
    </row>
    <row x14ac:dyDescent="0.25" r="56" customHeight="1" ht="12.75">
      <c r="A56" s="5" t="s">
        <v>376</v>
      </c>
      <c r="B56" s="3" t="s">
        <v>855</v>
      </c>
      <c r="C56" s="43" t="s">
        <v>856</v>
      </c>
      <c r="D56" s="34" t="s">
        <v>936</v>
      </c>
      <c r="E56" s="6">
        <v>15.3</v>
      </c>
      <c r="F56" s="6">
        <v>1.3950326797385622</v>
      </c>
      <c r="G56" s="6">
        <v>4.579673202614379</v>
      </c>
      <c r="H56" s="31">
        <v>201.17647058823528</v>
      </c>
      <c r="I56" s="6">
        <v>0.4898039215686274</v>
      </c>
      <c r="J56" s="6"/>
      <c r="K56" s="7"/>
      <c r="L56" s="6"/>
      <c r="M56" s="6"/>
      <c r="N56" s="23"/>
      <c r="O56" s="5"/>
      <c r="P56" s="6"/>
      <c r="Q56" s="6"/>
      <c r="R56" s="6"/>
      <c r="S56" s="6"/>
      <c r="T56" s="6"/>
      <c r="U56" s="6"/>
      <c r="V56" s="5"/>
      <c r="W56" s="6"/>
      <c r="X56" s="6">
        <f>E56*F56/100</f>
      </c>
      <c r="Y56" s="6">
        <f>E56*G56/100</f>
      </c>
      <c r="Z56" s="7">
        <f>E56*H56</f>
      </c>
      <c r="AA56" s="7">
        <f>E56*J56</f>
      </c>
      <c r="AB56" s="6">
        <f>E56*I56/100</f>
      </c>
      <c r="AC56" s="15">
        <f>X56+Y56+AB56</f>
      </c>
      <c r="AD56" s="6">
        <f>F56+G56+I56</f>
      </c>
      <c r="AE56" s="3"/>
      <c r="AF56" s="6">
        <f>SUM(AM56:BC56)</f>
      </c>
      <c r="AG56" s="5">
        <f>IF(SUM(AM56:AO56)&gt;0.7*AF56,1,0)</f>
      </c>
      <c r="AH56" s="5">
        <f>IF(AN56&gt;0.4*AF56,1,0)</f>
      </c>
      <c r="AI56" s="5">
        <f>IF(SUM(AP56:AQ56)&gt;0.3*AF56,1,0)</f>
      </c>
      <c r="AJ56" s="5">
        <f>IF(AQ56&gt;0.2*AF56,1,0)</f>
      </c>
      <c r="AK56" s="5">
        <f>IF(SUM(AR56:BC56)&gt;0.3*AF56,1,0)</f>
      </c>
      <c r="AL56" s="3"/>
      <c r="AM56" s="6">
        <f>(F56/100)*AM$41</f>
      </c>
      <c r="AN56" s="6">
        <f>(G56/100)*AN$41</f>
      </c>
      <c r="AO56" s="6">
        <f>(H56/1000000)*AO$41</f>
      </c>
      <c r="AP56" s="6">
        <f>(I56/100)*AP$41</f>
      </c>
      <c r="AQ56" s="6">
        <f>(J56/1000000)*AQ$41</f>
      </c>
      <c r="AR56" s="6">
        <f>(K56/100)*AR$41</f>
      </c>
      <c r="AS56" s="6">
        <f>(L56/100)*AS$41</f>
      </c>
      <c r="AT56" s="6">
        <f>(M56/100)*AT$41</f>
      </c>
      <c r="AU56" s="6">
        <f>(N56/100)*AU$41</f>
      </c>
      <c r="AV56" s="6">
        <f>(O56/1000000)*AV$41</f>
      </c>
      <c r="AW56" s="6">
        <f>(P56/100)*AW$41</f>
      </c>
      <c r="AX56" s="6">
        <f>(Q56/100)*AX$41</f>
      </c>
      <c r="AY56" s="6">
        <f>(R56/100)*AY$41</f>
      </c>
      <c r="AZ56" s="6">
        <f>(S56/100)*AZ$41</f>
      </c>
      <c r="BA56" s="6">
        <f>(T56/100)*BA$41</f>
      </c>
      <c r="BB56" s="6">
        <f>(U56/100)*BB$41</f>
      </c>
      <c r="BC56" s="6"/>
      <c r="BD56" s="3"/>
      <c r="BE56" s="3"/>
      <c r="BF56" s="7">
        <f>AF56*E56</f>
      </c>
      <c r="BG56" s="6"/>
      <c r="BH56" s="3"/>
      <c r="BI56" s="6"/>
    </row>
    <row x14ac:dyDescent="0.25" r="57" customHeight="1" ht="12.75">
      <c r="A57" s="5" t="s">
        <v>200</v>
      </c>
      <c r="B57" s="3" t="s">
        <v>855</v>
      </c>
      <c r="C57" s="43" t="s">
        <v>856</v>
      </c>
      <c r="D57" s="34" t="s">
        <v>928</v>
      </c>
      <c r="E57" s="6">
        <v>31.700000000000003</v>
      </c>
      <c r="F57" s="6">
        <v>0.6563091482649842</v>
      </c>
      <c r="G57" s="6">
        <v>1.1900315457413249</v>
      </c>
      <c r="H57" s="31">
        <v>397.6214511041009</v>
      </c>
      <c r="I57" s="6"/>
      <c r="J57" s="6">
        <v>0.45321766561514193</v>
      </c>
      <c r="K57" s="7"/>
      <c r="L57" s="6"/>
      <c r="M57" s="6"/>
      <c r="N57" s="23"/>
      <c r="O57" s="5"/>
      <c r="P57" s="6"/>
      <c r="Q57" s="6"/>
      <c r="R57" s="6"/>
      <c r="S57" s="6"/>
      <c r="T57" s="6"/>
      <c r="U57" s="6"/>
      <c r="V57" s="5"/>
      <c r="W57" s="6"/>
      <c r="X57" s="6">
        <f>E57*F57/100</f>
      </c>
      <c r="Y57" s="6">
        <f>E57*G57/100</f>
      </c>
      <c r="Z57" s="7">
        <f>E57*H57</f>
      </c>
      <c r="AA57" s="7">
        <f>E57*J57</f>
      </c>
      <c r="AB57" s="6">
        <f>E57*I57/100</f>
      </c>
      <c r="AC57" s="15">
        <f>X57+Y57+AB57</f>
      </c>
      <c r="AD57" s="6">
        <f>F57+G57+I57</f>
      </c>
      <c r="AE57" s="3"/>
      <c r="AF57" s="6">
        <f>SUM(AM57:BC57)</f>
      </c>
      <c r="AG57" s="5">
        <f>IF(SUM(AM57:AO57)&gt;0.7*AF57,1,0)</f>
      </c>
      <c r="AH57" s="5">
        <f>IF(AN57&gt;0.4*AF57,1,0)</f>
      </c>
      <c r="AI57" s="5">
        <f>IF(SUM(AP57:AQ57)&gt;0.3*AF57,1,0)</f>
      </c>
      <c r="AJ57" s="5">
        <f>IF(AQ57&gt;0.2*AF57,1,0)</f>
      </c>
      <c r="AK57" s="5">
        <f>IF(SUM(AR57:BC57)&gt;0.3*AF57,1,0)</f>
      </c>
      <c r="AL57" s="3"/>
      <c r="AM57" s="6">
        <f>(F57/100)*AM$41</f>
      </c>
      <c r="AN57" s="6">
        <f>(G57/100)*AN$41</f>
      </c>
      <c r="AO57" s="6">
        <f>(H57/1000000)*AO$41</f>
      </c>
      <c r="AP57" s="6">
        <f>(I57/100)*AP$41</f>
      </c>
      <c r="AQ57" s="6">
        <f>(J57/1000000)*AQ$41</f>
      </c>
      <c r="AR57" s="6">
        <f>(K57/100)*AR$41</f>
      </c>
      <c r="AS57" s="6">
        <f>(L57/100)*AS$41</f>
      </c>
      <c r="AT57" s="6">
        <f>(M57/100)*AT$41</f>
      </c>
      <c r="AU57" s="6">
        <f>(N57/100)*AU$41</f>
      </c>
      <c r="AV57" s="6">
        <f>(O57/1000000)*AV$41</f>
      </c>
      <c r="AW57" s="6">
        <f>(P57/100)*AW$41</f>
      </c>
      <c r="AX57" s="6">
        <f>(Q57/100)*AX$41</f>
      </c>
      <c r="AY57" s="6">
        <f>(R57/100)*AY$41</f>
      </c>
      <c r="AZ57" s="6">
        <f>(S57/100)*AZ$41</f>
      </c>
      <c r="BA57" s="6">
        <f>(T57/100)*BA$41</f>
      </c>
      <c r="BB57" s="6">
        <f>(U57/100)*BB$41</f>
      </c>
      <c r="BC57" s="6"/>
      <c r="BD57" s="3"/>
      <c r="BE57" s="3"/>
      <c r="BF57" s="7">
        <f>AF57*E57</f>
      </c>
      <c r="BG57" s="6"/>
      <c r="BH57" s="3"/>
      <c r="BI57" s="6"/>
    </row>
    <row x14ac:dyDescent="0.25" r="58" customHeight="1" ht="12.75">
      <c r="A58" s="5" t="s">
        <v>520</v>
      </c>
      <c r="B58" s="3" t="s">
        <v>855</v>
      </c>
      <c r="C58" s="43" t="s">
        <v>856</v>
      </c>
      <c r="D58" s="34"/>
      <c r="E58" s="6">
        <v>13.08</v>
      </c>
      <c r="F58" s="6"/>
      <c r="G58" s="6">
        <v>5.1</v>
      </c>
      <c r="H58" s="6">
        <v>23.7</v>
      </c>
      <c r="I58" s="6"/>
      <c r="J58" s="6"/>
      <c r="K58" s="7"/>
      <c r="L58" s="6"/>
      <c r="M58" s="6"/>
      <c r="N58" s="23"/>
      <c r="O58" s="5"/>
      <c r="P58" s="6"/>
      <c r="Q58" s="6"/>
      <c r="R58" s="6"/>
      <c r="S58" s="6"/>
      <c r="T58" s="6"/>
      <c r="U58" s="6"/>
      <c r="V58" s="5"/>
      <c r="W58" s="6"/>
      <c r="X58" s="6">
        <f>E58*F58/100</f>
      </c>
      <c r="Y58" s="6">
        <f>E58*G58/100</f>
      </c>
      <c r="Z58" s="7">
        <f>E58*H58</f>
      </c>
      <c r="AA58" s="7">
        <f>E58*J58</f>
      </c>
      <c r="AB58" s="6">
        <f>E58*I58/100</f>
      </c>
      <c r="AC58" s="15">
        <f>X58+Y58+AB58</f>
      </c>
      <c r="AD58" s="6">
        <f>F58+G58+I58</f>
      </c>
      <c r="AE58" s="3"/>
      <c r="AF58" s="6">
        <f>SUM(AM58:BC58)</f>
      </c>
      <c r="AG58" s="5">
        <f>IF(SUM(AM58:AO58)&gt;0.7*AF58,1,0)</f>
      </c>
      <c r="AH58" s="5">
        <f>IF(AN58&gt;0.4*AF58,1,0)</f>
      </c>
      <c r="AI58" s="5">
        <f>IF(SUM(AP58:AQ58)&gt;0.3*AF58,1,0)</f>
      </c>
      <c r="AJ58" s="5">
        <f>IF(AQ58&gt;0.2*AF58,1,0)</f>
      </c>
      <c r="AK58" s="5">
        <f>IF(SUM(AR58:BC58)&gt;0.3*AF58,1,0)</f>
      </c>
      <c r="AL58" s="3"/>
      <c r="AM58" s="6">
        <f>(F58/100)*AM$41</f>
      </c>
      <c r="AN58" s="6">
        <f>(G58/100)*AN$41</f>
      </c>
      <c r="AO58" s="6">
        <f>(H58/1000000)*AO$41</f>
      </c>
      <c r="AP58" s="6">
        <f>(I58/100)*AP$41</f>
      </c>
      <c r="AQ58" s="6">
        <f>(J58/1000000)*AQ$41</f>
      </c>
      <c r="AR58" s="6">
        <f>(K58/100)*AR$41</f>
      </c>
      <c r="AS58" s="6">
        <f>(L58/100)*AS$41</f>
      </c>
      <c r="AT58" s="6">
        <f>(M58/100)*AT$41</f>
      </c>
      <c r="AU58" s="6">
        <f>(N58/100)*AU$41</f>
      </c>
      <c r="AV58" s="6">
        <f>(O58/1000000)*AV$41</f>
      </c>
      <c r="AW58" s="6">
        <f>(P58/100)*AW$41</f>
      </c>
      <c r="AX58" s="6">
        <f>(Q58/100)*AX$41</f>
      </c>
      <c r="AY58" s="6">
        <f>(R58/100)*AY$41</f>
      </c>
      <c r="AZ58" s="6">
        <f>(S58/100)*AZ$41</f>
      </c>
      <c r="BA58" s="6">
        <f>(T58/100)*BA$41</f>
      </c>
      <c r="BB58" s="6">
        <f>(U58/100)*BB$41</f>
      </c>
      <c r="BC58" s="6"/>
      <c r="BD58" s="3"/>
      <c r="BE58" s="3"/>
      <c r="BF58" s="7">
        <f>AF58*E58</f>
      </c>
      <c r="BG58" s="6"/>
      <c r="BH58" s="3"/>
      <c r="BI58" s="6"/>
    </row>
    <row x14ac:dyDescent="0.25" r="59" customHeight="1" ht="12.75">
      <c r="A59" s="5" t="s">
        <v>491</v>
      </c>
      <c r="B59" s="3" t="s">
        <v>855</v>
      </c>
      <c r="C59" s="43" t="s">
        <v>856</v>
      </c>
      <c r="D59" s="34"/>
      <c r="E59" s="5">
        <v>16</v>
      </c>
      <c r="F59" s="6">
        <v>0.36</v>
      </c>
      <c r="G59" s="6">
        <v>3.08</v>
      </c>
      <c r="H59" s="5">
        <v>95</v>
      </c>
      <c r="I59" s="6">
        <v>0.69</v>
      </c>
      <c r="J59" s="6"/>
      <c r="K59" s="7"/>
      <c r="L59" s="6"/>
      <c r="M59" s="6"/>
      <c r="N59" s="23"/>
      <c r="O59" s="5"/>
      <c r="P59" s="6"/>
      <c r="Q59" s="6"/>
      <c r="R59" s="6"/>
      <c r="S59" s="6"/>
      <c r="T59" s="6"/>
      <c r="U59" s="6"/>
      <c r="V59" s="5"/>
      <c r="W59" s="6"/>
      <c r="X59" s="6">
        <f>E59*F59/100</f>
      </c>
      <c r="Y59" s="6">
        <f>E59*G59/100</f>
      </c>
      <c r="Z59" s="7">
        <f>E59*H59</f>
      </c>
      <c r="AA59" s="7">
        <f>E59*J59</f>
      </c>
      <c r="AB59" s="6">
        <f>E59*I59/100</f>
      </c>
      <c r="AC59" s="15">
        <f>X59+Y59+AB59</f>
      </c>
      <c r="AD59" s="6">
        <f>F59+G59+I59</f>
      </c>
      <c r="AE59" s="3"/>
      <c r="AF59" s="6">
        <f>SUM(AM59:BC59)</f>
      </c>
      <c r="AG59" s="5">
        <f>IF(SUM(AM59:AO59)&gt;0.7*AF59,1,0)</f>
      </c>
      <c r="AH59" s="5">
        <f>IF(AN59&gt;0.4*AF59,1,0)</f>
      </c>
      <c r="AI59" s="5">
        <f>IF(SUM(AP59:AQ59)&gt;0.3*AF59,1,0)</f>
      </c>
      <c r="AJ59" s="5">
        <f>IF(AQ59&gt;0.2*AF59,1,0)</f>
      </c>
      <c r="AK59" s="5">
        <f>IF(SUM(AR59:BC59)&gt;0.3*AF59,1,0)</f>
      </c>
      <c r="AL59" s="3"/>
      <c r="AM59" s="6">
        <f>(F59/100)*AM$41</f>
      </c>
      <c r="AN59" s="6">
        <f>(G59/100)*AN$41</f>
      </c>
      <c r="AO59" s="6">
        <f>(H59/1000000)*AO$41</f>
      </c>
      <c r="AP59" s="6">
        <f>(I59/100)*AP$41</f>
      </c>
      <c r="AQ59" s="6">
        <f>(J59/1000000)*AQ$41</f>
      </c>
      <c r="AR59" s="6">
        <f>(K59/100)*AR$41</f>
      </c>
      <c r="AS59" s="6">
        <f>(L59/100)*AS$41</f>
      </c>
      <c r="AT59" s="6">
        <f>(M59/100)*AT$41</f>
      </c>
      <c r="AU59" s="6">
        <f>(N59/100)*AU$41</f>
      </c>
      <c r="AV59" s="6">
        <f>(O59/1000000)*AV$41</f>
      </c>
      <c r="AW59" s="6">
        <f>(P59/100)*AW$41</f>
      </c>
      <c r="AX59" s="6">
        <f>(Q59/100)*AX$41</f>
      </c>
      <c r="AY59" s="6">
        <f>(R59/100)*AY$41</f>
      </c>
      <c r="AZ59" s="6">
        <f>(S59/100)*AZ$41</f>
      </c>
      <c r="BA59" s="6">
        <f>(T59/100)*BA$41</f>
      </c>
      <c r="BB59" s="6">
        <f>(U59/100)*BB$41</f>
      </c>
      <c r="BC59" s="6"/>
      <c r="BD59" s="3"/>
      <c r="BE59" s="3"/>
      <c r="BF59" s="7">
        <f>AF59*E59</f>
      </c>
      <c r="BG59" s="6"/>
      <c r="BH59" s="3"/>
      <c r="BI59" s="6"/>
    </row>
    <row x14ac:dyDescent="0.25" r="60" customHeight="1" ht="12.75">
      <c r="A60" s="5" t="s">
        <v>422</v>
      </c>
      <c r="B60" s="3" t="s">
        <v>855</v>
      </c>
      <c r="C60" s="43" t="s">
        <v>856</v>
      </c>
      <c r="D60" s="34" t="s">
        <v>928</v>
      </c>
      <c r="E60" s="7">
        <v>88</v>
      </c>
      <c r="F60" s="6">
        <v>0.29</v>
      </c>
      <c r="G60" s="6">
        <v>0.39</v>
      </c>
      <c r="H60" s="6">
        <v>47.4</v>
      </c>
      <c r="I60" s="6"/>
      <c r="J60" s="6"/>
      <c r="K60" s="7"/>
      <c r="L60" s="6"/>
      <c r="M60" s="6"/>
      <c r="N60" s="23"/>
      <c r="O60" s="5"/>
      <c r="P60" s="6"/>
      <c r="Q60" s="6"/>
      <c r="R60" s="6"/>
      <c r="S60" s="6"/>
      <c r="T60" s="6"/>
      <c r="U60" s="6"/>
      <c r="V60" s="5"/>
      <c r="W60" s="6"/>
      <c r="X60" s="6">
        <f>E60*F60/100</f>
      </c>
      <c r="Y60" s="6">
        <f>E60*G60/100</f>
      </c>
      <c r="Z60" s="7">
        <f>E60*H60</f>
      </c>
      <c r="AA60" s="7">
        <f>E60*J60</f>
      </c>
      <c r="AB60" s="6">
        <f>E60*I60/100</f>
      </c>
      <c r="AC60" s="15">
        <f>X60+Y60+AB60</f>
      </c>
      <c r="AD60" s="6">
        <f>F60+G60+I60</f>
      </c>
      <c r="AE60" s="3"/>
      <c r="AF60" s="6">
        <f>SUM(AM60:BC60)</f>
      </c>
      <c r="AG60" s="5">
        <f>IF(SUM(AM60:AO60)&gt;0.7*AF60,1,0)</f>
      </c>
      <c r="AH60" s="5">
        <f>IF(AN60&gt;0.4*AF60,1,0)</f>
      </c>
      <c r="AI60" s="5">
        <f>IF(SUM(AP60:AQ60)&gt;0.3*AF60,1,0)</f>
      </c>
      <c r="AJ60" s="5">
        <f>IF(AQ60&gt;0.2*AF60,1,0)</f>
      </c>
      <c r="AK60" s="5">
        <f>IF(SUM(AR60:BC60)&gt;0.3*AF60,1,0)</f>
      </c>
      <c r="AL60" s="3"/>
      <c r="AM60" s="6">
        <f>(F60/100)*AM$41</f>
      </c>
      <c r="AN60" s="6">
        <f>(G60/100)*AN$41</f>
      </c>
      <c r="AO60" s="6">
        <f>(H60/1000000)*AO$41</f>
      </c>
      <c r="AP60" s="6">
        <f>(I60/100)*AP$41</f>
      </c>
      <c r="AQ60" s="6">
        <f>(J60/1000000)*AQ$41</f>
      </c>
      <c r="AR60" s="6">
        <f>(K60/100)*AR$41</f>
      </c>
      <c r="AS60" s="6">
        <f>(L60/100)*AS$41</f>
      </c>
      <c r="AT60" s="6">
        <f>(M60/100)*AT$41</f>
      </c>
      <c r="AU60" s="6">
        <f>(N60/100)*AU$41</f>
      </c>
      <c r="AV60" s="6">
        <f>(O60/1000000)*AV$41</f>
      </c>
      <c r="AW60" s="6">
        <f>(P60/100)*AW$41</f>
      </c>
      <c r="AX60" s="6">
        <f>(Q60/100)*AX$41</f>
      </c>
      <c r="AY60" s="6">
        <f>(R60/100)*AY$41</f>
      </c>
      <c r="AZ60" s="6">
        <f>(S60/100)*AZ$41</f>
      </c>
      <c r="BA60" s="6">
        <f>(T60/100)*BA$41</f>
      </c>
      <c r="BB60" s="6">
        <f>(U60/100)*BB$41</f>
      </c>
      <c r="BC60" s="6"/>
      <c r="BD60" s="3"/>
      <c r="BE60" s="3"/>
      <c r="BF60" s="7">
        <f>AF60*E60</f>
      </c>
      <c r="BG60" s="6"/>
      <c r="BH60" s="3"/>
      <c r="BI60" s="6"/>
    </row>
    <row x14ac:dyDescent="0.25" r="61" customHeight="1" ht="12.75">
      <c r="A61" s="5" t="s">
        <v>586</v>
      </c>
      <c r="B61" s="3" t="s">
        <v>855</v>
      </c>
      <c r="C61" s="43" t="s">
        <v>856</v>
      </c>
      <c r="D61" s="34" t="s">
        <v>927</v>
      </c>
      <c r="E61" s="6">
        <v>11.256</v>
      </c>
      <c r="F61" s="6">
        <v>1.8129557569296375</v>
      </c>
      <c r="G61" s="6">
        <v>2.679493603411514</v>
      </c>
      <c r="H61" s="31">
        <v>117.43061478322672</v>
      </c>
      <c r="I61" s="6"/>
      <c r="J61" s="6">
        <v>0.4372690120824449</v>
      </c>
      <c r="K61" s="7"/>
      <c r="L61" s="6"/>
      <c r="M61" s="6"/>
      <c r="N61" s="23"/>
      <c r="O61" s="5"/>
      <c r="P61" s="6"/>
      <c r="Q61" s="6"/>
      <c r="R61" s="6"/>
      <c r="S61" s="6"/>
      <c r="T61" s="6"/>
      <c r="U61" s="6"/>
      <c r="V61" s="5"/>
      <c r="W61" s="6"/>
      <c r="X61" s="6">
        <f>E61*F61/100</f>
      </c>
      <c r="Y61" s="6">
        <f>E61*G61/100</f>
      </c>
      <c r="Z61" s="7">
        <f>E61*H61</f>
      </c>
      <c r="AA61" s="7">
        <f>E61*J61</f>
      </c>
      <c r="AB61" s="6">
        <f>E61*I61/100</f>
      </c>
      <c r="AC61" s="15">
        <f>X61+Y61+AB61</f>
      </c>
      <c r="AD61" s="6">
        <f>F61+G61+I61</f>
      </c>
      <c r="AE61" s="3"/>
      <c r="AF61" s="6">
        <f>SUM(AM61:BC61)</f>
      </c>
      <c r="AG61" s="5">
        <f>IF(SUM(AM61:AO61)&gt;0.7*AF61,1,0)</f>
      </c>
      <c r="AH61" s="5">
        <f>IF(AN61&gt;0.4*AF61,1,0)</f>
      </c>
      <c r="AI61" s="5">
        <f>IF(SUM(AP61:AQ61)&gt;0.3*AF61,1,0)</f>
      </c>
      <c r="AJ61" s="5">
        <f>IF(AQ61&gt;0.2*AF61,1,0)</f>
      </c>
      <c r="AK61" s="5">
        <f>IF(SUM(AR61:BC61)&gt;0.3*AF61,1,0)</f>
      </c>
      <c r="AL61" s="3"/>
      <c r="AM61" s="6">
        <f>(F61/100)*AM$41</f>
      </c>
      <c r="AN61" s="6">
        <f>(G61/100)*AN$41</f>
      </c>
      <c r="AO61" s="6">
        <f>(H61/1000000)*AO$41</f>
      </c>
      <c r="AP61" s="6">
        <f>(I61/100)*AP$41</f>
      </c>
      <c r="AQ61" s="6">
        <f>(J61/1000000)*AQ$41</f>
      </c>
      <c r="AR61" s="6">
        <f>(K61/100)*AR$41</f>
      </c>
      <c r="AS61" s="6">
        <f>(L61/100)*AS$41</f>
      </c>
      <c r="AT61" s="6">
        <f>(M61/100)*AT$41</f>
      </c>
      <c r="AU61" s="6">
        <f>(N61/100)*AU$41</f>
      </c>
      <c r="AV61" s="6">
        <f>(O61/1000000)*AV$41</f>
      </c>
      <c r="AW61" s="6">
        <f>(P61/100)*AW$41</f>
      </c>
      <c r="AX61" s="6">
        <f>(Q61/100)*AX$41</f>
      </c>
      <c r="AY61" s="6">
        <f>(R61/100)*AY$41</f>
      </c>
      <c r="AZ61" s="6">
        <f>(S61/100)*AZ$41</f>
      </c>
      <c r="BA61" s="6">
        <f>(T61/100)*BA$41</f>
      </c>
      <c r="BB61" s="6">
        <f>(U61/100)*BB$41</f>
      </c>
      <c r="BC61" s="6"/>
      <c r="BD61" s="3"/>
      <c r="BE61" s="3"/>
      <c r="BF61" s="7">
        <f>AF61*E61</f>
      </c>
      <c r="BG61" s="6"/>
      <c r="BH61" s="3"/>
      <c r="BI61" s="6"/>
    </row>
    <row x14ac:dyDescent="0.25" r="62" customHeight="1" ht="12.75">
      <c r="A62" s="5" t="s">
        <v>360</v>
      </c>
      <c r="B62" s="3" t="s">
        <v>855</v>
      </c>
      <c r="C62" s="43" t="s">
        <v>856</v>
      </c>
      <c r="D62" s="34" t="s">
        <v>929</v>
      </c>
      <c r="E62" s="6">
        <v>33.6</v>
      </c>
      <c r="F62" s="6"/>
      <c r="G62" s="6">
        <v>1.4988690476190478</v>
      </c>
      <c r="H62" s="7">
        <v>172.07440476190476</v>
      </c>
      <c r="I62" s="6"/>
      <c r="J62" s="6"/>
      <c r="K62" s="7"/>
      <c r="L62" s="6"/>
      <c r="M62" s="6"/>
      <c r="N62" s="23"/>
      <c r="O62" s="5"/>
      <c r="P62" s="6"/>
      <c r="Q62" s="6"/>
      <c r="R62" s="6"/>
      <c r="S62" s="6"/>
      <c r="T62" s="6"/>
      <c r="U62" s="6"/>
      <c r="V62" s="5"/>
      <c r="W62" s="6"/>
      <c r="X62" s="6">
        <f>E62*F62/100</f>
      </c>
      <c r="Y62" s="6">
        <f>E62*G62/100</f>
      </c>
      <c r="Z62" s="7">
        <f>E62*H62</f>
      </c>
      <c r="AA62" s="7">
        <f>E62*J62</f>
      </c>
      <c r="AB62" s="6">
        <f>E62*I62/100</f>
      </c>
      <c r="AC62" s="15">
        <f>X62+Y62+AB62</f>
      </c>
      <c r="AD62" s="6">
        <f>F62+G62+I62</f>
      </c>
      <c r="AE62" s="3"/>
      <c r="AF62" s="6">
        <f>SUM(AM62:BC62)</f>
      </c>
      <c r="AG62" s="5">
        <f>IF(SUM(AM62:AO62)&gt;0.7*AF62,1,0)</f>
      </c>
      <c r="AH62" s="5">
        <f>IF(AN62&gt;0.4*AF62,1,0)</f>
      </c>
      <c r="AI62" s="5">
        <f>IF(SUM(AP62:AQ62)&gt;0.3*AF62,1,0)</f>
      </c>
      <c r="AJ62" s="5">
        <f>IF(AQ62&gt;0.2*AF62,1,0)</f>
      </c>
      <c r="AK62" s="5">
        <f>IF(SUM(AR62:BC62)&gt;0.3*AF62,1,0)</f>
      </c>
      <c r="AL62" s="3"/>
      <c r="AM62" s="6">
        <f>(F62/100)*AM$41</f>
      </c>
      <c r="AN62" s="6">
        <f>(G62/100)*AN$41</f>
      </c>
      <c r="AO62" s="6">
        <f>(H62/1000000)*AO$41</f>
      </c>
      <c r="AP62" s="6">
        <f>(I62/100)*AP$41</f>
      </c>
      <c r="AQ62" s="6">
        <f>(J62/1000000)*AQ$41</f>
      </c>
      <c r="AR62" s="6">
        <f>(K62/100)*AR$41</f>
      </c>
      <c r="AS62" s="6">
        <f>(L62/100)*AS$41</f>
      </c>
      <c r="AT62" s="6">
        <f>(M62/100)*AT$41</f>
      </c>
      <c r="AU62" s="6">
        <f>(N62/100)*AU$41</f>
      </c>
      <c r="AV62" s="6">
        <f>(O62/1000000)*AV$41</f>
      </c>
      <c r="AW62" s="6">
        <f>(P62/100)*AW$41</f>
      </c>
      <c r="AX62" s="6">
        <f>(Q62/100)*AX$41</f>
      </c>
      <c r="AY62" s="6">
        <f>(R62/100)*AY$41</f>
      </c>
      <c r="AZ62" s="6">
        <f>(S62/100)*AZ$41</f>
      </c>
      <c r="BA62" s="6">
        <f>(T62/100)*BA$41</f>
      </c>
      <c r="BB62" s="6">
        <f>(U62/100)*BB$41</f>
      </c>
      <c r="BC62" s="6"/>
      <c r="BD62" s="3"/>
      <c r="BE62" s="3"/>
      <c r="BF62" s="7">
        <f>AF62*E62</f>
      </c>
      <c r="BG62" s="6"/>
      <c r="BH62" s="3"/>
      <c r="BI62" s="6"/>
    </row>
    <row x14ac:dyDescent="0.25" r="63" customHeight="1" ht="12.75">
      <c r="A63" s="5" t="s">
        <v>303</v>
      </c>
      <c r="B63" s="3" t="s">
        <v>855</v>
      </c>
      <c r="C63" s="43" t="s">
        <v>856</v>
      </c>
      <c r="D63" s="34" t="s">
        <v>928</v>
      </c>
      <c r="E63" s="6">
        <v>31.75</v>
      </c>
      <c r="F63" s="6">
        <v>0.5354110236220472</v>
      </c>
      <c r="G63" s="6">
        <v>0.9546834645669291</v>
      </c>
      <c r="H63" s="31">
        <v>141.2538582677165</v>
      </c>
      <c r="I63" s="6"/>
      <c r="J63" s="6">
        <v>1.5784220472440942</v>
      </c>
      <c r="K63" s="7"/>
      <c r="L63" s="6"/>
      <c r="M63" s="6"/>
      <c r="N63" s="23"/>
      <c r="O63" s="5"/>
      <c r="P63" s="6"/>
      <c r="Q63" s="6"/>
      <c r="R63" s="6"/>
      <c r="S63" s="6"/>
      <c r="T63" s="6"/>
      <c r="U63" s="6"/>
      <c r="V63" s="5"/>
      <c r="W63" s="6"/>
      <c r="X63" s="6">
        <f>E63*F63/100</f>
      </c>
      <c r="Y63" s="6">
        <f>E63*G63/100</f>
      </c>
      <c r="Z63" s="7">
        <f>E63*H63</f>
      </c>
      <c r="AA63" s="7">
        <f>E63*J63</f>
      </c>
      <c r="AB63" s="6">
        <f>E63*I63/100</f>
      </c>
      <c r="AC63" s="15">
        <f>X63+Y63+AB63</f>
      </c>
      <c r="AD63" s="6">
        <f>F63+G63+I63</f>
      </c>
      <c r="AE63" s="3"/>
      <c r="AF63" s="6">
        <f>SUM(AM63:BC63)</f>
      </c>
      <c r="AG63" s="5">
        <f>IF(SUM(AM63:AO63)&gt;0.7*AF63,1,0)</f>
      </c>
      <c r="AH63" s="5">
        <f>IF(AN63&gt;0.4*AF63,1,0)</f>
      </c>
      <c r="AI63" s="5">
        <f>IF(SUM(AP63:AQ63)&gt;0.3*AF63,1,0)</f>
      </c>
      <c r="AJ63" s="5">
        <f>IF(AQ63&gt;0.2*AF63,1,0)</f>
      </c>
      <c r="AK63" s="5">
        <f>IF(SUM(AR63:BC63)&gt;0.3*AF63,1,0)</f>
      </c>
      <c r="AL63" s="3"/>
      <c r="AM63" s="6">
        <f>(F63/100)*AM$41</f>
      </c>
      <c r="AN63" s="6">
        <f>(G63/100)*AN$41</f>
      </c>
      <c r="AO63" s="6">
        <f>(H63/1000000)*AO$41</f>
      </c>
      <c r="AP63" s="6">
        <f>(I63/100)*AP$41</f>
      </c>
      <c r="AQ63" s="6">
        <f>(J63/1000000)*AQ$41</f>
      </c>
      <c r="AR63" s="6">
        <f>(K63/100)*AR$41</f>
      </c>
      <c r="AS63" s="6">
        <f>(L63/100)*AS$41</f>
      </c>
      <c r="AT63" s="6">
        <f>(M63/100)*AT$41</f>
      </c>
      <c r="AU63" s="6">
        <f>(N63/100)*AU$41</f>
      </c>
      <c r="AV63" s="6">
        <f>(O63/1000000)*AV$41</f>
      </c>
      <c r="AW63" s="6">
        <f>(P63/100)*AW$41</f>
      </c>
      <c r="AX63" s="6">
        <f>(Q63/100)*AX$41</f>
      </c>
      <c r="AY63" s="6">
        <f>(R63/100)*AY$41</f>
      </c>
      <c r="AZ63" s="6">
        <f>(S63/100)*AZ$41</f>
      </c>
      <c r="BA63" s="6">
        <f>(T63/100)*BA$41</f>
      </c>
      <c r="BB63" s="6">
        <f>(U63/100)*BB$41</f>
      </c>
      <c r="BC63" s="6"/>
      <c r="BD63" s="3"/>
      <c r="BE63" s="3"/>
      <c r="BF63" s="7">
        <f>AF63*E63</f>
      </c>
      <c r="BG63" s="6"/>
      <c r="BH63" s="3"/>
      <c r="BI63" s="6"/>
    </row>
    <row x14ac:dyDescent="0.25" r="64" customHeight="1" ht="12.75">
      <c r="A64" s="5" t="s">
        <v>562</v>
      </c>
      <c r="B64" s="3" t="s">
        <v>855</v>
      </c>
      <c r="C64" s="43" t="s">
        <v>856</v>
      </c>
      <c r="D64" s="34"/>
      <c r="E64" s="6">
        <v>20.743</v>
      </c>
      <c r="F64" s="6">
        <v>0.7619114882128911</v>
      </c>
      <c r="G64" s="6">
        <v>1.3654905269247457</v>
      </c>
      <c r="H64" s="7">
        <v>104.25518006074338</v>
      </c>
      <c r="I64" s="6"/>
      <c r="J64" s="6"/>
      <c r="K64" s="7"/>
      <c r="L64" s="6"/>
      <c r="M64" s="6"/>
      <c r="N64" s="23"/>
      <c r="O64" s="5"/>
      <c r="P64" s="6"/>
      <c r="Q64" s="6"/>
      <c r="R64" s="6"/>
      <c r="S64" s="6"/>
      <c r="T64" s="6"/>
      <c r="U64" s="6"/>
      <c r="V64" s="5"/>
      <c r="W64" s="6"/>
      <c r="X64" s="6">
        <f>E64*F64/100</f>
      </c>
      <c r="Y64" s="6">
        <f>E64*G64/100</f>
      </c>
      <c r="Z64" s="7">
        <f>E64*H64</f>
      </c>
      <c r="AA64" s="7">
        <f>E64*J64</f>
      </c>
      <c r="AB64" s="6">
        <f>E64*I64/100</f>
      </c>
      <c r="AC64" s="15">
        <f>X64+Y64+AB64</f>
      </c>
      <c r="AD64" s="6">
        <f>F64+G64+I64</f>
      </c>
      <c r="AE64" s="3"/>
      <c r="AF64" s="6">
        <f>SUM(AM64:BC64)</f>
      </c>
      <c r="AG64" s="5">
        <f>IF(SUM(AM64:AO64)&gt;0.7*AF64,1,0)</f>
      </c>
      <c r="AH64" s="5">
        <f>IF(AN64&gt;0.4*AF64,1,0)</f>
      </c>
      <c r="AI64" s="5">
        <f>IF(SUM(AP64:AQ64)&gt;0.3*AF64,1,0)</f>
      </c>
      <c r="AJ64" s="5">
        <f>IF(AQ64&gt;0.2*AF64,1,0)</f>
      </c>
      <c r="AK64" s="5">
        <f>IF(SUM(AR64:BC64)&gt;0.3*AF64,1,0)</f>
      </c>
      <c r="AL64" s="3"/>
      <c r="AM64" s="6">
        <f>(F64/100)*AM$41</f>
      </c>
      <c r="AN64" s="6">
        <f>(G64/100)*AN$41</f>
      </c>
      <c r="AO64" s="6">
        <f>(H64/1000000)*AO$41</f>
      </c>
      <c r="AP64" s="6">
        <f>(I64/100)*AP$41</f>
      </c>
      <c r="AQ64" s="6">
        <f>(J64/1000000)*AQ$41</f>
      </c>
      <c r="AR64" s="6">
        <f>(K64/100)*AR$41</f>
      </c>
      <c r="AS64" s="6">
        <f>(L64/100)*AS$41</f>
      </c>
      <c r="AT64" s="6">
        <f>(M64/100)*AT$41</f>
      </c>
      <c r="AU64" s="6">
        <f>(N64/100)*AU$41</f>
      </c>
      <c r="AV64" s="6">
        <f>(O64/1000000)*AV$41</f>
      </c>
      <c r="AW64" s="6">
        <f>(P64/100)*AW$41</f>
      </c>
      <c r="AX64" s="6">
        <f>(Q64/100)*AX$41</f>
      </c>
      <c r="AY64" s="6">
        <f>(R64/100)*AY$41</f>
      </c>
      <c r="AZ64" s="6">
        <f>(S64/100)*AZ$41</f>
      </c>
      <c r="BA64" s="6">
        <f>(T64/100)*BA$41</f>
      </c>
      <c r="BB64" s="6">
        <f>(U64/100)*BB$41</f>
      </c>
      <c r="BC64" s="6"/>
      <c r="BD64" s="3"/>
      <c r="BE64" s="3"/>
      <c r="BF64" s="7">
        <f>AF64*E64</f>
      </c>
      <c r="BG64" s="6"/>
      <c r="BH64" s="3"/>
      <c r="BI64" s="6"/>
    </row>
    <row x14ac:dyDescent="0.25" r="65" customHeight="1" ht="12.75">
      <c r="A65" s="5" t="s">
        <v>238</v>
      </c>
      <c r="B65" s="3" t="s">
        <v>855</v>
      </c>
      <c r="C65" s="43" t="s">
        <v>856</v>
      </c>
      <c r="D65" s="34" t="s">
        <v>924</v>
      </c>
      <c r="E65" s="6">
        <v>4.1</v>
      </c>
      <c r="F65" s="7">
        <v>0.9170731707317074</v>
      </c>
      <c r="G65" s="7">
        <v>9.80487804878049</v>
      </c>
      <c r="H65" s="31">
        <v>302.4390243902439</v>
      </c>
      <c r="I65" s="6"/>
      <c r="J65" s="6"/>
      <c r="K65" s="7"/>
      <c r="L65" s="6"/>
      <c r="M65" s="6"/>
      <c r="N65" s="23"/>
      <c r="O65" s="5"/>
      <c r="P65" s="6"/>
      <c r="Q65" s="6"/>
      <c r="R65" s="6"/>
      <c r="S65" s="6"/>
      <c r="T65" s="6"/>
      <c r="U65" s="6"/>
      <c r="V65" s="5"/>
      <c r="W65" s="6"/>
      <c r="X65" s="6">
        <f>E65*F65/100</f>
      </c>
      <c r="Y65" s="6">
        <f>E65*G65/100</f>
      </c>
      <c r="Z65" s="7">
        <f>E65*H65</f>
      </c>
      <c r="AA65" s="7">
        <f>E65*J65</f>
      </c>
      <c r="AB65" s="6">
        <f>E65*I65/100</f>
      </c>
      <c r="AC65" s="15">
        <f>X65+Y65+AB65</f>
      </c>
      <c r="AD65" s="6">
        <f>F65+G65+I65</f>
      </c>
      <c r="AE65" s="3"/>
      <c r="AF65" s="6">
        <f>SUM(AM65:BC65)</f>
      </c>
      <c r="AG65" s="5">
        <f>IF(SUM(AM65:AO65)&gt;0.7*AF65,1,0)</f>
      </c>
      <c r="AH65" s="5">
        <f>IF(AN65&gt;0.4*AF65,1,0)</f>
      </c>
      <c r="AI65" s="5">
        <f>IF(SUM(AP65:AQ65)&gt;0.3*AF65,1,0)</f>
      </c>
      <c r="AJ65" s="5">
        <f>IF(AQ65&gt;0.2*AF65,1,0)</f>
      </c>
      <c r="AK65" s="5">
        <f>IF(SUM(AR65:BC65)&gt;0.3*AF65,1,0)</f>
      </c>
      <c r="AL65" s="3"/>
      <c r="AM65" s="6">
        <f>(F65/100)*AM$41</f>
      </c>
      <c r="AN65" s="6">
        <f>(G65/100)*AN$41</f>
      </c>
      <c r="AO65" s="6">
        <f>(H65/1000000)*AO$41</f>
      </c>
      <c r="AP65" s="6">
        <f>(I65/100)*AP$41</f>
      </c>
      <c r="AQ65" s="6">
        <f>(J65/1000000)*AQ$41</f>
      </c>
      <c r="AR65" s="6">
        <f>(K65/100)*AR$41</f>
      </c>
      <c r="AS65" s="6">
        <f>(L65/100)*AS$41</f>
      </c>
      <c r="AT65" s="6">
        <f>(M65/100)*AT$41</f>
      </c>
      <c r="AU65" s="6">
        <f>(N65/100)*AU$41</f>
      </c>
      <c r="AV65" s="6">
        <f>(O65/1000000)*AV$41</f>
      </c>
      <c r="AW65" s="6">
        <f>(P65/100)*AW$41</f>
      </c>
      <c r="AX65" s="6">
        <f>(Q65/100)*AX$41</f>
      </c>
      <c r="AY65" s="6">
        <f>(R65/100)*AY$41</f>
      </c>
      <c r="AZ65" s="6">
        <f>(S65/100)*AZ$41</f>
      </c>
      <c r="BA65" s="6">
        <f>(T65/100)*BA$41</f>
      </c>
      <c r="BB65" s="6">
        <f>(U65/100)*BB$41</f>
      </c>
      <c r="BC65" s="6"/>
      <c r="BD65" s="3"/>
      <c r="BE65" s="3"/>
      <c r="BF65" s="7">
        <f>AF65*E65</f>
      </c>
      <c r="BG65" s="6"/>
      <c r="BH65" s="3"/>
      <c r="BI65" s="6"/>
    </row>
    <row x14ac:dyDescent="0.25" r="66" customHeight="1" ht="12.75">
      <c r="A66" s="5" t="s">
        <v>189</v>
      </c>
      <c r="B66" s="3" t="s">
        <v>855</v>
      </c>
      <c r="C66" s="43" t="s">
        <v>856</v>
      </c>
      <c r="D66" s="34"/>
      <c r="E66" s="6">
        <v>8.021</v>
      </c>
      <c r="F66" s="6">
        <v>1.9181822715372143</v>
      </c>
      <c r="G66" s="6">
        <v>3.486512903627976</v>
      </c>
      <c r="H66" s="31">
        <v>446.87333250218177</v>
      </c>
      <c r="I66" s="6"/>
      <c r="J66" s="6">
        <v>1.7541653160453805</v>
      </c>
      <c r="K66" s="7"/>
      <c r="L66" s="6"/>
      <c r="M66" s="6"/>
      <c r="N66" s="23"/>
      <c r="O66" s="5"/>
      <c r="P66" s="6"/>
      <c r="Q66" s="6"/>
      <c r="R66" s="6"/>
      <c r="S66" s="6"/>
      <c r="T66" s="6"/>
      <c r="U66" s="6"/>
      <c r="V66" s="5"/>
      <c r="W66" s="6"/>
      <c r="X66" s="6">
        <f>E66*F66/100</f>
      </c>
      <c r="Y66" s="6">
        <f>E66*G66/100</f>
      </c>
      <c r="Z66" s="7">
        <f>E66*H66</f>
      </c>
      <c r="AA66" s="7">
        <f>E66*J66</f>
      </c>
      <c r="AB66" s="6">
        <f>E66*I66/100</f>
      </c>
      <c r="AC66" s="15">
        <f>X66+Y66+AB66</f>
      </c>
      <c r="AD66" s="6">
        <f>F66+G66+I66</f>
      </c>
      <c r="AE66" s="3"/>
      <c r="AF66" s="6">
        <f>SUM(AM66:BC66)</f>
      </c>
      <c r="AG66" s="5">
        <f>IF(SUM(AM66:AO66)&gt;0.7*AF66,1,0)</f>
      </c>
      <c r="AH66" s="5">
        <f>IF(AN66&gt;0.4*AF66,1,0)</f>
      </c>
      <c r="AI66" s="5">
        <f>IF(SUM(AP66:AQ66)&gt;0.3*AF66,1,0)</f>
      </c>
      <c r="AJ66" s="5">
        <f>IF(AQ66&gt;0.2*AF66,1,0)</f>
      </c>
      <c r="AK66" s="5">
        <f>IF(SUM(AR66:BC66)&gt;0.3*AF66,1,0)</f>
      </c>
      <c r="AL66" s="3"/>
      <c r="AM66" s="6">
        <f>(F66/100)*AM$41</f>
      </c>
      <c r="AN66" s="6">
        <f>(G66/100)*AN$41</f>
      </c>
      <c r="AO66" s="6">
        <f>(H66/1000000)*AO$41</f>
      </c>
      <c r="AP66" s="6">
        <f>(I66/100)*AP$41</f>
      </c>
      <c r="AQ66" s="6">
        <f>(J66/1000000)*AQ$41</f>
      </c>
      <c r="AR66" s="6">
        <f>(K66/100)*AR$41</f>
      </c>
      <c r="AS66" s="6">
        <f>(L66/100)*AS$41</f>
      </c>
      <c r="AT66" s="6">
        <f>(M66/100)*AT$41</f>
      </c>
      <c r="AU66" s="6">
        <f>(N66/100)*AU$41</f>
      </c>
      <c r="AV66" s="6">
        <f>(O66/1000000)*AV$41</f>
      </c>
      <c r="AW66" s="6">
        <f>(P66/100)*AW$41</f>
      </c>
      <c r="AX66" s="6">
        <f>(Q66/100)*AX$41</f>
      </c>
      <c r="AY66" s="6">
        <f>(R66/100)*AY$41</f>
      </c>
      <c r="AZ66" s="6">
        <f>(S66/100)*AZ$41</f>
      </c>
      <c r="BA66" s="6">
        <f>(T66/100)*BA$41</f>
      </c>
      <c r="BB66" s="6">
        <f>(U66/100)*BB$41</f>
      </c>
      <c r="BC66" s="6"/>
      <c r="BD66" s="3"/>
      <c r="BE66" s="3"/>
      <c r="BF66" s="7">
        <f>AF66*E66</f>
      </c>
      <c r="BG66" s="6"/>
      <c r="BH66" s="3"/>
      <c r="BI66" s="6"/>
    </row>
    <row x14ac:dyDescent="0.25" r="67" customHeight="1" ht="12.75">
      <c r="A67" s="5" t="s">
        <v>446</v>
      </c>
      <c r="B67" s="3" t="s">
        <v>855</v>
      </c>
      <c r="C67" s="43" t="s">
        <v>856</v>
      </c>
      <c r="D67" s="34" t="s">
        <v>927</v>
      </c>
      <c r="E67" s="6">
        <v>21.299</v>
      </c>
      <c r="F67" s="6">
        <v>0.5502666791868164</v>
      </c>
      <c r="G67" s="6">
        <v>1.4204239635663645</v>
      </c>
      <c r="H67" s="31">
        <v>188.7984881919339</v>
      </c>
      <c r="I67" s="6"/>
      <c r="J67" s="6">
        <v>0.07210620216911592</v>
      </c>
      <c r="K67" s="7"/>
      <c r="L67" s="6"/>
      <c r="M67" s="6"/>
      <c r="N67" s="23"/>
      <c r="O67" s="5"/>
      <c r="P67" s="6"/>
      <c r="Q67" s="6"/>
      <c r="R67" s="6"/>
      <c r="S67" s="6"/>
      <c r="T67" s="6"/>
      <c r="U67" s="6"/>
      <c r="V67" s="5"/>
      <c r="W67" s="6"/>
      <c r="X67" s="6">
        <f>E67*F67/100</f>
      </c>
      <c r="Y67" s="6">
        <f>E67*G67/100</f>
      </c>
      <c r="Z67" s="7">
        <f>E67*H67</f>
      </c>
      <c r="AA67" s="7">
        <f>E67*J67</f>
      </c>
      <c r="AB67" s="6">
        <f>E67*I67/100</f>
      </c>
      <c r="AC67" s="15">
        <f>X67+Y67+AB67</f>
      </c>
      <c r="AD67" s="6">
        <f>F67+G67+I67</f>
      </c>
      <c r="AE67" s="3"/>
      <c r="AF67" s="6">
        <f>SUM(AM67:BC67)</f>
      </c>
      <c r="AG67" s="5">
        <f>IF(SUM(AM67:AO67)&gt;0.7*AF67,1,0)</f>
      </c>
      <c r="AH67" s="5">
        <f>IF(AN67&gt;0.4*AF67,1,0)</f>
      </c>
      <c r="AI67" s="5">
        <f>IF(SUM(AP67:AQ67)&gt;0.3*AF67,1,0)</f>
      </c>
      <c r="AJ67" s="5">
        <f>IF(AQ67&gt;0.2*AF67,1,0)</f>
      </c>
      <c r="AK67" s="5">
        <f>IF(SUM(AR67:BC67)&gt;0.3*AF67,1,0)</f>
      </c>
      <c r="AL67" s="3"/>
      <c r="AM67" s="6">
        <f>(F67/100)*AM$41</f>
      </c>
      <c r="AN67" s="6">
        <f>(G67/100)*AN$41</f>
      </c>
      <c r="AO67" s="6">
        <f>(H67/1000000)*AO$41</f>
      </c>
      <c r="AP67" s="6">
        <f>(I67/100)*AP$41</f>
      </c>
      <c r="AQ67" s="6">
        <f>(J67/1000000)*AQ$41</f>
      </c>
      <c r="AR67" s="6">
        <f>(K67/100)*AR$41</f>
      </c>
      <c r="AS67" s="6">
        <f>(L67/100)*AS$41</f>
      </c>
      <c r="AT67" s="6">
        <f>(M67/100)*AT$41</f>
      </c>
      <c r="AU67" s="6">
        <f>(N67/100)*AU$41</f>
      </c>
      <c r="AV67" s="6">
        <f>(O67/1000000)*AV$41</f>
      </c>
      <c r="AW67" s="6">
        <f>(P67/100)*AW$41</f>
      </c>
      <c r="AX67" s="6">
        <f>(Q67/100)*AX$41</f>
      </c>
      <c r="AY67" s="6">
        <f>(R67/100)*AY$41</f>
      </c>
      <c r="AZ67" s="6">
        <f>(S67/100)*AZ$41</f>
      </c>
      <c r="BA67" s="6">
        <f>(T67/100)*BA$41</f>
      </c>
      <c r="BB67" s="6">
        <f>(U67/100)*BB$41</f>
      </c>
      <c r="BC67" s="6"/>
      <c r="BD67" s="3"/>
      <c r="BE67" s="3"/>
      <c r="BF67" s="7">
        <f>AF67*E67</f>
      </c>
      <c r="BG67" s="6"/>
      <c r="BH67" s="3"/>
      <c r="BI67" s="6"/>
    </row>
    <row x14ac:dyDescent="0.25" r="68" customHeight="1" ht="12.75">
      <c r="A68" s="5" t="s">
        <v>323</v>
      </c>
      <c r="B68" s="3" t="s">
        <v>855</v>
      </c>
      <c r="C68" s="43" t="s">
        <v>856</v>
      </c>
      <c r="D68" s="34" t="s">
        <v>927</v>
      </c>
      <c r="E68" s="6">
        <v>57.55</v>
      </c>
      <c r="F68" s="6"/>
      <c r="G68" s="6">
        <v>0.3244761077324067</v>
      </c>
      <c r="H68" s="7">
        <v>3.495655951346655</v>
      </c>
      <c r="I68" s="6">
        <v>0.3585664639443962</v>
      </c>
      <c r="J68" s="6">
        <v>1.4115551694178976</v>
      </c>
      <c r="K68" s="7"/>
      <c r="L68" s="6"/>
      <c r="M68" s="6"/>
      <c r="N68" s="23"/>
      <c r="O68" s="5"/>
      <c r="P68" s="6"/>
      <c r="Q68" s="6"/>
      <c r="R68" s="6"/>
      <c r="S68" s="6"/>
      <c r="T68" s="6"/>
      <c r="U68" s="6"/>
      <c r="V68" s="5"/>
      <c r="W68" s="6"/>
      <c r="X68" s="6">
        <f>E68*F68/100</f>
      </c>
      <c r="Y68" s="6">
        <f>E68*G68/100</f>
      </c>
      <c r="Z68" s="7">
        <f>E68*H68</f>
      </c>
      <c r="AA68" s="7">
        <f>E68*J68</f>
      </c>
      <c r="AB68" s="6">
        <f>E68*I68/100</f>
      </c>
      <c r="AC68" s="15">
        <f>X68+Y68+AB68</f>
      </c>
      <c r="AD68" s="6">
        <f>F68+G68+I68</f>
      </c>
      <c r="AE68" s="3"/>
      <c r="AF68" s="6">
        <f>SUM(AM68:BC68)</f>
      </c>
      <c r="AG68" s="5">
        <f>IF(SUM(AM68:AO68)&gt;0.7*AF68,1,0)</f>
      </c>
      <c r="AH68" s="5">
        <f>IF(AN68&gt;0.4*AF68,1,0)</f>
      </c>
      <c r="AI68" s="5">
        <f>IF(SUM(AP68:AQ68)&gt;0.3*AF68,1,0)</f>
      </c>
      <c r="AJ68" s="5">
        <f>IF(AQ68&gt;0.2*AF68,1,0)</f>
      </c>
      <c r="AK68" s="5">
        <f>IF(SUM(AR68:BC68)&gt;0.3*AF68,1,0)</f>
      </c>
      <c r="AL68" s="3"/>
      <c r="AM68" s="6">
        <f>(F68/100)*AM$41</f>
      </c>
      <c r="AN68" s="6">
        <f>(G68/100)*AN$41</f>
      </c>
      <c r="AO68" s="6">
        <f>(H68/1000000)*AO$41</f>
      </c>
      <c r="AP68" s="6">
        <f>(I68/100)*AP$41</f>
      </c>
      <c r="AQ68" s="6">
        <f>(J68/1000000)*AQ$41</f>
      </c>
      <c r="AR68" s="6">
        <f>(K68/100)*AR$41</f>
      </c>
      <c r="AS68" s="6">
        <f>(L68/100)*AS$41</f>
      </c>
      <c r="AT68" s="6">
        <f>(M68/100)*AT$41</f>
      </c>
      <c r="AU68" s="6">
        <f>(N68/100)*AU$41</f>
      </c>
      <c r="AV68" s="6">
        <f>(O68/1000000)*AV$41</f>
      </c>
      <c r="AW68" s="6">
        <f>(P68/100)*AW$41</f>
      </c>
      <c r="AX68" s="6">
        <f>(Q68/100)*AX$41</f>
      </c>
      <c r="AY68" s="6">
        <f>(R68/100)*AY$41</f>
      </c>
      <c r="AZ68" s="6">
        <f>(S68/100)*AZ$41</f>
      </c>
      <c r="BA68" s="6">
        <f>(T68/100)*BA$41</f>
      </c>
      <c r="BB68" s="6">
        <f>(U68/100)*BB$41</f>
      </c>
      <c r="BC68" s="6"/>
      <c r="BD68" s="3"/>
      <c r="BE68" s="3"/>
      <c r="BF68" s="7">
        <f>AF68*E68</f>
      </c>
      <c r="BG68" s="6"/>
      <c r="BH68" s="3"/>
      <c r="BI68" s="6"/>
    </row>
    <row x14ac:dyDescent="0.25" r="69" customHeight="1" ht="12.75">
      <c r="A69" s="5" t="s">
        <v>571</v>
      </c>
      <c r="B69" s="3" t="s">
        <v>855</v>
      </c>
      <c r="C69" s="43" t="s">
        <v>856</v>
      </c>
      <c r="D69" s="34" t="s">
        <v>928</v>
      </c>
      <c r="E69" s="23">
        <v>9.1638</v>
      </c>
      <c r="F69" s="6">
        <v>0.7956011698203802</v>
      </c>
      <c r="G69" s="6">
        <v>2.3877367467644426</v>
      </c>
      <c r="H69" s="31">
        <v>115.53534559898732</v>
      </c>
      <c r="I69" s="6">
        <v>1.0886791505707238</v>
      </c>
      <c r="J69" s="6">
        <v>0.5183375892097165</v>
      </c>
      <c r="K69" s="7"/>
      <c r="L69" s="6"/>
      <c r="M69" s="6"/>
      <c r="N69" s="23"/>
      <c r="O69" s="5"/>
      <c r="P69" s="6"/>
      <c r="Q69" s="6"/>
      <c r="R69" s="6"/>
      <c r="S69" s="6"/>
      <c r="T69" s="6"/>
      <c r="U69" s="6"/>
      <c r="V69" s="5"/>
      <c r="W69" s="6"/>
      <c r="X69" s="6">
        <f>E69*F69/100</f>
      </c>
      <c r="Y69" s="6">
        <f>E69*G69/100</f>
      </c>
      <c r="Z69" s="7">
        <f>E69*H69</f>
      </c>
      <c r="AA69" s="7">
        <f>E69*J69</f>
      </c>
      <c r="AB69" s="6">
        <f>E69*I69/100</f>
      </c>
      <c r="AC69" s="15">
        <f>X69+Y69+AB69</f>
      </c>
      <c r="AD69" s="6">
        <f>F69+G69+I69</f>
      </c>
      <c r="AE69" s="3"/>
      <c r="AF69" s="6">
        <f>SUM(AM69:BC69)</f>
      </c>
      <c r="AG69" s="5">
        <f>IF(SUM(AM69:AO69)&gt;0.7*AF69,1,0)</f>
      </c>
      <c r="AH69" s="5">
        <f>IF(AN69&gt;0.4*AF69,1,0)</f>
      </c>
      <c r="AI69" s="5">
        <f>IF(SUM(AP69:AQ69)&gt;0.3*AF69,1,0)</f>
      </c>
      <c r="AJ69" s="5">
        <f>IF(AQ69&gt;0.2*AF69,1,0)</f>
      </c>
      <c r="AK69" s="5">
        <f>IF(SUM(AR69:BC69)&gt;0.3*AF69,1,0)</f>
      </c>
      <c r="AL69" s="3"/>
      <c r="AM69" s="6">
        <f>(F69/100)*AM$41</f>
      </c>
      <c r="AN69" s="6">
        <f>(G69/100)*AN$41</f>
      </c>
      <c r="AO69" s="6">
        <f>(H69/1000000)*AO$41</f>
      </c>
      <c r="AP69" s="6">
        <f>(I69/100)*AP$41</f>
      </c>
      <c r="AQ69" s="6">
        <f>(J69/1000000)*AQ$41</f>
      </c>
      <c r="AR69" s="6">
        <f>(K69/100)*AR$41</f>
      </c>
      <c r="AS69" s="6">
        <f>(L69/100)*AS$41</f>
      </c>
      <c r="AT69" s="6">
        <f>(M69/100)*AT$41</f>
      </c>
      <c r="AU69" s="6">
        <f>(N69/100)*AU$41</f>
      </c>
      <c r="AV69" s="6">
        <f>(O69/1000000)*AV$41</f>
      </c>
      <c r="AW69" s="6">
        <f>(P69/100)*AW$41</f>
      </c>
      <c r="AX69" s="6">
        <f>(Q69/100)*AX$41</f>
      </c>
      <c r="AY69" s="6">
        <f>(R69/100)*AY$41</f>
      </c>
      <c r="AZ69" s="6">
        <f>(S69/100)*AZ$41</f>
      </c>
      <c r="BA69" s="6">
        <f>(T69/100)*BA$41</f>
      </c>
      <c r="BB69" s="6">
        <f>(U69/100)*BB$41</f>
      </c>
      <c r="BC69" s="6"/>
      <c r="BD69" s="3"/>
      <c r="BE69" s="3"/>
      <c r="BF69" s="7">
        <f>AF69*E69</f>
      </c>
      <c r="BG69" s="6"/>
      <c r="BH69" s="3"/>
      <c r="BI69" s="6"/>
    </row>
    <row x14ac:dyDescent="0.25" r="70" customHeight="1" ht="12.75">
      <c r="A70" s="5" t="s">
        <v>367</v>
      </c>
      <c r="B70" s="3" t="s">
        <v>855</v>
      </c>
      <c r="C70" s="43" t="s">
        <v>856</v>
      </c>
      <c r="D70" s="34"/>
      <c r="E70" s="23">
        <v>4.005707999999999</v>
      </c>
      <c r="F70" s="6">
        <v>2.7111622190134685</v>
      </c>
      <c r="G70" s="6">
        <v>6.4935332380692765</v>
      </c>
      <c r="H70" s="31">
        <v>78.10484688349726</v>
      </c>
      <c r="I70" s="6">
        <v>0.3001564367647368</v>
      </c>
      <c r="J70" s="6">
        <v>0.04294285304869951</v>
      </c>
      <c r="K70" s="7"/>
      <c r="L70" s="6"/>
      <c r="M70" s="6"/>
      <c r="N70" s="23"/>
      <c r="O70" s="5"/>
      <c r="P70" s="6"/>
      <c r="Q70" s="6"/>
      <c r="R70" s="6"/>
      <c r="S70" s="6"/>
      <c r="T70" s="6"/>
      <c r="U70" s="6"/>
      <c r="V70" s="5"/>
      <c r="W70" s="6"/>
      <c r="X70" s="6">
        <f>E70*F70/100</f>
      </c>
      <c r="Y70" s="6">
        <f>E70*G70/100</f>
      </c>
      <c r="Z70" s="7">
        <f>E70*H70</f>
      </c>
      <c r="AA70" s="7">
        <f>E70*J70</f>
      </c>
      <c r="AB70" s="6">
        <f>E70*I70/100</f>
      </c>
      <c r="AC70" s="15">
        <f>X70+Y70+AB70</f>
      </c>
      <c r="AD70" s="6">
        <f>F70+G70+I70</f>
      </c>
      <c r="AE70" s="3"/>
      <c r="AF70" s="6">
        <f>SUM(AM70:BC70)</f>
      </c>
      <c r="AG70" s="5">
        <f>IF(SUM(AM70:AO70)&gt;0.7*AF70,1,0)</f>
      </c>
      <c r="AH70" s="5">
        <f>IF(AN70&gt;0.4*AF70,1,0)</f>
      </c>
      <c r="AI70" s="5">
        <f>IF(SUM(AP70:AQ70)&gt;0.3*AF70,1,0)</f>
      </c>
      <c r="AJ70" s="5">
        <f>IF(AQ70&gt;0.2*AF70,1,0)</f>
      </c>
      <c r="AK70" s="5">
        <f>IF(SUM(AR70:BC70)&gt;0.3*AF70,1,0)</f>
      </c>
      <c r="AL70" s="3"/>
      <c r="AM70" s="6">
        <f>(F70/100)*AM$41</f>
      </c>
      <c r="AN70" s="6">
        <f>(G70/100)*AN$41</f>
      </c>
      <c r="AO70" s="6">
        <f>(H70/1000000)*AO$41</f>
      </c>
      <c r="AP70" s="6">
        <f>(I70/100)*AP$41</f>
      </c>
      <c r="AQ70" s="6">
        <f>(J70/1000000)*AQ$41</f>
      </c>
      <c r="AR70" s="6">
        <f>(K70/100)*AR$41</f>
      </c>
      <c r="AS70" s="6">
        <f>(L70/100)*AS$41</f>
      </c>
      <c r="AT70" s="6">
        <f>(M70/100)*AT$41</f>
      </c>
      <c r="AU70" s="6">
        <f>(N70/100)*AU$41</f>
      </c>
      <c r="AV70" s="6">
        <f>(O70/1000000)*AV$41</f>
      </c>
      <c r="AW70" s="6">
        <f>(P70/100)*AW$41</f>
      </c>
      <c r="AX70" s="6">
        <f>(Q70/100)*AX$41</f>
      </c>
      <c r="AY70" s="6">
        <f>(R70/100)*AY$41</f>
      </c>
      <c r="AZ70" s="6">
        <f>(S70/100)*AZ$41</f>
      </c>
      <c r="BA70" s="6">
        <f>(T70/100)*BA$41</f>
      </c>
      <c r="BB70" s="6">
        <f>(U70/100)*BB$41</f>
      </c>
      <c r="BC70" s="6"/>
      <c r="BD70" s="3"/>
      <c r="BE70" s="3"/>
      <c r="BF70" s="7">
        <f>AF70*E70</f>
      </c>
      <c r="BG70" s="6"/>
      <c r="BH70" s="3"/>
      <c r="BI70" s="6"/>
    </row>
    <row x14ac:dyDescent="0.25" r="71" customHeight="1" ht="12.75">
      <c r="A71" s="5" t="s">
        <v>481</v>
      </c>
      <c r="B71" s="3" t="s">
        <v>855</v>
      </c>
      <c r="C71" s="43" t="s">
        <v>856</v>
      </c>
      <c r="D71" s="34" t="s">
        <v>928</v>
      </c>
      <c r="E71" s="6">
        <v>32.5</v>
      </c>
      <c r="F71" s="6">
        <v>0.38000000000000006</v>
      </c>
      <c r="G71" s="6">
        <v>0.7821538461538462</v>
      </c>
      <c r="H71" s="31">
        <v>112.21538461538462</v>
      </c>
      <c r="I71" s="6"/>
      <c r="J71" s="6"/>
      <c r="K71" s="7"/>
      <c r="L71" s="6"/>
      <c r="M71" s="6"/>
      <c r="N71" s="23"/>
      <c r="O71" s="5"/>
      <c r="P71" s="6"/>
      <c r="Q71" s="6"/>
      <c r="R71" s="6"/>
      <c r="S71" s="6"/>
      <c r="T71" s="6"/>
      <c r="U71" s="6"/>
      <c r="V71" s="5"/>
      <c r="W71" s="6"/>
      <c r="X71" s="6">
        <f>E71*F71/100</f>
      </c>
      <c r="Y71" s="6">
        <f>E71*G71/100</f>
      </c>
      <c r="Z71" s="7">
        <f>E71*H71</f>
      </c>
      <c r="AA71" s="7">
        <f>E71*J71</f>
      </c>
      <c r="AB71" s="6">
        <f>E71*I71/100</f>
      </c>
      <c r="AC71" s="15">
        <f>X71+Y71+AB71</f>
      </c>
      <c r="AD71" s="6">
        <f>F71+G71+I71</f>
      </c>
      <c r="AE71" s="3"/>
      <c r="AF71" s="6">
        <f>SUM(AM71:BC71)</f>
      </c>
      <c r="AG71" s="5">
        <f>IF(SUM(AM71:AO71)&gt;0.7*AF71,1,0)</f>
      </c>
      <c r="AH71" s="5">
        <f>IF(AN71&gt;0.4*AF71,1,0)</f>
      </c>
      <c r="AI71" s="5">
        <f>IF(SUM(AP71:AQ71)&gt;0.3*AF71,1,0)</f>
      </c>
      <c r="AJ71" s="5">
        <f>IF(AQ71&gt;0.2*AF71,1,0)</f>
      </c>
      <c r="AK71" s="5">
        <f>IF(SUM(AR71:BC71)&gt;0.3*AF71,1,0)</f>
      </c>
      <c r="AL71" s="3"/>
      <c r="AM71" s="6">
        <f>(F71/100)*AM$41</f>
      </c>
      <c r="AN71" s="6">
        <f>(G71/100)*AN$41</f>
      </c>
      <c r="AO71" s="6">
        <f>(H71/1000000)*AO$41</f>
      </c>
      <c r="AP71" s="6">
        <f>(I71/100)*AP$41</f>
      </c>
      <c r="AQ71" s="6">
        <f>(J71/1000000)*AQ$41</f>
      </c>
      <c r="AR71" s="6">
        <f>(K71/100)*AR$41</f>
      </c>
      <c r="AS71" s="6">
        <f>(L71/100)*AS$41</f>
      </c>
      <c r="AT71" s="6">
        <f>(M71/100)*AT$41</f>
      </c>
      <c r="AU71" s="6">
        <f>(N71/100)*AU$41</f>
      </c>
      <c r="AV71" s="6">
        <f>(O71/1000000)*AV$41</f>
      </c>
      <c r="AW71" s="6">
        <f>(P71/100)*AW$41</f>
      </c>
      <c r="AX71" s="6">
        <f>(Q71/100)*AX$41</f>
      </c>
      <c r="AY71" s="6">
        <f>(R71/100)*AY$41</f>
      </c>
      <c r="AZ71" s="6">
        <f>(S71/100)*AZ$41</f>
      </c>
      <c r="BA71" s="6">
        <f>(T71/100)*BA$41</f>
      </c>
      <c r="BB71" s="6">
        <f>(U71/100)*BB$41</f>
      </c>
      <c r="BC71" s="6"/>
      <c r="BD71" s="3"/>
      <c r="BE71" s="3"/>
      <c r="BF71" s="7">
        <f>AF71*E71</f>
      </c>
      <c r="BG71" s="6"/>
      <c r="BH71" s="3"/>
      <c r="BI71" s="6"/>
    </row>
    <row x14ac:dyDescent="0.25" r="72" customHeight="1" ht="12.75">
      <c r="A72" s="5" t="s">
        <v>449</v>
      </c>
      <c r="B72" s="3" t="s">
        <v>855</v>
      </c>
      <c r="C72" s="43" t="s">
        <v>856</v>
      </c>
      <c r="D72" s="34" t="s">
        <v>928</v>
      </c>
      <c r="E72" s="6">
        <v>11.5</v>
      </c>
      <c r="F72" s="6">
        <v>1.1724347826086956</v>
      </c>
      <c r="G72" s="6">
        <v>2.0458260869565215</v>
      </c>
      <c r="H72" s="31">
        <v>329.72173913043474</v>
      </c>
      <c r="I72" s="6"/>
      <c r="J72" s="6">
        <v>0.3577391304347826</v>
      </c>
      <c r="K72" s="7"/>
      <c r="L72" s="6"/>
      <c r="M72" s="6"/>
      <c r="N72" s="23"/>
      <c r="O72" s="5"/>
      <c r="P72" s="6"/>
      <c r="Q72" s="6"/>
      <c r="R72" s="6"/>
      <c r="S72" s="6"/>
      <c r="T72" s="6"/>
      <c r="U72" s="6"/>
      <c r="V72" s="5"/>
      <c r="W72" s="6"/>
      <c r="X72" s="6">
        <f>E72*F72/100</f>
      </c>
      <c r="Y72" s="6">
        <f>E72*G72/100</f>
      </c>
      <c r="Z72" s="7">
        <f>E72*H72</f>
      </c>
      <c r="AA72" s="7">
        <f>E72*J72</f>
      </c>
      <c r="AB72" s="6">
        <f>E72*I72/100</f>
      </c>
      <c r="AC72" s="15">
        <f>X72+Y72+AB72</f>
      </c>
      <c r="AD72" s="6">
        <f>F72+G72+I72</f>
      </c>
      <c r="AE72" s="3"/>
      <c r="AF72" s="6">
        <f>SUM(AM72:BC72)</f>
      </c>
      <c r="AG72" s="5">
        <f>IF(SUM(AM72:AO72)&gt;0.7*AF72,1,0)</f>
      </c>
      <c r="AH72" s="5">
        <f>IF(AN72&gt;0.4*AF72,1,0)</f>
      </c>
      <c r="AI72" s="5">
        <f>IF(SUM(AP72:AQ72)&gt;0.3*AF72,1,0)</f>
      </c>
      <c r="AJ72" s="5">
        <f>IF(AQ72&gt;0.2*AF72,1,0)</f>
      </c>
      <c r="AK72" s="5">
        <f>IF(SUM(AR72:BC72)&gt;0.3*AF72,1,0)</f>
      </c>
      <c r="AL72" s="3"/>
      <c r="AM72" s="6">
        <f>(F72/100)*AM$41</f>
      </c>
      <c r="AN72" s="6">
        <f>(G72/100)*AN$41</f>
      </c>
      <c r="AO72" s="6">
        <f>(H72/1000000)*AO$41</f>
      </c>
      <c r="AP72" s="6">
        <f>(I72/100)*AP$41</f>
      </c>
      <c r="AQ72" s="6">
        <f>(J72/1000000)*AQ$41</f>
      </c>
      <c r="AR72" s="6">
        <f>(K72/100)*AR$41</f>
      </c>
      <c r="AS72" s="6">
        <f>(L72/100)*AS$41</f>
      </c>
      <c r="AT72" s="6">
        <f>(M72/100)*AT$41</f>
      </c>
      <c r="AU72" s="6">
        <f>(N72/100)*AU$41</f>
      </c>
      <c r="AV72" s="6">
        <f>(O72/1000000)*AV$41</f>
      </c>
      <c r="AW72" s="6">
        <f>(P72/100)*AW$41</f>
      </c>
      <c r="AX72" s="6">
        <f>(Q72/100)*AX$41</f>
      </c>
      <c r="AY72" s="6">
        <f>(R72/100)*AY$41</f>
      </c>
      <c r="AZ72" s="6">
        <f>(S72/100)*AZ$41</f>
      </c>
      <c r="BA72" s="6">
        <f>(T72/100)*BA$41</f>
      </c>
      <c r="BB72" s="6">
        <f>(U72/100)*BB$41</f>
      </c>
      <c r="BC72" s="6"/>
      <c r="BD72" s="3"/>
      <c r="BE72" s="3"/>
      <c r="BF72" s="7">
        <f>AF72*E72</f>
      </c>
      <c r="BG72" s="6"/>
      <c r="BH72" s="3"/>
      <c r="BI72" s="6"/>
    </row>
    <row x14ac:dyDescent="0.25" r="73" customHeight="1" ht="12.75">
      <c r="A73" s="5" t="s">
        <v>667</v>
      </c>
      <c r="B73" s="3" t="s">
        <v>855</v>
      </c>
      <c r="C73" s="43" t="s">
        <v>856</v>
      </c>
      <c r="D73" s="34"/>
      <c r="E73" s="23">
        <v>18.4161</v>
      </c>
      <c r="F73" s="6">
        <v>0.68</v>
      </c>
      <c r="G73" s="6">
        <v>1.16</v>
      </c>
      <c r="H73" s="6">
        <v>43.04</v>
      </c>
      <c r="I73" s="6"/>
      <c r="J73" s="6"/>
      <c r="K73" s="7"/>
      <c r="L73" s="6"/>
      <c r="M73" s="6"/>
      <c r="N73" s="23"/>
      <c r="O73" s="5"/>
      <c r="P73" s="6"/>
      <c r="Q73" s="6"/>
      <c r="R73" s="6"/>
      <c r="S73" s="6"/>
      <c r="T73" s="6"/>
      <c r="U73" s="6"/>
      <c r="V73" s="5"/>
      <c r="W73" s="6"/>
      <c r="X73" s="6">
        <f>E73*F73/100</f>
      </c>
      <c r="Y73" s="6">
        <f>E73*G73/100</f>
      </c>
      <c r="Z73" s="7">
        <f>E73*H73</f>
      </c>
      <c r="AA73" s="7">
        <f>E73*J73</f>
      </c>
      <c r="AB73" s="6">
        <f>E73*I73/100</f>
      </c>
      <c r="AC73" s="15">
        <f>X73+Y73+AB73</f>
      </c>
      <c r="AD73" s="6">
        <f>F73+G73+I73</f>
      </c>
      <c r="AE73" s="3"/>
      <c r="AF73" s="6">
        <f>SUM(AM73:BC73)</f>
      </c>
      <c r="AG73" s="5">
        <f>IF(SUM(AM73:AO73)&gt;0.7*AF73,1,0)</f>
      </c>
      <c r="AH73" s="5">
        <f>IF(AN73&gt;0.4*AF73,1,0)</f>
      </c>
      <c r="AI73" s="5">
        <f>IF(SUM(AP73:AQ73)&gt;0.3*AF73,1,0)</f>
      </c>
      <c r="AJ73" s="5">
        <f>IF(AQ73&gt;0.2*AF73,1,0)</f>
      </c>
      <c r="AK73" s="5">
        <f>IF(SUM(AR73:BC73)&gt;0.3*AF73,1,0)</f>
      </c>
      <c r="AL73" s="3"/>
      <c r="AM73" s="6">
        <f>(F73/100)*AM$41</f>
      </c>
      <c r="AN73" s="6">
        <f>(G73/100)*AN$41</f>
      </c>
      <c r="AO73" s="6">
        <f>(H73/1000000)*AO$41</f>
      </c>
      <c r="AP73" s="6">
        <f>(I73/100)*AP$41</f>
      </c>
      <c r="AQ73" s="6">
        <f>(J73/1000000)*AQ$41</f>
      </c>
      <c r="AR73" s="6">
        <f>(K73/100)*AR$41</f>
      </c>
      <c r="AS73" s="6">
        <f>(L73/100)*AS$41</f>
      </c>
      <c r="AT73" s="6">
        <f>(M73/100)*AT$41</f>
      </c>
      <c r="AU73" s="6">
        <f>(N73/100)*AU$41</f>
      </c>
      <c r="AV73" s="6">
        <f>(O73/1000000)*AV$41</f>
      </c>
      <c r="AW73" s="6">
        <f>(P73/100)*AW$41</f>
      </c>
      <c r="AX73" s="6">
        <f>(Q73/100)*AX$41</f>
      </c>
      <c r="AY73" s="6">
        <f>(R73/100)*AY$41</f>
      </c>
      <c r="AZ73" s="6">
        <f>(S73/100)*AZ$41</f>
      </c>
      <c r="BA73" s="6">
        <f>(T73/100)*BA$41</f>
      </c>
      <c r="BB73" s="6">
        <f>(U73/100)*BB$41</f>
      </c>
      <c r="BC73" s="6"/>
      <c r="BD73" s="3"/>
      <c r="BE73" s="3"/>
      <c r="BF73" s="7">
        <f>AF73*E73</f>
      </c>
      <c r="BG73" s="6"/>
      <c r="BH73" s="3"/>
      <c r="BI73" s="6"/>
    </row>
    <row x14ac:dyDescent="0.25" r="74" customHeight="1" ht="12.75">
      <c r="A74" s="5" t="s">
        <v>654</v>
      </c>
      <c r="B74" s="3" t="s">
        <v>855</v>
      </c>
      <c r="C74" s="43" t="s">
        <v>856</v>
      </c>
      <c r="D74" s="34" t="s">
        <v>928</v>
      </c>
      <c r="E74" s="6">
        <v>5.6000000000000005</v>
      </c>
      <c r="F74" s="7">
        <v>1.5101785714285714</v>
      </c>
      <c r="G74" s="7">
        <v>4.36875</v>
      </c>
      <c r="H74" s="31">
        <v>93.1267857142857</v>
      </c>
      <c r="I74" s="6"/>
      <c r="J74" s="7">
        <v>0.21910714285714286</v>
      </c>
      <c r="K74" s="7"/>
      <c r="L74" s="6"/>
      <c r="M74" s="6"/>
      <c r="N74" s="23"/>
      <c r="O74" s="5"/>
      <c r="P74" s="6"/>
      <c r="Q74" s="6"/>
      <c r="R74" s="6"/>
      <c r="S74" s="6"/>
      <c r="T74" s="6"/>
      <c r="U74" s="6"/>
      <c r="V74" s="5"/>
      <c r="W74" s="6"/>
      <c r="X74" s="6">
        <f>E74*F74/100</f>
      </c>
      <c r="Y74" s="6">
        <f>E74*G74/100</f>
      </c>
      <c r="Z74" s="7">
        <f>E74*H74</f>
      </c>
      <c r="AA74" s="7">
        <f>E74*J74</f>
      </c>
      <c r="AB74" s="6">
        <f>E74*I74/100</f>
      </c>
      <c r="AC74" s="15">
        <f>X74+Y74+AB74</f>
      </c>
      <c r="AD74" s="6">
        <f>F74+G74+I74</f>
      </c>
      <c r="AE74" s="3"/>
      <c r="AF74" s="6">
        <f>SUM(AM74:BC74)</f>
      </c>
      <c r="AG74" s="5">
        <f>IF(SUM(AM74:AO74)&gt;0.7*AF74,1,0)</f>
      </c>
      <c r="AH74" s="5">
        <f>IF(AN74&gt;0.4*AF74,1,0)</f>
      </c>
      <c r="AI74" s="5">
        <f>IF(SUM(AP74:AQ74)&gt;0.3*AF74,1,0)</f>
      </c>
      <c r="AJ74" s="5">
        <f>IF(AQ74&gt;0.2*AF74,1,0)</f>
      </c>
      <c r="AK74" s="5">
        <f>IF(SUM(AR74:BC74)&gt;0.3*AF74,1,0)</f>
      </c>
      <c r="AL74" s="3"/>
      <c r="AM74" s="6">
        <f>(F74/100)*AM$41</f>
      </c>
      <c r="AN74" s="6">
        <f>(G74/100)*AN$41</f>
      </c>
      <c r="AO74" s="6">
        <f>(H74/1000000)*AO$41</f>
      </c>
      <c r="AP74" s="6">
        <f>(I74/100)*AP$41</f>
      </c>
      <c r="AQ74" s="6">
        <f>(J74/1000000)*AQ$41</f>
      </c>
      <c r="AR74" s="6">
        <f>(K74/100)*AR$41</f>
      </c>
      <c r="AS74" s="6">
        <f>(L74/100)*AS$41</f>
      </c>
      <c r="AT74" s="6">
        <f>(M74/100)*AT$41</f>
      </c>
      <c r="AU74" s="6">
        <f>(N74/100)*AU$41</f>
      </c>
      <c r="AV74" s="6">
        <f>(O74/1000000)*AV$41</f>
      </c>
      <c r="AW74" s="6">
        <f>(P74/100)*AW$41</f>
      </c>
      <c r="AX74" s="6">
        <f>(Q74/100)*AX$41</f>
      </c>
      <c r="AY74" s="6">
        <f>(R74/100)*AY$41</f>
      </c>
      <c r="AZ74" s="6">
        <f>(S74/100)*AZ$41</f>
      </c>
      <c r="BA74" s="6">
        <f>(T74/100)*BA$41</f>
      </c>
      <c r="BB74" s="6">
        <f>(U74/100)*BB$41</f>
      </c>
      <c r="BC74" s="6"/>
      <c r="BD74" s="3"/>
      <c r="BE74" s="3"/>
      <c r="BF74" s="7">
        <f>AF74*E74</f>
      </c>
      <c r="BG74" s="6"/>
      <c r="BH74" s="3"/>
      <c r="BI74" s="6"/>
    </row>
    <row x14ac:dyDescent="0.25" r="75" customHeight="1" ht="12.75">
      <c r="A75" s="5" t="s">
        <v>528</v>
      </c>
      <c r="B75" s="3" t="s">
        <v>855</v>
      </c>
      <c r="C75" s="43" t="s">
        <v>856</v>
      </c>
      <c r="D75" s="34" t="s">
        <v>929</v>
      </c>
      <c r="E75" s="6">
        <v>13.399999999999999</v>
      </c>
      <c r="F75" s="7">
        <v>0.12089552238805973</v>
      </c>
      <c r="G75" s="6">
        <v>1.7435820895522391</v>
      </c>
      <c r="H75" s="7">
        <v>42.985373134328356</v>
      </c>
      <c r="I75" s="6">
        <v>0.4137313432835821</v>
      </c>
      <c r="J75" s="7">
        <v>2.3626865671641792</v>
      </c>
      <c r="K75" s="7"/>
      <c r="L75" s="6"/>
      <c r="M75" s="6"/>
      <c r="N75" s="23"/>
      <c r="O75" s="5"/>
      <c r="P75" s="6"/>
      <c r="Q75" s="6"/>
      <c r="R75" s="6"/>
      <c r="S75" s="6"/>
      <c r="T75" s="6"/>
      <c r="U75" s="6"/>
      <c r="V75" s="5"/>
      <c r="W75" s="6"/>
      <c r="X75" s="6">
        <f>E75*F75/100</f>
      </c>
      <c r="Y75" s="6">
        <f>E75*G75/100</f>
      </c>
      <c r="Z75" s="7">
        <f>E75*H75</f>
      </c>
      <c r="AA75" s="7">
        <f>E75*J75</f>
      </c>
      <c r="AB75" s="6">
        <f>E75*I75/100</f>
      </c>
      <c r="AC75" s="15">
        <f>X75+Y75+AB75</f>
      </c>
      <c r="AD75" s="6">
        <f>F75+G75+I75</f>
      </c>
      <c r="AE75" s="3"/>
      <c r="AF75" s="6">
        <f>SUM(AM75:BC75)</f>
      </c>
      <c r="AG75" s="5">
        <f>IF(SUM(AM75:AO75)&gt;0.7*AF75,1,0)</f>
      </c>
      <c r="AH75" s="5">
        <f>IF(AN75&gt;0.4*AF75,1,0)</f>
      </c>
      <c r="AI75" s="5">
        <f>IF(SUM(AP75:AQ75)&gt;0.3*AF75,1,0)</f>
      </c>
      <c r="AJ75" s="5">
        <f>IF(AQ75&gt;0.2*AF75,1,0)</f>
      </c>
      <c r="AK75" s="5">
        <f>IF(SUM(AR75:BC75)&gt;0.3*AF75,1,0)</f>
      </c>
      <c r="AL75" s="3"/>
      <c r="AM75" s="6">
        <f>(F75/100)*AM$41</f>
      </c>
      <c r="AN75" s="6">
        <f>(G75/100)*AN$41</f>
      </c>
      <c r="AO75" s="6">
        <f>(H75/1000000)*AO$41</f>
      </c>
      <c r="AP75" s="6">
        <f>(I75/100)*AP$41</f>
      </c>
      <c r="AQ75" s="6">
        <f>(J75/1000000)*AQ$41</f>
      </c>
      <c r="AR75" s="6">
        <f>(K75/100)*AR$41</f>
      </c>
      <c r="AS75" s="6">
        <f>(L75/100)*AS$41</f>
      </c>
      <c r="AT75" s="6">
        <f>(M75/100)*AT$41</f>
      </c>
      <c r="AU75" s="6">
        <f>(N75/100)*AU$41</f>
      </c>
      <c r="AV75" s="6">
        <f>(O75/1000000)*AV$41</f>
      </c>
      <c r="AW75" s="6">
        <f>(P75/100)*AW$41</f>
      </c>
      <c r="AX75" s="6">
        <f>(Q75/100)*AX$41</f>
      </c>
      <c r="AY75" s="6">
        <f>(R75/100)*AY$41</f>
      </c>
      <c r="AZ75" s="6">
        <f>(S75/100)*AZ$41</f>
      </c>
      <c r="BA75" s="6">
        <f>(T75/100)*BA$41</f>
      </c>
      <c r="BB75" s="6">
        <f>(U75/100)*BB$41</f>
      </c>
      <c r="BC75" s="6"/>
      <c r="BD75" s="3"/>
      <c r="BE75" s="3"/>
      <c r="BF75" s="7">
        <f>AF75*E75</f>
      </c>
      <c r="BG75" s="6"/>
      <c r="BH75" s="3"/>
      <c r="BI75" s="6"/>
    </row>
    <row x14ac:dyDescent="0.25" r="76" customHeight="1" ht="12.75">
      <c r="A76" s="5" t="s">
        <v>682</v>
      </c>
      <c r="B76" s="3" t="s">
        <v>855</v>
      </c>
      <c r="C76" s="43" t="s">
        <v>856</v>
      </c>
      <c r="D76" s="34" t="s">
        <v>935</v>
      </c>
      <c r="E76" s="6">
        <v>6.636</v>
      </c>
      <c r="F76" s="6">
        <v>0.438</v>
      </c>
      <c r="G76" s="6">
        <v>2.63</v>
      </c>
      <c r="H76" s="7"/>
      <c r="I76" s="6">
        <v>1.39</v>
      </c>
      <c r="J76" s="6"/>
      <c r="K76" s="7"/>
      <c r="L76" s="6"/>
      <c r="M76" s="6"/>
      <c r="N76" s="23"/>
      <c r="O76" s="5"/>
      <c r="P76" s="6"/>
      <c r="Q76" s="6"/>
      <c r="R76" s="6"/>
      <c r="S76" s="6"/>
      <c r="T76" s="6"/>
      <c r="U76" s="6"/>
      <c r="V76" s="5"/>
      <c r="W76" s="6"/>
      <c r="X76" s="6">
        <f>E76*F76/100</f>
      </c>
      <c r="Y76" s="6">
        <f>E76*G76/100</f>
      </c>
      <c r="Z76" s="7">
        <f>E76*H76</f>
      </c>
      <c r="AA76" s="7">
        <f>E76*J76</f>
      </c>
      <c r="AB76" s="6">
        <f>E76*I76/100</f>
      </c>
      <c r="AC76" s="15">
        <f>X76+Y76+AB76</f>
      </c>
      <c r="AD76" s="6">
        <f>F76+G76+I76</f>
      </c>
      <c r="AE76" s="3"/>
      <c r="AF76" s="6">
        <f>SUM(AM76:BC76)</f>
      </c>
      <c r="AG76" s="5">
        <f>IF(SUM(AM76:AO76)&gt;0.7*AF76,1,0)</f>
      </c>
      <c r="AH76" s="5">
        <f>IF(AN76&gt;0.4*AF76,1,0)</f>
      </c>
      <c r="AI76" s="5">
        <f>IF(SUM(AP76:AQ76)&gt;0.3*AF76,1,0)</f>
      </c>
      <c r="AJ76" s="5">
        <f>IF(AQ76&gt;0.2*AF76,1,0)</f>
      </c>
      <c r="AK76" s="5">
        <f>IF(SUM(AR76:BC76)&gt;0.3*AF76,1,0)</f>
      </c>
      <c r="AL76" s="3"/>
      <c r="AM76" s="6">
        <f>(F76/100)*AM$41</f>
      </c>
      <c r="AN76" s="6">
        <f>(G76/100)*AN$41</f>
      </c>
      <c r="AO76" s="6">
        <f>(H76/1000000)*AO$41</f>
      </c>
      <c r="AP76" s="6">
        <f>(I76/100)*AP$41</f>
      </c>
      <c r="AQ76" s="6">
        <f>(J76/1000000)*AQ$41</f>
      </c>
      <c r="AR76" s="6">
        <f>(K76/100)*AR$41</f>
      </c>
      <c r="AS76" s="6">
        <f>(L76/100)*AS$41</f>
      </c>
      <c r="AT76" s="6">
        <f>(M76/100)*AT$41</f>
      </c>
      <c r="AU76" s="6">
        <f>(N76/100)*AU$41</f>
      </c>
      <c r="AV76" s="6">
        <f>(O76/1000000)*AV$41</f>
      </c>
      <c r="AW76" s="6">
        <f>(P76/100)*AW$41</f>
      </c>
      <c r="AX76" s="6">
        <f>(Q76/100)*AX$41</f>
      </c>
      <c r="AY76" s="6">
        <f>(R76/100)*AY$41</f>
      </c>
      <c r="AZ76" s="6">
        <f>(S76/100)*AZ$41</f>
      </c>
      <c r="BA76" s="6">
        <f>(T76/100)*BA$41</f>
      </c>
      <c r="BB76" s="6">
        <f>(U76/100)*BB$41</f>
      </c>
      <c r="BC76" s="6"/>
      <c r="BD76" s="3"/>
      <c r="BE76" s="3"/>
      <c r="BF76" s="7">
        <f>AF76*E76</f>
      </c>
      <c r="BG76" s="6"/>
      <c r="BH76" s="3"/>
      <c r="BI76" s="6"/>
    </row>
    <row x14ac:dyDescent="0.25" r="77" customHeight="1" ht="12.75">
      <c r="A77" s="5" t="s">
        <v>315</v>
      </c>
      <c r="B77" s="3" t="s">
        <v>855</v>
      </c>
      <c r="C77" s="43" t="s">
        <v>856</v>
      </c>
      <c r="D77" s="34"/>
      <c r="E77" s="6">
        <v>4.48</v>
      </c>
      <c r="F77" s="7">
        <v>1.1999999999999997</v>
      </c>
      <c r="G77" s="7">
        <v>4.1</v>
      </c>
      <c r="H77" s="31">
        <v>210.3303571428571</v>
      </c>
      <c r="I77" s="6">
        <v>0.3203303571428571</v>
      </c>
      <c r="J77" s="7">
        <v>2.11625</v>
      </c>
      <c r="K77" s="7"/>
      <c r="L77" s="6"/>
      <c r="M77" s="6"/>
      <c r="N77" s="23"/>
      <c r="O77" s="5"/>
      <c r="P77" s="6"/>
      <c r="Q77" s="6"/>
      <c r="R77" s="6"/>
      <c r="S77" s="6"/>
      <c r="T77" s="6"/>
      <c r="U77" s="6"/>
      <c r="V77" s="5"/>
      <c r="W77" s="6"/>
      <c r="X77" s="6">
        <f>E77*F77/100</f>
      </c>
      <c r="Y77" s="6">
        <f>E77*G77/100</f>
      </c>
      <c r="Z77" s="7">
        <f>E77*H77</f>
      </c>
      <c r="AA77" s="7">
        <f>E77*J77</f>
      </c>
      <c r="AB77" s="6">
        <f>E77*I77/100</f>
      </c>
      <c r="AC77" s="15">
        <f>X77+Y77+AB77</f>
      </c>
      <c r="AD77" s="6">
        <f>F77+G77+I77</f>
      </c>
      <c r="AE77" s="3"/>
      <c r="AF77" s="6">
        <f>SUM(AM77:BC77)</f>
      </c>
      <c r="AG77" s="5">
        <f>IF(SUM(AM77:AO77)&gt;0.7*AF77,1,0)</f>
      </c>
      <c r="AH77" s="5">
        <f>IF(AN77&gt;0.4*AF77,1,0)</f>
      </c>
      <c r="AI77" s="5">
        <f>IF(SUM(AP77:AQ77)&gt;0.3*AF77,1,0)</f>
      </c>
      <c r="AJ77" s="5">
        <f>IF(AQ77&gt;0.2*AF77,1,0)</f>
      </c>
      <c r="AK77" s="5">
        <f>IF(SUM(AR77:BC77)&gt;0.3*AF77,1,0)</f>
      </c>
      <c r="AL77" s="3"/>
      <c r="AM77" s="6">
        <f>(F77/100)*AM$41</f>
      </c>
      <c r="AN77" s="6">
        <f>(G77/100)*AN$41</f>
      </c>
      <c r="AO77" s="6">
        <f>(H77/1000000)*AO$41</f>
      </c>
      <c r="AP77" s="6">
        <f>(I77/100)*AP$41</f>
      </c>
      <c r="AQ77" s="6">
        <f>(J77/1000000)*AQ$41</f>
      </c>
      <c r="AR77" s="6">
        <f>(K77/100)*AR$41</f>
      </c>
      <c r="AS77" s="6">
        <f>(L77/100)*AS$41</f>
      </c>
      <c r="AT77" s="6">
        <f>(M77/100)*AT$41</f>
      </c>
      <c r="AU77" s="6">
        <f>(N77/100)*AU$41</f>
      </c>
      <c r="AV77" s="6">
        <f>(O77/1000000)*AV$41</f>
      </c>
      <c r="AW77" s="6">
        <f>(P77/100)*AW$41</f>
      </c>
      <c r="AX77" s="6">
        <f>(Q77/100)*AX$41</f>
      </c>
      <c r="AY77" s="6">
        <f>(R77/100)*AY$41</f>
      </c>
      <c r="AZ77" s="6">
        <f>(S77/100)*AZ$41</f>
      </c>
      <c r="BA77" s="6">
        <f>(T77/100)*BA$41</f>
      </c>
      <c r="BB77" s="6">
        <f>(U77/100)*BB$41</f>
      </c>
      <c r="BC77" s="6"/>
      <c r="BD77" s="3"/>
      <c r="BE77" s="3"/>
      <c r="BF77" s="7">
        <f>AF77*E77</f>
      </c>
      <c r="BG77" s="6"/>
      <c r="BH77" s="3"/>
      <c r="BI77" s="6"/>
    </row>
    <row x14ac:dyDescent="0.25" r="78" customHeight="1" ht="12.75">
      <c r="A78" s="5" t="s">
        <v>417</v>
      </c>
      <c r="B78" s="3" t="s">
        <v>855</v>
      </c>
      <c r="C78" s="43" t="s">
        <v>856</v>
      </c>
      <c r="D78" s="34"/>
      <c r="E78" s="6">
        <v>2.851</v>
      </c>
      <c r="F78" s="6">
        <v>2.24</v>
      </c>
      <c r="G78" s="6">
        <v>6.47</v>
      </c>
      <c r="H78" s="6">
        <v>15.4</v>
      </c>
      <c r="I78" s="6"/>
      <c r="J78" s="6"/>
      <c r="K78" s="7"/>
      <c r="L78" s="6"/>
      <c r="M78" s="6"/>
      <c r="N78" s="23"/>
      <c r="O78" s="5"/>
      <c r="P78" s="6"/>
      <c r="Q78" s="6"/>
      <c r="R78" s="6"/>
      <c r="S78" s="6"/>
      <c r="T78" s="6"/>
      <c r="U78" s="6"/>
      <c r="V78" s="6">
        <v>0.02</v>
      </c>
      <c r="W78" s="6" t="s">
        <v>932</v>
      </c>
      <c r="X78" s="6">
        <f>E78*F78/100</f>
      </c>
      <c r="Y78" s="6">
        <f>E78*G78/100</f>
      </c>
      <c r="Z78" s="7">
        <f>E78*H78</f>
      </c>
      <c r="AA78" s="7">
        <f>E78*J78</f>
      </c>
      <c r="AB78" s="6">
        <f>E78*I78/100</f>
      </c>
      <c r="AC78" s="15">
        <f>X78+Y78+AB78</f>
      </c>
      <c r="AD78" s="6">
        <f>F78+G78+I78</f>
      </c>
      <c r="AE78" s="3"/>
      <c r="AF78" s="6">
        <f>SUM(AM78:BC78)</f>
      </c>
      <c r="AG78" s="5">
        <f>IF(SUM(AM78:AO78)&gt;0.7*AF78,1,0)</f>
      </c>
      <c r="AH78" s="5">
        <f>IF(AN78&gt;0.4*AF78,1,0)</f>
      </c>
      <c r="AI78" s="5">
        <f>IF(SUM(AP78:AQ78)&gt;0.3*AF78,1,0)</f>
      </c>
      <c r="AJ78" s="5">
        <f>IF(AQ78&gt;0.2*AF78,1,0)</f>
      </c>
      <c r="AK78" s="5">
        <f>IF(SUM(AR78:BC78)&gt;0.3*AF78,1,0)</f>
      </c>
      <c r="AL78" s="3"/>
      <c r="AM78" s="6">
        <f>(F78/100)*AM$41</f>
      </c>
      <c r="AN78" s="6">
        <f>(G78/100)*AN$41</f>
      </c>
      <c r="AO78" s="6">
        <f>(H78/1000000)*AO$41</f>
      </c>
      <c r="AP78" s="6">
        <f>(I78/100)*AP$41</f>
      </c>
      <c r="AQ78" s="6">
        <f>(J78/1000000)*AQ$41</f>
      </c>
      <c r="AR78" s="6">
        <f>(K78/100)*AR$41</f>
      </c>
      <c r="AS78" s="6">
        <f>(L78/100)*AS$41</f>
      </c>
      <c r="AT78" s="6">
        <f>(M78/100)*AT$41</f>
      </c>
      <c r="AU78" s="6">
        <f>(N78/100)*AU$41</f>
      </c>
      <c r="AV78" s="6">
        <f>(O78/1000000)*AV$41</f>
      </c>
      <c r="AW78" s="6">
        <f>(P78/100)*AW$41</f>
      </c>
      <c r="AX78" s="6">
        <f>(Q78/100)*AX$41</f>
      </c>
      <c r="AY78" s="6">
        <f>(R78/100)*AY$41</f>
      </c>
      <c r="AZ78" s="6">
        <f>(S78/100)*AZ$41</f>
      </c>
      <c r="BA78" s="6">
        <f>(T78/100)*BA$41</f>
      </c>
      <c r="BB78" s="6">
        <f>(U78/100)*BB$41</f>
      </c>
      <c r="BC78" s="6">
        <f>(V78/100)*1940</f>
      </c>
      <c r="BD78" s="3" t="s">
        <v>933</v>
      </c>
      <c r="BE78" s="3"/>
      <c r="BF78" s="7">
        <f>AF78*E78</f>
      </c>
      <c r="BG78" s="6"/>
      <c r="BH78" s="3"/>
      <c r="BI78" s="6"/>
    </row>
    <row x14ac:dyDescent="0.25" r="79" customHeight="1" ht="12.75">
      <c r="A79" s="5" t="s">
        <v>425</v>
      </c>
      <c r="B79" s="3" t="s">
        <v>855</v>
      </c>
      <c r="C79" s="43" t="s">
        <v>856</v>
      </c>
      <c r="D79" s="34" t="s">
        <v>929</v>
      </c>
      <c r="E79" s="23">
        <v>27.265</v>
      </c>
      <c r="F79" s="6">
        <v>0.22907720520814231</v>
      </c>
      <c r="G79" s="6">
        <v>0.6353570511644966</v>
      </c>
      <c r="H79" s="31">
        <v>179.1181734824867</v>
      </c>
      <c r="I79" s="6"/>
      <c r="J79" s="6">
        <v>0.2255209976159912</v>
      </c>
      <c r="K79" s="7"/>
      <c r="L79" s="6"/>
      <c r="M79" s="6"/>
      <c r="N79" s="23"/>
      <c r="O79" s="5"/>
      <c r="P79" s="6"/>
      <c r="Q79" s="6"/>
      <c r="R79" s="6"/>
      <c r="S79" s="6"/>
      <c r="T79" s="6"/>
      <c r="U79" s="6"/>
      <c r="V79" s="5"/>
      <c r="W79" s="6"/>
      <c r="X79" s="6">
        <f>E79*F79/100</f>
      </c>
      <c r="Y79" s="6">
        <f>E79*G79/100</f>
      </c>
      <c r="Z79" s="7">
        <f>E79*H79</f>
      </c>
      <c r="AA79" s="7">
        <f>E79*J79</f>
      </c>
      <c r="AB79" s="6">
        <f>E79*I79/100</f>
      </c>
      <c r="AC79" s="15">
        <f>X79+Y79+AB79</f>
      </c>
      <c r="AD79" s="6">
        <f>F79+G79+I79</f>
      </c>
      <c r="AE79" s="3"/>
      <c r="AF79" s="6">
        <f>SUM(AM79:BC79)</f>
      </c>
      <c r="AG79" s="5">
        <f>IF(SUM(AM79:AO79)&gt;0.7*AF79,1,0)</f>
      </c>
      <c r="AH79" s="5">
        <f>IF(AN79&gt;0.4*AF79,1,0)</f>
      </c>
      <c r="AI79" s="5">
        <f>IF(SUM(AP79:AQ79)&gt;0.3*AF79,1,0)</f>
      </c>
      <c r="AJ79" s="5">
        <f>IF(AQ79&gt;0.2*AF79,1,0)</f>
      </c>
      <c r="AK79" s="5">
        <f>IF(SUM(AR79:BC79)&gt;0.3*AF79,1,0)</f>
      </c>
      <c r="AL79" s="3"/>
      <c r="AM79" s="6">
        <f>(F79/100)*AM$41</f>
      </c>
      <c r="AN79" s="6">
        <f>(G79/100)*AN$41</f>
      </c>
      <c r="AO79" s="6">
        <f>(H79/1000000)*AO$41</f>
      </c>
      <c r="AP79" s="6">
        <f>(I79/100)*AP$41</f>
      </c>
      <c r="AQ79" s="6">
        <f>(J79/1000000)*AQ$41</f>
      </c>
      <c r="AR79" s="6">
        <f>(K79/100)*AR$41</f>
      </c>
      <c r="AS79" s="6">
        <f>(L79/100)*AS$41</f>
      </c>
      <c r="AT79" s="6">
        <f>(M79/100)*AT$41</f>
      </c>
      <c r="AU79" s="6">
        <f>(N79/100)*AU$41</f>
      </c>
      <c r="AV79" s="6">
        <f>(O79/1000000)*AV$41</f>
      </c>
      <c r="AW79" s="6">
        <f>(P79/100)*AW$41</f>
      </c>
      <c r="AX79" s="6">
        <f>(Q79/100)*AX$41</f>
      </c>
      <c r="AY79" s="6">
        <f>(R79/100)*AY$41</f>
      </c>
      <c r="AZ79" s="6">
        <f>(S79/100)*AZ$41</f>
      </c>
      <c r="BA79" s="6">
        <f>(T79/100)*BA$41</f>
      </c>
      <c r="BB79" s="6">
        <f>(U79/100)*BB$41</f>
      </c>
      <c r="BC79" s="6"/>
      <c r="BD79" s="3"/>
      <c r="BE79" s="3"/>
      <c r="BF79" s="7">
        <f>AF79*E79</f>
      </c>
      <c r="BG79" s="6"/>
      <c r="BH79" s="3"/>
      <c r="BI79" s="6"/>
    </row>
    <row x14ac:dyDescent="0.25" r="80" customHeight="1" ht="12.75">
      <c r="A80" s="5" t="s">
        <v>517</v>
      </c>
      <c r="B80" s="3" t="s">
        <v>855</v>
      </c>
      <c r="C80" s="43" t="s">
        <v>856</v>
      </c>
      <c r="D80" s="34"/>
      <c r="E80" s="6">
        <v>57.963</v>
      </c>
      <c r="F80" s="6">
        <v>0.14655002329071995</v>
      </c>
      <c r="G80" s="6">
        <v>0.2370313648361886</v>
      </c>
      <c r="H80" s="7">
        <v>31.458146403740322</v>
      </c>
      <c r="I80" s="6"/>
      <c r="J80" s="6">
        <v>0.4625505408622742</v>
      </c>
      <c r="K80" s="7"/>
      <c r="L80" s="6"/>
      <c r="M80" s="6"/>
      <c r="N80" s="23"/>
      <c r="O80" s="5"/>
      <c r="P80" s="6"/>
      <c r="Q80" s="6"/>
      <c r="R80" s="6"/>
      <c r="S80" s="6"/>
      <c r="T80" s="6"/>
      <c r="U80" s="6"/>
      <c r="V80" s="5"/>
      <c r="W80" s="6"/>
      <c r="X80" s="6">
        <f>E80*F80/100</f>
      </c>
      <c r="Y80" s="6">
        <f>E80*G80/100</f>
      </c>
      <c r="Z80" s="7">
        <f>E80*H80</f>
      </c>
      <c r="AA80" s="7">
        <f>E80*J80</f>
      </c>
      <c r="AB80" s="6">
        <f>E80*I80/100</f>
      </c>
      <c r="AC80" s="15">
        <f>X80+Y80+AB80</f>
      </c>
      <c r="AD80" s="6">
        <f>F80+G80+I80</f>
      </c>
      <c r="AE80" s="3"/>
      <c r="AF80" s="6">
        <f>SUM(AM80:BC80)</f>
      </c>
      <c r="AG80" s="5">
        <f>IF(SUM(AM80:AO80)&gt;0.7*AF80,1,0)</f>
      </c>
      <c r="AH80" s="5">
        <f>IF(AN80&gt;0.4*AF80,1,0)</f>
      </c>
      <c r="AI80" s="5">
        <f>IF(SUM(AP80:AQ80)&gt;0.3*AF80,1,0)</f>
      </c>
      <c r="AJ80" s="5">
        <f>IF(AQ80&gt;0.2*AF80,1,0)</f>
      </c>
      <c r="AK80" s="5">
        <f>IF(SUM(AR80:BC80)&gt;0.3*AF80,1,0)</f>
      </c>
      <c r="AL80" s="3"/>
      <c r="AM80" s="6">
        <f>(F80/100)*AM$41</f>
      </c>
      <c r="AN80" s="6">
        <f>(G80/100)*AN$41</f>
      </c>
      <c r="AO80" s="6">
        <f>(H80/1000000)*AO$41</f>
      </c>
      <c r="AP80" s="6">
        <f>(I80/100)*AP$41</f>
      </c>
      <c r="AQ80" s="6">
        <f>(J80/1000000)*AQ$41</f>
      </c>
      <c r="AR80" s="6">
        <f>(K80/100)*AR$41</f>
      </c>
      <c r="AS80" s="6">
        <f>(L80/100)*AS$41</f>
      </c>
      <c r="AT80" s="6">
        <f>(M80/100)*AT$41</f>
      </c>
      <c r="AU80" s="6">
        <f>(N80/100)*AU$41</f>
      </c>
      <c r="AV80" s="6">
        <f>(O80/1000000)*AV$41</f>
      </c>
      <c r="AW80" s="6">
        <f>(P80/100)*AW$41</f>
      </c>
      <c r="AX80" s="6">
        <f>(Q80/100)*AX$41</f>
      </c>
      <c r="AY80" s="6">
        <f>(R80/100)*AY$41</f>
      </c>
      <c r="AZ80" s="6">
        <f>(S80/100)*AZ$41</f>
      </c>
      <c r="BA80" s="6">
        <f>(T80/100)*BA$41</f>
      </c>
      <c r="BB80" s="6">
        <f>(U80/100)*BB$41</f>
      </c>
      <c r="BC80" s="6"/>
      <c r="BD80" s="3"/>
      <c r="BE80" s="3"/>
      <c r="BF80" s="7">
        <f>AF80*E80</f>
      </c>
      <c r="BG80" s="6"/>
      <c r="BH80" s="3"/>
      <c r="BI80" s="6"/>
    </row>
    <row x14ac:dyDescent="0.25" r="81" customHeight="1" ht="12.75">
      <c r="A81" s="5" t="s">
        <v>697</v>
      </c>
      <c r="B81" s="3" t="s">
        <v>855</v>
      </c>
      <c r="C81" s="43" t="s">
        <v>856</v>
      </c>
      <c r="D81" s="34" t="s">
        <v>941</v>
      </c>
      <c r="E81" s="6">
        <v>23.156</v>
      </c>
      <c r="F81" s="6">
        <v>0.23434271894973224</v>
      </c>
      <c r="G81" s="6">
        <v>0.6513266539989636</v>
      </c>
      <c r="H81" s="7">
        <v>12.992449473138713</v>
      </c>
      <c r="I81" s="6"/>
      <c r="J81" s="6">
        <v>0.49232941786146145</v>
      </c>
      <c r="K81" s="7"/>
      <c r="L81" s="6"/>
      <c r="M81" s="6"/>
      <c r="N81" s="23"/>
      <c r="O81" s="5"/>
      <c r="P81" s="6"/>
      <c r="Q81" s="6"/>
      <c r="R81" s="6"/>
      <c r="S81" s="6"/>
      <c r="T81" s="6"/>
      <c r="U81" s="6"/>
      <c r="V81" s="5"/>
      <c r="W81" s="6"/>
      <c r="X81" s="6">
        <f>E81*F81/100</f>
      </c>
      <c r="Y81" s="6">
        <f>E81*G81/100</f>
      </c>
      <c r="Z81" s="7">
        <f>E81*H81</f>
      </c>
      <c r="AA81" s="7">
        <f>E81*J81</f>
      </c>
      <c r="AB81" s="6">
        <f>E81*I81/100</f>
      </c>
      <c r="AC81" s="15">
        <f>X81+Y81+AB81</f>
      </c>
      <c r="AD81" s="6">
        <f>F81+G81+I81</f>
      </c>
      <c r="AE81" s="3"/>
      <c r="AF81" s="6">
        <f>SUM(AM81:BC81)</f>
      </c>
      <c r="AG81" s="5">
        <f>IF(SUM(AM81:AO81)&gt;0.7*AF81,1,0)</f>
      </c>
      <c r="AH81" s="5">
        <f>IF(AN81&gt;0.4*AF81,1,0)</f>
      </c>
      <c r="AI81" s="5">
        <f>IF(SUM(AP81:AQ81)&gt;0.3*AF81,1,0)</f>
      </c>
      <c r="AJ81" s="5">
        <f>IF(AQ81&gt;0.2*AF81,1,0)</f>
      </c>
      <c r="AK81" s="5">
        <f>IF(SUM(AR81:BC81)&gt;0.3*AF81,1,0)</f>
      </c>
      <c r="AL81" s="3"/>
      <c r="AM81" s="6">
        <f>(F81/100)*AM$41</f>
      </c>
      <c r="AN81" s="6">
        <f>(G81/100)*AN$41</f>
      </c>
      <c r="AO81" s="6">
        <f>(H81/1000000)*AO$41</f>
      </c>
      <c r="AP81" s="6">
        <f>(I81/100)*AP$41</f>
      </c>
      <c r="AQ81" s="6">
        <f>(J81/1000000)*AQ$41</f>
      </c>
      <c r="AR81" s="6">
        <f>(K81/100)*AR$41</f>
      </c>
      <c r="AS81" s="6">
        <f>(L81/100)*AS$41</f>
      </c>
      <c r="AT81" s="6">
        <f>(M81/100)*AT$41</f>
      </c>
      <c r="AU81" s="6">
        <f>(N81/100)*AU$41</f>
      </c>
      <c r="AV81" s="6">
        <f>(O81/1000000)*AV$41</f>
      </c>
      <c r="AW81" s="6">
        <f>(P81/100)*AW$41</f>
      </c>
      <c r="AX81" s="6">
        <f>(Q81/100)*AX$41</f>
      </c>
      <c r="AY81" s="6">
        <f>(R81/100)*AY$41</f>
      </c>
      <c r="AZ81" s="6">
        <f>(S81/100)*AZ$41</f>
      </c>
      <c r="BA81" s="6">
        <f>(T81/100)*BA$41</f>
      </c>
      <c r="BB81" s="6">
        <f>(U81/100)*BB$41</f>
      </c>
      <c r="BC81" s="6"/>
      <c r="BD81" s="3"/>
      <c r="BE81" s="3"/>
      <c r="BF81" s="7">
        <f>AF81*E81</f>
      </c>
      <c r="BG81" s="6"/>
      <c r="BH81" s="3"/>
      <c r="BI81" s="6"/>
    </row>
    <row x14ac:dyDescent="0.25" r="82" customHeight="1" ht="12.75">
      <c r="A82" s="5" t="s">
        <v>493</v>
      </c>
      <c r="B82" s="3" t="s">
        <v>855</v>
      </c>
      <c r="C82" s="43" t="s">
        <v>856</v>
      </c>
      <c r="D82" s="34"/>
      <c r="E82" s="6">
        <v>6.6</v>
      </c>
      <c r="F82" s="6">
        <v>0.296969696969697</v>
      </c>
      <c r="G82" s="6">
        <v>2.573787878787879</v>
      </c>
      <c r="H82" s="31">
        <v>342.2424242424243</v>
      </c>
      <c r="I82" s="6"/>
      <c r="J82" s="6"/>
      <c r="K82" s="7"/>
      <c r="L82" s="6"/>
      <c r="M82" s="6"/>
      <c r="N82" s="23"/>
      <c r="O82" s="5"/>
      <c r="P82" s="6"/>
      <c r="Q82" s="6"/>
      <c r="R82" s="6"/>
      <c r="S82" s="6"/>
      <c r="T82" s="6"/>
      <c r="U82" s="6"/>
      <c r="V82" s="5"/>
      <c r="W82" s="6"/>
      <c r="X82" s="6">
        <f>E82*F82/100</f>
      </c>
      <c r="Y82" s="6">
        <f>E82*G82/100</f>
      </c>
      <c r="Z82" s="7">
        <f>E82*H82</f>
      </c>
      <c r="AA82" s="7">
        <f>E82*J82</f>
      </c>
      <c r="AB82" s="6">
        <f>E82*I82/100</f>
      </c>
      <c r="AC82" s="15">
        <f>X82+Y82+AB82</f>
      </c>
      <c r="AD82" s="6">
        <f>F82+G82+I82</f>
      </c>
      <c r="AE82" s="3"/>
      <c r="AF82" s="6">
        <f>SUM(AM82:BC82)</f>
      </c>
      <c r="AG82" s="5">
        <f>IF(SUM(AM82:AO82)&gt;0.7*AF82,1,0)</f>
      </c>
      <c r="AH82" s="5">
        <f>IF(AN82&gt;0.4*AF82,1,0)</f>
      </c>
      <c r="AI82" s="5">
        <f>IF(SUM(AP82:AQ82)&gt;0.3*AF82,1,0)</f>
      </c>
      <c r="AJ82" s="5">
        <f>IF(AQ82&gt;0.2*AF82,1,0)</f>
      </c>
      <c r="AK82" s="5">
        <f>IF(SUM(AR82:BC82)&gt;0.3*AF82,1,0)</f>
      </c>
      <c r="AL82" s="3"/>
      <c r="AM82" s="6">
        <f>(F82/100)*AM$41</f>
      </c>
      <c r="AN82" s="6">
        <f>(G82/100)*AN$41</f>
      </c>
      <c r="AO82" s="6">
        <f>(H82/1000000)*AO$41</f>
      </c>
      <c r="AP82" s="6">
        <f>(I82/100)*AP$41</f>
      </c>
      <c r="AQ82" s="6">
        <f>(J82/1000000)*AQ$41</f>
      </c>
      <c r="AR82" s="6">
        <f>(K82/100)*AR$41</f>
      </c>
      <c r="AS82" s="6">
        <f>(L82/100)*AS$41</f>
      </c>
      <c r="AT82" s="6">
        <f>(M82/100)*AT$41</f>
      </c>
      <c r="AU82" s="6">
        <f>(N82/100)*AU$41</f>
      </c>
      <c r="AV82" s="6">
        <f>(O82/1000000)*AV$41</f>
      </c>
      <c r="AW82" s="6">
        <f>(P82/100)*AW$41</f>
      </c>
      <c r="AX82" s="6">
        <f>(Q82/100)*AX$41</f>
      </c>
      <c r="AY82" s="6">
        <f>(R82/100)*AY$41</f>
      </c>
      <c r="AZ82" s="6">
        <f>(S82/100)*AZ$41</f>
      </c>
      <c r="BA82" s="6">
        <f>(T82/100)*BA$41</f>
      </c>
      <c r="BB82" s="6">
        <f>(U82/100)*BB$41</f>
      </c>
      <c r="BC82" s="6"/>
      <c r="BD82" s="3"/>
      <c r="BE82" s="3"/>
      <c r="BF82" s="7">
        <f>AF82*E82</f>
      </c>
      <c r="BG82" s="6"/>
      <c r="BH82" s="3"/>
      <c r="BI82" s="6"/>
    </row>
    <row x14ac:dyDescent="0.25" r="83" customHeight="1" ht="12.75">
      <c r="A83" s="5" t="s">
        <v>737</v>
      </c>
      <c r="B83" s="3" t="s">
        <v>855</v>
      </c>
      <c r="C83" s="43" t="s">
        <v>856</v>
      </c>
      <c r="D83" s="34" t="s">
        <v>930</v>
      </c>
      <c r="E83" s="6">
        <v>7.6</v>
      </c>
      <c r="F83" s="6">
        <v>0.88</v>
      </c>
      <c r="G83" s="6">
        <v>1.54</v>
      </c>
      <c r="H83" s="7">
        <v>79</v>
      </c>
      <c r="I83" s="6"/>
      <c r="J83" s="6"/>
      <c r="K83" s="7"/>
      <c r="L83" s="6"/>
      <c r="M83" s="6"/>
      <c r="N83" s="23"/>
      <c r="O83" s="5"/>
      <c r="P83" s="6"/>
      <c r="Q83" s="6"/>
      <c r="R83" s="6"/>
      <c r="S83" s="6"/>
      <c r="T83" s="6"/>
      <c r="U83" s="6"/>
      <c r="V83" s="5"/>
      <c r="W83" s="6"/>
      <c r="X83" s="6">
        <f>E83*F83/100</f>
      </c>
      <c r="Y83" s="6">
        <f>E83*G83/100</f>
      </c>
      <c r="Z83" s="7">
        <f>E83*H83</f>
      </c>
      <c r="AA83" s="7">
        <f>E83*J83</f>
      </c>
      <c r="AB83" s="6">
        <f>E83*I83/100</f>
      </c>
      <c r="AC83" s="15">
        <f>X83+Y83+AB83</f>
      </c>
      <c r="AD83" s="6">
        <f>F83+G83+I83</f>
      </c>
      <c r="AE83" s="3"/>
      <c r="AF83" s="6">
        <f>SUM(AM83:BC83)</f>
      </c>
      <c r="AG83" s="5">
        <f>IF(SUM(AM83:AO83)&gt;0.7*AF83,1,0)</f>
      </c>
      <c r="AH83" s="5">
        <f>IF(AN83&gt;0.4*AF83,1,0)</f>
      </c>
      <c r="AI83" s="5">
        <f>IF(SUM(AP83:AQ83)&gt;0.3*AF83,1,0)</f>
      </c>
      <c r="AJ83" s="5">
        <f>IF(AQ83&gt;0.2*AF83,1,0)</f>
      </c>
      <c r="AK83" s="5">
        <f>IF(SUM(AR83:BC83)&gt;0.3*AF83,1,0)</f>
      </c>
      <c r="AL83" s="3"/>
      <c r="AM83" s="6">
        <f>(F83/100)*AM$41</f>
      </c>
      <c r="AN83" s="6">
        <f>(G83/100)*AN$41</f>
      </c>
      <c r="AO83" s="6">
        <f>(H83/1000000)*AO$41</f>
      </c>
      <c r="AP83" s="6">
        <f>(I83/100)*AP$41</f>
      </c>
      <c r="AQ83" s="6">
        <f>(J83/1000000)*AQ$41</f>
      </c>
      <c r="AR83" s="6">
        <f>(K83/100)*AR$41</f>
      </c>
      <c r="AS83" s="6">
        <f>(L83/100)*AS$41</f>
      </c>
      <c r="AT83" s="6">
        <f>(M83/100)*AT$41</f>
      </c>
      <c r="AU83" s="6">
        <f>(N83/100)*AU$41</f>
      </c>
      <c r="AV83" s="6">
        <f>(O83/1000000)*AV$41</f>
      </c>
      <c r="AW83" s="6">
        <f>(P83/100)*AW$41</f>
      </c>
      <c r="AX83" s="6">
        <f>(Q83/100)*AX$41</f>
      </c>
      <c r="AY83" s="6">
        <f>(R83/100)*AY$41</f>
      </c>
      <c r="AZ83" s="6">
        <f>(S83/100)*AZ$41</f>
      </c>
      <c r="BA83" s="6">
        <f>(T83/100)*BA$41</f>
      </c>
      <c r="BB83" s="6">
        <f>(U83/100)*BB$41</f>
      </c>
      <c r="BC83" s="6"/>
      <c r="BD83" s="3"/>
      <c r="BE83" s="3"/>
      <c r="BF83" s="7">
        <f>AF83*E83</f>
      </c>
      <c r="BG83" s="6"/>
      <c r="BH83" s="3"/>
      <c r="BI83" s="6"/>
    </row>
    <row x14ac:dyDescent="0.25" r="84" customHeight="1" ht="12.75">
      <c r="A84" s="5" t="s">
        <v>336</v>
      </c>
      <c r="B84" s="3" t="s">
        <v>855</v>
      </c>
      <c r="C84" s="43" t="s">
        <v>856</v>
      </c>
      <c r="D84" s="34"/>
      <c r="E84" s="5">
        <v>2</v>
      </c>
      <c r="F84" s="6">
        <v>2.5</v>
      </c>
      <c r="G84" s="5">
        <v>5</v>
      </c>
      <c r="H84" s="5">
        <v>15</v>
      </c>
      <c r="I84" s="6">
        <v>0.8</v>
      </c>
      <c r="J84" s="6">
        <v>2.5</v>
      </c>
      <c r="K84" s="7">
        <v>11.532815452445938</v>
      </c>
      <c r="L84" s="6"/>
      <c r="M84" s="6"/>
      <c r="N84" s="23"/>
      <c r="O84" s="5"/>
      <c r="P84" s="6"/>
      <c r="Q84" s="6"/>
      <c r="R84" s="6"/>
      <c r="S84" s="6"/>
      <c r="T84" s="6"/>
      <c r="U84" s="6"/>
      <c r="V84" s="5"/>
      <c r="W84" s="6"/>
      <c r="X84" s="6">
        <f>E84*F84/100</f>
      </c>
      <c r="Y84" s="6">
        <f>E84*G84/100</f>
      </c>
      <c r="Z84" s="7">
        <f>E84*H84</f>
      </c>
      <c r="AA84" s="7">
        <f>E84*J84</f>
      </c>
      <c r="AB84" s="6">
        <f>E84*I84/100</f>
      </c>
      <c r="AC84" s="15">
        <f>X84+Y84+AB84</f>
      </c>
      <c r="AD84" s="6">
        <f>F84+G84+I84</f>
      </c>
      <c r="AE84" s="3"/>
      <c r="AF84" s="6">
        <f>SUM(AM84:BC84)</f>
      </c>
      <c r="AG84" s="5">
        <f>IF(SUM(AM84:AO84)&gt;0.7*AF84,1,0)</f>
      </c>
      <c r="AH84" s="5">
        <f>IF(AN84&gt;0.4*AF84,1,0)</f>
      </c>
      <c r="AI84" s="5">
        <f>IF(SUM(AP84:AQ84)&gt;0.3*AF84,1,0)</f>
      </c>
      <c r="AJ84" s="5">
        <f>IF(AQ84&gt;0.2*AF84,1,0)</f>
      </c>
      <c r="AK84" s="5">
        <f>IF(SUM(AR84:BC84)&gt;0.3*AF84,1,0)</f>
      </c>
      <c r="AL84" s="3"/>
      <c r="AM84" s="6">
        <f>(F84/100)*AM$41</f>
      </c>
      <c r="AN84" s="6">
        <f>(G84/100)*AN$41</f>
      </c>
      <c r="AO84" s="6">
        <f>(H84/1000000)*AO$41</f>
      </c>
      <c r="AP84" s="6">
        <f>(I84/100)*AP$41</f>
      </c>
      <c r="AQ84" s="6">
        <f>(J84/1000000)*AQ$41</f>
      </c>
      <c r="AR84" s="6">
        <f>(K84/100)*AR$41</f>
      </c>
      <c r="AS84" s="6">
        <f>(L84/100)*AS$41</f>
      </c>
      <c r="AT84" s="6">
        <f>(M84/100)*AT$41</f>
      </c>
      <c r="AU84" s="6">
        <f>(N84/100)*AU$41</f>
      </c>
      <c r="AV84" s="6">
        <f>(O84/1000000)*AV$41</f>
      </c>
      <c r="AW84" s="6">
        <f>(P84/100)*AW$41</f>
      </c>
      <c r="AX84" s="6">
        <f>(Q84/100)*AX$41</f>
      </c>
      <c r="AY84" s="6">
        <f>(R84/100)*AY$41</f>
      </c>
      <c r="AZ84" s="6">
        <f>(S84/100)*AZ$41</f>
      </c>
      <c r="BA84" s="6">
        <f>(T84/100)*BA$41</f>
      </c>
      <c r="BB84" s="6">
        <f>(U84/100)*BB$41</f>
      </c>
      <c r="BC84" s="6"/>
      <c r="BD84" s="3"/>
      <c r="BE84" s="3"/>
      <c r="BF84" s="7">
        <f>AF84*E84</f>
      </c>
      <c r="BG84" s="6"/>
      <c r="BH84" s="3"/>
      <c r="BI84" s="6"/>
    </row>
    <row x14ac:dyDescent="0.25" r="85" customHeight="1" ht="12.75">
      <c r="A85" s="5" t="s">
        <v>333</v>
      </c>
      <c r="B85" s="3" t="s">
        <v>855</v>
      </c>
      <c r="C85" s="43" t="s">
        <v>856</v>
      </c>
      <c r="D85" s="34"/>
      <c r="E85" s="6">
        <v>1.869</v>
      </c>
      <c r="F85" s="6">
        <v>2.67</v>
      </c>
      <c r="G85" s="6">
        <v>5.31</v>
      </c>
      <c r="H85" s="6">
        <v>30.1</v>
      </c>
      <c r="I85" s="6">
        <v>0.76</v>
      </c>
      <c r="J85" s="6">
        <v>1.9</v>
      </c>
      <c r="K85" s="7"/>
      <c r="L85" s="6"/>
      <c r="M85" s="6"/>
      <c r="N85" s="23"/>
      <c r="O85" s="5">
        <v>26</v>
      </c>
      <c r="P85" s="6"/>
      <c r="Q85" s="6"/>
      <c r="R85" s="6"/>
      <c r="S85" s="6"/>
      <c r="T85" s="6"/>
      <c r="U85" s="6"/>
      <c r="V85" s="5"/>
      <c r="W85" s="6" t="s">
        <v>942</v>
      </c>
      <c r="X85" s="6">
        <f>E85*F85/100</f>
      </c>
      <c r="Y85" s="6">
        <f>E85*G85/100</f>
      </c>
      <c r="Z85" s="7">
        <f>E85*H85</f>
      </c>
      <c r="AA85" s="7">
        <f>E85*J85</f>
      </c>
      <c r="AB85" s="6">
        <f>E85*I85/100</f>
      </c>
      <c r="AC85" s="15">
        <f>X85+Y85+AB85</f>
      </c>
      <c r="AD85" s="6">
        <f>F85+G85+I85</f>
      </c>
      <c r="AE85" s="3"/>
      <c r="AF85" s="6">
        <f>SUM(AM85:BC85)</f>
      </c>
      <c r="AG85" s="5">
        <f>IF(SUM(AM85:AO85)&gt;0.7*AF85,1,0)</f>
      </c>
      <c r="AH85" s="5">
        <f>IF(AN85&gt;0.4*AF85,1,0)</f>
      </c>
      <c r="AI85" s="5">
        <f>IF(SUM(AP85:AQ85)&gt;0.3*AF85,1,0)</f>
      </c>
      <c r="AJ85" s="5">
        <f>IF(AQ85&gt;0.2*AF85,1,0)</f>
      </c>
      <c r="AK85" s="5">
        <f>IF(SUM(AR85:BC85)&gt;0.3*AF85,1,0)</f>
      </c>
      <c r="AL85" s="3"/>
      <c r="AM85" s="6">
        <f>(F85/100)*AM$41</f>
      </c>
      <c r="AN85" s="6">
        <f>(G85/100)*AN$41</f>
      </c>
      <c r="AO85" s="6">
        <f>(H85/1000000)*AO$41</f>
      </c>
      <c r="AP85" s="6">
        <f>(I85/100)*AP$41</f>
      </c>
      <c r="AQ85" s="6">
        <f>(J85/1000000)*AQ$41</f>
      </c>
      <c r="AR85" s="6">
        <f>(K85/100)*AR$41</f>
      </c>
      <c r="AS85" s="6">
        <f>(L85/100)*AS$41</f>
      </c>
      <c r="AT85" s="6">
        <f>(M85/100)*AT$41</f>
      </c>
      <c r="AU85" s="6">
        <f>(N85/100)*AU$41</f>
      </c>
      <c r="AV85" s="6">
        <f>(O85/1000000)*AV$41</f>
      </c>
      <c r="AW85" s="6">
        <f>(P85/100)*AW$41</f>
      </c>
      <c r="AX85" s="6">
        <f>(Q85/100)*AX$41</f>
      </c>
      <c r="AY85" s="6">
        <f>(R85/100)*AY$41</f>
      </c>
      <c r="AZ85" s="6">
        <f>(S85/100)*AZ$41</f>
      </c>
      <c r="BA85" s="6">
        <f>(T85/100)*BA$41</f>
      </c>
      <c r="BB85" s="6">
        <f>(U85/100)*BB$41</f>
      </c>
      <c r="BC85" s="6">
        <f>((0.017/100)*(11.39*2204.6))+((0.03/100)*1940)</f>
      </c>
      <c r="BD85" s="3" t="s">
        <v>943</v>
      </c>
      <c r="BE85" s="3"/>
      <c r="BF85" s="7">
        <f>AF85*E85</f>
      </c>
      <c r="BG85" s="6"/>
      <c r="BH85" s="3"/>
      <c r="BI85" s="6"/>
    </row>
    <row x14ac:dyDescent="0.25" r="86" customHeight="1" ht="12.75">
      <c r="A86" s="5" t="s">
        <v>458</v>
      </c>
      <c r="B86" s="3" t="s">
        <v>855</v>
      </c>
      <c r="C86" s="43" t="s">
        <v>856</v>
      </c>
      <c r="D86" s="34" t="s">
        <v>929</v>
      </c>
      <c r="E86" s="6">
        <v>9.393</v>
      </c>
      <c r="F86" s="6"/>
      <c r="G86" s="6">
        <v>1.6537112743532416</v>
      </c>
      <c r="H86" s="7">
        <v>34.68627701479825</v>
      </c>
      <c r="I86" s="6"/>
      <c r="J86" s="6">
        <v>5.511496859363355</v>
      </c>
      <c r="K86" s="7"/>
      <c r="L86" s="6"/>
      <c r="M86" s="6"/>
      <c r="N86" s="23"/>
      <c r="O86" s="5"/>
      <c r="P86" s="6"/>
      <c r="Q86" s="6"/>
      <c r="R86" s="6"/>
      <c r="S86" s="6"/>
      <c r="T86" s="6"/>
      <c r="U86" s="6"/>
      <c r="V86" s="5"/>
      <c r="W86" s="6"/>
      <c r="X86" s="6">
        <f>E86*F86/100</f>
      </c>
      <c r="Y86" s="6">
        <f>E86*G86/100</f>
      </c>
      <c r="Z86" s="7">
        <f>E86*H86</f>
      </c>
      <c r="AA86" s="7">
        <f>E86*J86</f>
      </c>
      <c r="AB86" s="6">
        <f>E86*I86/100</f>
      </c>
      <c r="AC86" s="15">
        <f>X86+Y86+AB86</f>
      </c>
      <c r="AD86" s="6">
        <f>F86+G86+I86</f>
      </c>
      <c r="AE86" s="3"/>
      <c r="AF86" s="6">
        <f>SUM(AM86:BC86)</f>
      </c>
      <c r="AG86" s="5">
        <f>IF(SUM(AM86:AO86)&gt;0.7*AF86,1,0)</f>
      </c>
      <c r="AH86" s="5">
        <f>IF(AN86&gt;0.4*AF86,1,0)</f>
      </c>
      <c r="AI86" s="5">
        <f>IF(SUM(AP86:AQ86)&gt;0.3*AF86,1,0)</f>
      </c>
      <c r="AJ86" s="5">
        <f>IF(AQ86&gt;0.2*AF86,1,0)</f>
      </c>
      <c r="AK86" s="5">
        <f>IF(SUM(AR86:BC86)&gt;0.3*AF86,1,0)</f>
      </c>
      <c r="AL86" s="3"/>
      <c r="AM86" s="6">
        <f>(F86/100)*AM$41</f>
      </c>
      <c r="AN86" s="6">
        <f>(G86/100)*AN$41</f>
      </c>
      <c r="AO86" s="6">
        <f>(H86/1000000)*AO$41</f>
      </c>
      <c r="AP86" s="6">
        <f>(I86/100)*AP$41</f>
      </c>
      <c r="AQ86" s="6">
        <f>(J86/1000000)*AQ$41</f>
      </c>
      <c r="AR86" s="6">
        <f>(K86/100)*AR$41</f>
      </c>
      <c r="AS86" s="6">
        <f>(L86/100)*AS$41</f>
      </c>
      <c r="AT86" s="6">
        <f>(M86/100)*AT$41</f>
      </c>
      <c r="AU86" s="6">
        <f>(N86/100)*AU$41</f>
      </c>
      <c r="AV86" s="6">
        <f>(O86/1000000)*AV$41</f>
      </c>
      <c r="AW86" s="6">
        <f>(P86/100)*AW$41</f>
      </c>
      <c r="AX86" s="6">
        <f>(Q86/100)*AX$41</f>
      </c>
      <c r="AY86" s="6">
        <f>(R86/100)*AY$41</f>
      </c>
      <c r="AZ86" s="6">
        <f>(S86/100)*AZ$41</f>
      </c>
      <c r="BA86" s="6">
        <f>(T86/100)*BA$41</f>
      </c>
      <c r="BB86" s="6">
        <f>(U86/100)*BB$41</f>
      </c>
      <c r="BC86" s="6"/>
      <c r="BD86" s="3"/>
      <c r="BE86" s="3"/>
      <c r="BF86" s="7">
        <f>AF86*E86</f>
      </c>
      <c r="BG86" s="6"/>
      <c r="BH86" s="3"/>
      <c r="BI86" s="6"/>
    </row>
    <row x14ac:dyDescent="0.25" r="87" customHeight="1" ht="12.75">
      <c r="A87" s="5" t="s">
        <v>575</v>
      </c>
      <c r="B87" s="3" t="s">
        <v>855</v>
      </c>
      <c r="C87" s="43" t="s">
        <v>856</v>
      </c>
      <c r="D87" s="34" t="s">
        <v>928</v>
      </c>
      <c r="E87" s="6">
        <v>9.06</v>
      </c>
      <c r="F87" s="6">
        <v>0.69</v>
      </c>
      <c r="G87" s="6">
        <v>0.84</v>
      </c>
      <c r="H87" s="6">
        <v>84.78</v>
      </c>
      <c r="I87" s="6">
        <v>0.09</v>
      </c>
      <c r="J87" s="6">
        <v>3.54</v>
      </c>
      <c r="K87" s="7"/>
      <c r="L87" s="6"/>
      <c r="M87" s="6"/>
      <c r="N87" s="23"/>
      <c r="O87" s="5"/>
      <c r="P87" s="6"/>
      <c r="Q87" s="6"/>
      <c r="R87" s="6"/>
      <c r="S87" s="6"/>
      <c r="T87" s="6"/>
      <c r="U87" s="6"/>
      <c r="V87" s="5"/>
      <c r="W87" s="6"/>
      <c r="X87" s="6">
        <f>E87*F87/100</f>
      </c>
      <c r="Y87" s="6">
        <f>E87*G87/100</f>
      </c>
      <c r="Z87" s="7">
        <f>E87*H87</f>
      </c>
      <c r="AA87" s="7">
        <f>E87*J87</f>
      </c>
      <c r="AB87" s="6">
        <f>E87*I87/100</f>
      </c>
      <c r="AC87" s="15">
        <f>X87+Y87+AB87</f>
      </c>
      <c r="AD87" s="6">
        <f>F87+G87+I87</f>
      </c>
      <c r="AE87" s="3"/>
      <c r="AF87" s="6">
        <f>SUM(AM87:BC87)</f>
      </c>
      <c r="AG87" s="5">
        <f>IF(SUM(AM87:AO87)&gt;0.7*AF87,1,0)</f>
      </c>
      <c r="AH87" s="5">
        <f>IF(AN87&gt;0.4*AF87,1,0)</f>
      </c>
      <c r="AI87" s="5">
        <f>IF(SUM(AP87:AQ87)&gt;0.3*AF87,1,0)</f>
      </c>
      <c r="AJ87" s="5">
        <f>IF(AQ87&gt;0.2*AF87,1,0)</f>
      </c>
      <c r="AK87" s="5">
        <f>IF(SUM(AR87:BC87)&gt;0.3*AF87,1,0)</f>
      </c>
      <c r="AL87" s="3"/>
      <c r="AM87" s="6">
        <f>(F87/100)*AM$41</f>
      </c>
      <c r="AN87" s="6">
        <f>(G87/100)*AN$41</f>
      </c>
      <c r="AO87" s="6">
        <f>(H87/1000000)*AO$41</f>
      </c>
      <c r="AP87" s="6">
        <f>(I87/100)*AP$41</f>
      </c>
      <c r="AQ87" s="6">
        <f>(J87/1000000)*AQ$41</f>
      </c>
      <c r="AR87" s="6">
        <f>(K87/100)*AR$41</f>
      </c>
      <c r="AS87" s="6">
        <f>(L87/100)*AS$41</f>
      </c>
      <c r="AT87" s="6">
        <f>(M87/100)*AT$41</f>
      </c>
      <c r="AU87" s="6">
        <f>(N87/100)*AU$41</f>
      </c>
      <c r="AV87" s="6">
        <f>(O87/1000000)*AV$41</f>
      </c>
      <c r="AW87" s="6">
        <f>(P87/100)*AW$41</f>
      </c>
      <c r="AX87" s="6">
        <f>(Q87/100)*AX$41</f>
      </c>
      <c r="AY87" s="6">
        <f>(R87/100)*AY$41</f>
      </c>
      <c r="AZ87" s="6">
        <f>(S87/100)*AZ$41</f>
      </c>
      <c r="BA87" s="6">
        <f>(T87/100)*BA$41</f>
      </c>
      <c r="BB87" s="6">
        <f>(U87/100)*BB$41</f>
      </c>
      <c r="BC87" s="6"/>
      <c r="BD87" s="3"/>
      <c r="BE87" s="3"/>
      <c r="BF87" s="7">
        <f>AF87*E87</f>
      </c>
      <c r="BG87" s="6"/>
      <c r="BH87" s="3"/>
      <c r="BI87" s="6"/>
    </row>
    <row x14ac:dyDescent="0.25" r="88" customHeight="1" ht="12.75">
      <c r="A88" s="5" t="s">
        <v>646</v>
      </c>
      <c r="B88" s="3" t="s">
        <v>855</v>
      </c>
      <c r="C88" s="43" t="s">
        <v>856</v>
      </c>
      <c r="D88" s="34" t="s">
        <v>927</v>
      </c>
      <c r="E88" s="6">
        <v>11.178</v>
      </c>
      <c r="F88" s="6">
        <v>0.2485587761674718</v>
      </c>
      <c r="G88" s="6">
        <v>0.2585024154589372</v>
      </c>
      <c r="H88" s="7">
        <v>15.01531043120415</v>
      </c>
      <c r="I88" s="6">
        <v>0.43270084093755584</v>
      </c>
      <c r="J88" s="6">
        <v>2.006969046341027</v>
      </c>
      <c r="K88" s="7"/>
      <c r="L88" s="6"/>
      <c r="M88" s="6"/>
      <c r="N88" s="23"/>
      <c r="O88" s="5"/>
      <c r="P88" s="6"/>
      <c r="Q88" s="6"/>
      <c r="R88" s="6"/>
      <c r="S88" s="6"/>
      <c r="T88" s="6"/>
      <c r="U88" s="6"/>
      <c r="V88" s="5"/>
      <c r="W88" s="6"/>
      <c r="X88" s="6">
        <f>E88*F88/100</f>
      </c>
      <c r="Y88" s="6">
        <f>E88*G88/100</f>
      </c>
      <c r="Z88" s="7">
        <f>E88*H88</f>
      </c>
      <c r="AA88" s="7">
        <f>E88*J88</f>
      </c>
      <c r="AB88" s="6">
        <f>E88*I88/100</f>
      </c>
      <c r="AC88" s="15">
        <f>X88+Y88+AB88</f>
      </c>
      <c r="AD88" s="6">
        <f>F88+G88+I88</f>
      </c>
      <c r="AE88" s="3"/>
      <c r="AF88" s="6">
        <f>SUM(AM88:BC88)</f>
      </c>
      <c r="AG88" s="5">
        <f>IF(SUM(AM88:AO88)&gt;0.7*AF88,1,0)</f>
      </c>
      <c r="AH88" s="5">
        <f>IF(AN88&gt;0.4*AF88,1,0)</f>
      </c>
      <c r="AI88" s="5">
        <f>IF(SUM(AP88:AQ88)&gt;0.3*AF88,1,0)</f>
      </c>
      <c r="AJ88" s="5">
        <f>IF(AQ88&gt;0.2*AF88,1,0)</f>
      </c>
      <c r="AK88" s="5">
        <f>IF(SUM(AR88:BC88)&gt;0.3*AF88,1,0)</f>
      </c>
      <c r="AL88" s="3"/>
      <c r="AM88" s="6">
        <f>(F88/100)*AM$41</f>
      </c>
      <c r="AN88" s="6">
        <f>(G88/100)*AN$41</f>
      </c>
      <c r="AO88" s="6">
        <f>(H88/1000000)*AO$41</f>
      </c>
      <c r="AP88" s="6">
        <f>(I88/100)*AP$41</f>
      </c>
      <c r="AQ88" s="6">
        <f>(J88/1000000)*AQ$41</f>
      </c>
      <c r="AR88" s="6">
        <f>(K88/100)*AR$41</f>
      </c>
      <c r="AS88" s="6">
        <f>(L88/100)*AS$41</f>
      </c>
      <c r="AT88" s="6">
        <f>(M88/100)*AT$41</f>
      </c>
      <c r="AU88" s="6">
        <f>(N88/100)*AU$41</f>
      </c>
      <c r="AV88" s="6">
        <f>(O88/1000000)*AV$41</f>
      </c>
      <c r="AW88" s="6">
        <f>(P88/100)*AW$41</f>
      </c>
      <c r="AX88" s="6">
        <f>(Q88/100)*AX$41</f>
      </c>
      <c r="AY88" s="6">
        <f>(R88/100)*AY$41</f>
      </c>
      <c r="AZ88" s="6">
        <f>(S88/100)*AZ$41</f>
      </c>
      <c r="BA88" s="6">
        <f>(T88/100)*BA$41</f>
      </c>
      <c r="BB88" s="6">
        <f>(U88/100)*BB$41</f>
      </c>
      <c r="BC88" s="6"/>
      <c r="BD88" s="3"/>
      <c r="BE88" s="3"/>
      <c r="BF88" s="7">
        <f>AF88*E88</f>
      </c>
      <c r="BG88" s="6"/>
      <c r="BH88" s="3"/>
      <c r="BI88" s="6"/>
    </row>
    <row x14ac:dyDescent="0.25" r="89" customHeight="1" ht="12.75">
      <c r="A89" s="5" t="s">
        <v>476</v>
      </c>
      <c r="B89" s="3" t="s">
        <v>855</v>
      </c>
      <c r="C89" s="43" t="s">
        <v>856</v>
      </c>
      <c r="D89" s="34" t="s">
        <v>928</v>
      </c>
      <c r="E89" s="6">
        <f>9.21+50.04</f>
      </c>
      <c r="F89" s="6">
        <f>(0.41*9.21+0.32*50.04)/$E89</f>
      </c>
      <c r="G89" s="6">
        <f>(1.21*9.21+0.84*50.04)/$E89</f>
      </c>
      <c r="H89" s="7">
        <f>(28.22*9.21+18.55*50.04)/$E89</f>
      </c>
      <c r="I89" s="6"/>
      <c r="J89" s="6">
        <f>(0.229*9.21+0.183*50.04)/$E89</f>
      </c>
      <c r="K89" s="7"/>
      <c r="L89" s="6"/>
      <c r="M89" s="6"/>
      <c r="N89" s="23"/>
      <c r="O89" s="6">
        <f>(13.39*9.21+7.13*50.04)/$E89</f>
      </c>
      <c r="P89" s="6"/>
      <c r="Q89" s="6"/>
      <c r="R89" s="6"/>
      <c r="S89" s="6"/>
      <c r="T89" s="6"/>
      <c r="U89" s="6"/>
      <c r="V89" s="5"/>
      <c r="W89" s="6"/>
      <c r="X89" s="6">
        <f>E89*F89/100</f>
      </c>
      <c r="Y89" s="6">
        <f>E89*G89/100</f>
      </c>
      <c r="Z89" s="7">
        <f>E89*H89</f>
      </c>
      <c r="AA89" s="7">
        <f>E89*J89</f>
      </c>
      <c r="AB89" s="6">
        <f>E89*I89/100</f>
      </c>
      <c r="AC89" s="15">
        <f>X89+Y89+AB89</f>
      </c>
      <c r="AD89" s="6">
        <f>F89+G89+I89</f>
      </c>
      <c r="AE89" s="3"/>
      <c r="AF89" s="6">
        <f>SUM(AM89:BC89)</f>
      </c>
      <c r="AG89" s="5">
        <f>IF(SUM(AM89:AO89)&gt;0.7*AF89,1,0)</f>
      </c>
      <c r="AH89" s="5">
        <f>IF(AN89&gt;0.4*AF89,1,0)</f>
      </c>
      <c r="AI89" s="5">
        <f>IF(SUM(AP89:AQ89)&gt;0.3*AF89,1,0)</f>
      </c>
      <c r="AJ89" s="5">
        <f>IF(AQ89&gt;0.2*AF89,1,0)</f>
      </c>
      <c r="AK89" s="5">
        <f>IF(SUM(AR89:BC89)&gt;0.3*AF89,1,0)</f>
      </c>
      <c r="AL89" s="3"/>
      <c r="AM89" s="6">
        <f>(F89/100)*AM$41</f>
      </c>
      <c r="AN89" s="6">
        <f>(G89/100)*AN$41</f>
      </c>
      <c r="AO89" s="6">
        <f>(H89/1000000)*AO$41</f>
      </c>
      <c r="AP89" s="6">
        <f>(I89/100)*AP$41</f>
      </c>
      <c r="AQ89" s="6">
        <f>(J89/1000000)*AQ$41</f>
      </c>
      <c r="AR89" s="6">
        <f>(K89/100)*AR$41</f>
      </c>
      <c r="AS89" s="6">
        <f>(L89/100)*AS$41</f>
      </c>
      <c r="AT89" s="6">
        <f>(M89/100)*AT$41</f>
      </c>
      <c r="AU89" s="6">
        <f>(N89/100)*AU$41</f>
      </c>
      <c r="AV89" s="6">
        <f>(O89/1000000)*AV$41</f>
      </c>
      <c r="AW89" s="6">
        <f>(P89/100)*AW$41</f>
      </c>
      <c r="AX89" s="6">
        <f>(Q89/100)*AX$41</f>
      </c>
      <c r="AY89" s="6">
        <f>(R89/100)*AY$41</f>
      </c>
      <c r="AZ89" s="6">
        <f>(S89/100)*AZ$41</f>
      </c>
      <c r="BA89" s="6">
        <f>(T89/100)*BA$41</f>
      </c>
      <c r="BB89" s="6">
        <f>(U89/100)*BB$41</f>
      </c>
      <c r="BC89" s="6"/>
      <c r="BD89" s="3"/>
      <c r="BE89" s="3"/>
      <c r="BF89" s="7">
        <f>AF89*E89</f>
      </c>
      <c r="BG89" s="6"/>
      <c r="BH89" s="3"/>
      <c r="BI89" s="6"/>
    </row>
    <row x14ac:dyDescent="0.25" r="90" customHeight="1" ht="12.75">
      <c r="A90" s="5" t="s">
        <v>286</v>
      </c>
      <c r="B90" s="3" t="s">
        <v>855</v>
      </c>
      <c r="C90" s="43" t="s">
        <v>856</v>
      </c>
      <c r="D90" s="34" t="s">
        <v>928</v>
      </c>
      <c r="E90" s="6">
        <v>0.91</v>
      </c>
      <c r="F90" s="6">
        <v>3.85</v>
      </c>
      <c r="G90" s="6">
        <v>6.06</v>
      </c>
      <c r="H90" s="7">
        <v>270.259</v>
      </c>
      <c r="I90" s="6"/>
      <c r="J90" s="6"/>
      <c r="K90" s="7"/>
      <c r="L90" s="6"/>
      <c r="M90" s="6"/>
      <c r="N90" s="23"/>
      <c r="O90" s="5"/>
      <c r="P90" s="6"/>
      <c r="Q90" s="6"/>
      <c r="R90" s="6"/>
      <c r="S90" s="6"/>
      <c r="T90" s="6"/>
      <c r="U90" s="6"/>
      <c r="V90" s="5"/>
      <c r="W90" s="6"/>
      <c r="X90" s="6">
        <f>E90*F90/100</f>
      </c>
      <c r="Y90" s="6">
        <f>E90*G90/100</f>
      </c>
      <c r="Z90" s="7">
        <f>E90*H90</f>
      </c>
      <c r="AA90" s="7">
        <f>E90*J90</f>
      </c>
      <c r="AB90" s="6">
        <f>E90*I90/100</f>
      </c>
      <c r="AC90" s="15">
        <f>X90+Y90+AB90</f>
      </c>
      <c r="AD90" s="6">
        <f>F90+G90+I90</f>
      </c>
      <c r="AE90" s="3"/>
      <c r="AF90" s="6">
        <f>SUM(AM90:BC90)</f>
      </c>
      <c r="AG90" s="5">
        <f>IF(SUM(AM90:AO90)&gt;0.7*AF90,1,0)</f>
      </c>
      <c r="AH90" s="5">
        <f>IF(AN90&gt;0.4*AF90,1,0)</f>
      </c>
      <c r="AI90" s="5">
        <f>IF(SUM(AP90:AQ90)&gt;0.3*AF90,1,0)</f>
      </c>
      <c r="AJ90" s="5">
        <f>IF(AQ90&gt;0.2*AF90,1,0)</f>
      </c>
      <c r="AK90" s="5">
        <f>IF(SUM(AR90:BC90)&gt;0.3*AF90,1,0)</f>
      </c>
      <c r="AL90" s="3"/>
      <c r="AM90" s="6">
        <f>(F90/100)*AM$41</f>
      </c>
      <c r="AN90" s="6">
        <f>(G90/100)*AN$41</f>
      </c>
      <c r="AO90" s="6">
        <f>(H90/1000000)*AO$41</f>
      </c>
      <c r="AP90" s="6">
        <f>(I90/100)*AP$41</f>
      </c>
      <c r="AQ90" s="6">
        <f>(J90/1000000)*AQ$41</f>
      </c>
      <c r="AR90" s="6">
        <f>(K90/100)*AR$41</f>
      </c>
      <c r="AS90" s="6">
        <f>(L90/100)*AS$41</f>
      </c>
      <c r="AT90" s="6">
        <f>(M90/100)*AT$41</f>
      </c>
      <c r="AU90" s="6">
        <f>(N90/100)*AU$41</f>
      </c>
      <c r="AV90" s="6">
        <f>(O90/1000000)*AV$41</f>
      </c>
      <c r="AW90" s="6">
        <f>(P90/100)*AW$41</f>
      </c>
      <c r="AX90" s="6">
        <f>(Q90/100)*AX$41</f>
      </c>
      <c r="AY90" s="6">
        <f>(R90/100)*AY$41</f>
      </c>
      <c r="AZ90" s="6">
        <f>(S90/100)*AZ$41</f>
      </c>
      <c r="BA90" s="6">
        <f>(T90/100)*BA$41</f>
      </c>
      <c r="BB90" s="6">
        <f>(U90/100)*BB$41</f>
      </c>
      <c r="BC90" s="6"/>
      <c r="BD90" s="3"/>
      <c r="BE90" s="3"/>
      <c r="BF90" s="7">
        <f>AF90*E90</f>
      </c>
      <c r="BG90" s="6"/>
      <c r="BH90" s="3"/>
      <c r="BI90" s="6"/>
    </row>
    <row x14ac:dyDescent="0.25" r="91" customHeight="1" ht="12.75">
      <c r="A91" s="5" t="s">
        <v>712</v>
      </c>
      <c r="B91" s="3" t="s">
        <v>855</v>
      </c>
      <c r="C91" s="43" t="s">
        <v>856</v>
      </c>
      <c r="D91" s="34" t="s">
        <v>928</v>
      </c>
      <c r="E91" s="6">
        <v>10.828</v>
      </c>
      <c r="F91" s="6">
        <v>0.31</v>
      </c>
      <c r="G91" s="6">
        <v>0.5</v>
      </c>
      <c r="H91" s="5">
        <v>111</v>
      </c>
      <c r="I91" s="6"/>
      <c r="J91" s="6"/>
      <c r="K91" s="7"/>
      <c r="L91" s="6"/>
      <c r="M91" s="6"/>
      <c r="N91" s="23"/>
      <c r="O91" s="5"/>
      <c r="P91" s="6"/>
      <c r="Q91" s="6"/>
      <c r="R91" s="6"/>
      <c r="S91" s="6"/>
      <c r="T91" s="6"/>
      <c r="U91" s="6"/>
      <c r="V91" s="5"/>
      <c r="W91" s="6"/>
      <c r="X91" s="6">
        <f>E91*F91/100</f>
      </c>
      <c r="Y91" s="6">
        <f>E91*G91/100</f>
      </c>
      <c r="Z91" s="7">
        <f>E91*H91</f>
      </c>
      <c r="AA91" s="7">
        <f>E91*J91</f>
      </c>
      <c r="AB91" s="6">
        <f>E91*I91/100</f>
      </c>
      <c r="AC91" s="15">
        <f>X91+Y91+AB91</f>
      </c>
      <c r="AD91" s="6">
        <f>F91+G91+I91</f>
      </c>
      <c r="AE91" s="3"/>
      <c r="AF91" s="6">
        <f>SUM(AM91:BC91)</f>
      </c>
      <c r="AG91" s="5">
        <f>IF(SUM(AM91:AO91)&gt;0.7*AF91,1,0)</f>
      </c>
      <c r="AH91" s="5">
        <f>IF(AN91&gt;0.4*AF91,1,0)</f>
      </c>
      <c r="AI91" s="5">
        <f>IF(SUM(AP91:AQ91)&gt;0.3*AF91,1,0)</f>
      </c>
      <c r="AJ91" s="5">
        <f>IF(AQ91&gt;0.2*AF91,1,0)</f>
      </c>
      <c r="AK91" s="5">
        <f>IF(SUM(AR91:BC91)&gt;0.3*AF91,1,0)</f>
      </c>
      <c r="AL91" s="3"/>
      <c r="AM91" s="6">
        <f>(F91/100)*AM$41</f>
      </c>
      <c r="AN91" s="6">
        <f>(G91/100)*AN$41</f>
      </c>
      <c r="AO91" s="6">
        <f>(H91/1000000)*AO$41</f>
      </c>
      <c r="AP91" s="6">
        <f>(I91/100)*AP$41</f>
      </c>
      <c r="AQ91" s="6">
        <f>(J91/1000000)*AQ$41</f>
      </c>
      <c r="AR91" s="6">
        <f>(K91/100)*AR$41</f>
      </c>
      <c r="AS91" s="6">
        <f>(L91/100)*AS$41</f>
      </c>
      <c r="AT91" s="6">
        <f>(M91/100)*AT$41</f>
      </c>
      <c r="AU91" s="6">
        <f>(N91/100)*AU$41</f>
      </c>
      <c r="AV91" s="6">
        <f>(O91/1000000)*AV$41</f>
      </c>
      <c r="AW91" s="6">
        <f>(P91/100)*AW$41</f>
      </c>
      <c r="AX91" s="6">
        <f>(Q91/100)*AX$41</f>
      </c>
      <c r="AY91" s="6">
        <f>(R91/100)*AY$41</f>
      </c>
      <c r="AZ91" s="6">
        <f>(S91/100)*AZ$41</f>
      </c>
      <c r="BA91" s="6">
        <f>(T91/100)*BA$41</f>
      </c>
      <c r="BB91" s="6">
        <f>(U91/100)*BB$41</f>
      </c>
      <c r="BC91" s="6"/>
      <c r="BD91" s="3"/>
      <c r="BE91" s="3"/>
      <c r="BF91" s="7">
        <f>AF91*E91</f>
      </c>
      <c r="BG91" s="6"/>
      <c r="BH91" s="3"/>
      <c r="BI91" s="6"/>
    </row>
    <row x14ac:dyDescent="0.25" r="92" customHeight="1" ht="12.75">
      <c r="A92" s="5" t="s">
        <v>435</v>
      </c>
      <c r="B92" s="3" t="s">
        <v>855</v>
      </c>
      <c r="C92" s="43" t="s">
        <v>856</v>
      </c>
      <c r="D92" s="34" t="s">
        <v>928</v>
      </c>
      <c r="E92" s="23">
        <v>3.2604767999999997</v>
      </c>
      <c r="F92" s="7">
        <v>1.414858096828047</v>
      </c>
      <c r="G92" s="7">
        <v>1.1</v>
      </c>
      <c r="H92" s="31">
        <v>386.98957772065734</v>
      </c>
      <c r="I92" s="6"/>
      <c r="J92" s="6"/>
      <c r="K92" s="7"/>
      <c r="L92" s="6"/>
      <c r="M92" s="6"/>
      <c r="N92" s="23"/>
      <c r="O92" s="5"/>
      <c r="P92" s="6"/>
      <c r="Q92" s="6"/>
      <c r="R92" s="6"/>
      <c r="S92" s="6"/>
      <c r="T92" s="6"/>
      <c r="U92" s="6"/>
      <c r="V92" s="5"/>
      <c r="W92" s="6"/>
      <c r="X92" s="6">
        <f>E92*F92/100</f>
      </c>
      <c r="Y92" s="6">
        <f>E92*G92/100</f>
      </c>
      <c r="Z92" s="7">
        <f>E92*H92</f>
      </c>
      <c r="AA92" s="7">
        <f>E92*J92</f>
      </c>
      <c r="AB92" s="6">
        <f>E92*I92/100</f>
      </c>
      <c r="AC92" s="15">
        <f>X92+Y92+AB92</f>
      </c>
      <c r="AD92" s="6">
        <f>F92+G92+I92</f>
      </c>
      <c r="AE92" s="3"/>
      <c r="AF92" s="6">
        <f>SUM(AM92:BC92)</f>
      </c>
      <c r="AG92" s="5">
        <f>IF(SUM(AM92:AO92)&gt;0.7*AF92,1,0)</f>
      </c>
      <c r="AH92" s="5">
        <f>IF(AN92&gt;0.4*AF92,1,0)</f>
      </c>
      <c r="AI92" s="5">
        <f>IF(SUM(AP92:AQ92)&gt;0.3*AF92,1,0)</f>
      </c>
      <c r="AJ92" s="5">
        <f>IF(AQ92&gt;0.2*AF92,1,0)</f>
      </c>
      <c r="AK92" s="5">
        <f>IF(SUM(AR92:BC92)&gt;0.3*AF92,1,0)</f>
      </c>
      <c r="AL92" s="3"/>
      <c r="AM92" s="6">
        <f>(F92/100)*AM$41</f>
      </c>
      <c r="AN92" s="6">
        <f>(G92/100)*AN$41</f>
      </c>
      <c r="AO92" s="6">
        <f>(H92/1000000)*AO$41</f>
      </c>
      <c r="AP92" s="6">
        <f>(I92/100)*AP$41</f>
      </c>
      <c r="AQ92" s="6">
        <f>(J92/1000000)*AQ$41</f>
      </c>
      <c r="AR92" s="6">
        <f>(K92/100)*AR$41</f>
      </c>
      <c r="AS92" s="6">
        <f>(L92/100)*AS$41</f>
      </c>
      <c r="AT92" s="6">
        <f>(M92/100)*AT$41</f>
      </c>
      <c r="AU92" s="6">
        <f>(N92/100)*AU$41</f>
      </c>
      <c r="AV92" s="6">
        <f>(O92/1000000)*AV$41</f>
      </c>
      <c r="AW92" s="6">
        <f>(P92/100)*AW$41</f>
      </c>
      <c r="AX92" s="6">
        <f>(Q92/100)*AX$41</f>
      </c>
      <c r="AY92" s="6">
        <f>(R92/100)*AY$41</f>
      </c>
      <c r="AZ92" s="6">
        <f>(S92/100)*AZ$41</f>
      </c>
      <c r="BA92" s="6">
        <f>(T92/100)*BA$41</f>
      </c>
      <c r="BB92" s="6">
        <f>(U92/100)*BB$41</f>
      </c>
      <c r="BC92" s="6"/>
      <c r="BD92" s="3"/>
      <c r="BE92" s="3"/>
      <c r="BF92" s="7">
        <f>AF92*E92</f>
      </c>
      <c r="BG92" s="6"/>
      <c r="BH92" s="3"/>
      <c r="BI92" s="6"/>
    </row>
    <row x14ac:dyDescent="0.25" r="93" customHeight="1" ht="12.75">
      <c r="A93" s="5" t="s">
        <v>35</v>
      </c>
      <c r="B93" s="3" t="s">
        <v>855</v>
      </c>
      <c r="C93" s="43" t="s">
        <v>856</v>
      </c>
      <c r="D93" s="34" t="s">
        <v>928</v>
      </c>
      <c r="E93" s="6">
        <v>1.6</v>
      </c>
      <c r="F93" s="6">
        <v>2.1</v>
      </c>
      <c r="G93" s="7">
        <v>3</v>
      </c>
      <c r="H93" s="31">
        <v>286.12</v>
      </c>
      <c r="I93" s="6"/>
      <c r="J93" s="6">
        <v>13.6</v>
      </c>
      <c r="K93" s="7"/>
      <c r="L93" s="6"/>
      <c r="M93" s="6"/>
      <c r="N93" s="23"/>
      <c r="O93" s="5"/>
      <c r="P93" s="6"/>
      <c r="Q93" s="6"/>
      <c r="R93" s="6"/>
      <c r="S93" s="6"/>
      <c r="T93" s="6"/>
      <c r="U93" s="6"/>
      <c r="V93" s="5"/>
      <c r="W93" s="6"/>
      <c r="X93" s="6">
        <f>E93*F93/100</f>
      </c>
      <c r="Y93" s="6">
        <f>E93*G93/100</f>
      </c>
      <c r="Z93" s="7">
        <f>E93*H93</f>
      </c>
      <c r="AA93" s="7">
        <f>E93*J93</f>
      </c>
      <c r="AB93" s="6">
        <f>E93*I93/100</f>
      </c>
      <c r="AC93" s="15">
        <f>X93+Y93+AB93</f>
      </c>
      <c r="AD93" s="6">
        <f>F93+G93+I93</f>
      </c>
      <c r="AE93" s="3"/>
      <c r="AF93" s="6">
        <f>SUM(AM93:BC93)</f>
      </c>
      <c r="AG93" s="5">
        <f>IF(SUM(AM93:AO93)&gt;0.7*AF93,1,0)</f>
      </c>
      <c r="AH93" s="5">
        <f>IF(AN93&gt;0.4*AF93,1,0)</f>
      </c>
      <c r="AI93" s="5">
        <f>IF(SUM(AP93:AQ93)&gt;0.3*AF93,1,0)</f>
      </c>
      <c r="AJ93" s="5">
        <f>IF(AQ93&gt;0.2*AF93,1,0)</f>
      </c>
      <c r="AK93" s="5">
        <f>IF(SUM(AR93:BC93)&gt;0.3*AF93,1,0)</f>
      </c>
      <c r="AL93" s="3"/>
      <c r="AM93" s="6">
        <f>(F93/100)*AM$41</f>
      </c>
      <c r="AN93" s="6">
        <f>(G93/100)*AN$41</f>
      </c>
      <c r="AO93" s="6">
        <f>(H93/1000000)*AO$41</f>
      </c>
      <c r="AP93" s="6">
        <f>(I93/100)*AP$41</f>
      </c>
      <c r="AQ93" s="6">
        <f>(J93/1000000)*AQ$41</f>
      </c>
      <c r="AR93" s="6">
        <f>(K93/100)*AR$41</f>
      </c>
      <c r="AS93" s="6">
        <f>(L93/100)*AS$41</f>
      </c>
      <c r="AT93" s="6">
        <f>(M93/100)*AT$41</f>
      </c>
      <c r="AU93" s="6">
        <f>(N93/100)*AU$41</f>
      </c>
      <c r="AV93" s="6">
        <f>(O93/1000000)*AV$41</f>
      </c>
      <c r="AW93" s="6">
        <f>(P93/100)*AW$41</f>
      </c>
      <c r="AX93" s="6">
        <f>(Q93/100)*AX$41</f>
      </c>
      <c r="AY93" s="6">
        <f>(R93/100)*AY$41</f>
      </c>
      <c r="AZ93" s="6">
        <f>(S93/100)*AZ$41</f>
      </c>
      <c r="BA93" s="6">
        <f>(T93/100)*BA$41</f>
      </c>
      <c r="BB93" s="6">
        <f>(U93/100)*BB$41</f>
      </c>
      <c r="BC93" s="6"/>
      <c r="BD93" s="3"/>
      <c r="BE93" s="3"/>
      <c r="BF93" s="7">
        <f>AF93*E93</f>
      </c>
      <c r="BG93" s="6"/>
      <c r="BH93" s="3"/>
      <c r="BI93" s="6"/>
    </row>
    <row x14ac:dyDescent="0.25" r="94" customHeight="1" ht="12.75">
      <c r="A94" s="5" t="s">
        <v>701</v>
      </c>
      <c r="B94" s="3" t="s">
        <v>855</v>
      </c>
      <c r="C94" s="43" t="s">
        <v>856</v>
      </c>
      <c r="D94" s="34" t="s">
        <v>930</v>
      </c>
      <c r="E94" s="23">
        <v>5.0286096</v>
      </c>
      <c r="F94" s="7">
        <v>0.6719465993144507</v>
      </c>
      <c r="G94" s="7">
        <v>0.9359732996572254</v>
      </c>
      <c r="H94" s="31">
        <v>164.7988859584566</v>
      </c>
      <c r="I94" s="6"/>
      <c r="J94" s="7">
        <v>1.3984026518980512</v>
      </c>
      <c r="K94" s="7"/>
      <c r="L94" s="6"/>
      <c r="M94" s="6"/>
      <c r="N94" s="23"/>
      <c r="O94" s="5"/>
      <c r="P94" s="6"/>
      <c r="Q94" s="6"/>
      <c r="R94" s="6"/>
      <c r="S94" s="6"/>
      <c r="T94" s="6"/>
      <c r="U94" s="6"/>
      <c r="V94" s="5"/>
      <c r="W94" s="6"/>
      <c r="X94" s="6">
        <f>E94*F94/100</f>
      </c>
      <c r="Y94" s="6">
        <f>E94*G94/100</f>
      </c>
      <c r="Z94" s="7">
        <f>E94*H94</f>
      </c>
      <c r="AA94" s="7">
        <f>E94*J94</f>
      </c>
      <c r="AB94" s="6">
        <f>E94*I94/100</f>
      </c>
      <c r="AC94" s="15">
        <f>X94+Y94+AB94</f>
      </c>
      <c r="AD94" s="6">
        <f>F94+G94+I94</f>
      </c>
      <c r="AE94" s="3"/>
      <c r="AF94" s="6">
        <f>SUM(AM94:BC94)</f>
      </c>
      <c r="AG94" s="5">
        <f>IF(SUM(AM94:AO94)&gt;0.7*AF94,1,0)</f>
      </c>
      <c r="AH94" s="5">
        <f>IF(AN94&gt;0.4*AF94,1,0)</f>
      </c>
      <c r="AI94" s="5">
        <f>IF(SUM(AP94:AQ94)&gt;0.3*AF94,1,0)</f>
      </c>
      <c r="AJ94" s="5">
        <f>IF(AQ94&gt;0.2*AF94,1,0)</f>
      </c>
      <c r="AK94" s="5">
        <f>IF(SUM(AR94:BC94)&gt;0.3*AF94,1,0)</f>
      </c>
      <c r="AL94" s="3"/>
      <c r="AM94" s="6">
        <f>(F94/100)*AM$41</f>
      </c>
      <c r="AN94" s="6">
        <f>(G94/100)*AN$41</f>
      </c>
      <c r="AO94" s="6">
        <f>(H94/1000000)*AO$41</f>
      </c>
      <c r="AP94" s="6">
        <f>(I94/100)*AP$41</f>
      </c>
      <c r="AQ94" s="6">
        <f>(J94/1000000)*AQ$41</f>
      </c>
      <c r="AR94" s="6">
        <f>(K94/100)*AR$41</f>
      </c>
      <c r="AS94" s="6">
        <f>(L94/100)*AS$41</f>
      </c>
      <c r="AT94" s="6">
        <f>(M94/100)*AT$41</f>
      </c>
      <c r="AU94" s="6">
        <f>(N94/100)*AU$41</f>
      </c>
      <c r="AV94" s="6">
        <f>(O94/1000000)*AV$41</f>
      </c>
      <c r="AW94" s="6">
        <f>(P94/100)*AW$41</f>
      </c>
      <c r="AX94" s="6">
        <f>(Q94/100)*AX$41</f>
      </c>
      <c r="AY94" s="6">
        <f>(R94/100)*AY$41</f>
      </c>
      <c r="AZ94" s="6">
        <f>(S94/100)*AZ$41</f>
      </c>
      <c r="BA94" s="6">
        <f>(T94/100)*BA$41</f>
      </c>
      <c r="BB94" s="6">
        <f>(U94/100)*BB$41</f>
      </c>
      <c r="BC94" s="6"/>
      <c r="BD94" s="3"/>
      <c r="BE94" s="3"/>
      <c r="BF94" s="7">
        <f>AF94*E94</f>
      </c>
      <c r="BG94" s="6"/>
      <c r="BH94" s="3"/>
      <c r="BI94" s="6"/>
    </row>
    <row x14ac:dyDescent="0.25" r="95" customHeight="1" ht="12.75">
      <c r="A95" s="5" t="s">
        <v>785</v>
      </c>
      <c r="B95" s="3" t="s">
        <v>855</v>
      </c>
      <c r="C95" s="43" t="s">
        <v>856</v>
      </c>
      <c r="D95" s="34" t="s">
        <v>925</v>
      </c>
      <c r="E95" s="23">
        <v>4.87613</v>
      </c>
      <c r="F95" s="17">
        <v>0.14567621444344522</v>
      </c>
      <c r="G95" s="6">
        <v>1.328</v>
      </c>
      <c r="H95" s="7">
        <v>79.29</v>
      </c>
      <c r="I95" s="17">
        <v>0.016628909310248075</v>
      </c>
      <c r="J95" s="6">
        <v>0.294</v>
      </c>
      <c r="K95" s="7"/>
      <c r="L95" s="6"/>
      <c r="M95" s="6"/>
      <c r="N95" s="23"/>
      <c r="O95" s="5"/>
      <c r="P95" s="6"/>
      <c r="Q95" s="6"/>
      <c r="R95" s="6"/>
      <c r="S95" s="6"/>
      <c r="T95" s="6"/>
      <c r="U95" s="6"/>
      <c r="V95" s="5">
        <v>88</v>
      </c>
      <c r="W95" s="6" t="s">
        <v>937</v>
      </c>
      <c r="X95" s="6">
        <f>E95*F95/100</f>
      </c>
      <c r="Y95" s="6">
        <f>E95*G95/100</f>
      </c>
      <c r="Z95" s="7">
        <f>E95*H95</f>
      </c>
      <c r="AA95" s="7">
        <f>E95*J95</f>
      </c>
      <c r="AB95" s="6">
        <f>E95*I95/100</f>
      </c>
      <c r="AC95" s="15">
        <f>X95+Y95+AB95</f>
      </c>
      <c r="AD95" s="6">
        <f>F95+G95+I95</f>
      </c>
      <c r="AE95" s="3"/>
      <c r="AF95" s="6">
        <f>SUM(AM95:BC95)</f>
      </c>
      <c r="AG95" s="5">
        <f>IF(SUM(AM95:AO95)&gt;0.7*AF95,1,0)</f>
      </c>
      <c r="AH95" s="5">
        <f>IF(AN95&gt;0.4*AF95,1,0)</f>
      </c>
      <c r="AI95" s="5">
        <f>IF(SUM(AP95:AQ95)&gt;0.3*AF95,1,0)</f>
      </c>
      <c r="AJ95" s="5">
        <f>IF(AQ95&gt;0.2*AF95,1,0)</f>
      </c>
      <c r="AK95" s="5">
        <f>IF(SUM(AR95:BC95)&gt;0.3*AF95,1,0)</f>
      </c>
      <c r="AL95" s="3"/>
      <c r="AM95" s="6">
        <f>(F95/100)*AM$41</f>
      </c>
      <c r="AN95" s="6">
        <f>(G95/100)*AN$41</f>
      </c>
      <c r="AO95" s="6">
        <f>(H95/1000000)*AO$41</f>
      </c>
      <c r="AP95" s="6">
        <f>(I95/100)*AP$41</f>
      </c>
      <c r="AQ95" s="6">
        <f>(J95/1000000)*AQ$41</f>
      </c>
      <c r="AR95" s="6">
        <f>(K95/100)*AR$41</f>
      </c>
      <c r="AS95" s="6">
        <f>(L95/100)*AS$41</f>
      </c>
      <c r="AT95" s="6">
        <f>(M95/100)*AT$41</f>
      </c>
      <c r="AU95" s="6">
        <f>(N95/100)*AU$41</f>
      </c>
      <c r="AV95" s="6">
        <f>(O95/1000000)*AV$41</f>
      </c>
      <c r="AW95" s="6">
        <f>(P95/100)*AW$41</f>
      </c>
      <c r="AX95" s="6">
        <f>(Q95/100)*AX$41</f>
      </c>
      <c r="AY95" s="6">
        <f>(R95/100)*AY$41</f>
      </c>
      <c r="AZ95" s="6">
        <f>(S95/100)*AZ$41</f>
      </c>
      <c r="BA95" s="6">
        <f>(T95/100)*BA$41</f>
      </c>
      <c r="BB95" s="6">
        <f>(U95/100)*BB$41</f>
      </c>
      <c r="BC95" s="6">
        <f>(V95/1000000)*(1850*29.0082)</f>
      </c>
      <c r="BD95" s="3" t="s">
        <v>938</v>
      </c>
      <c r="BE95" s="3"/>
      <c r="BF95" s="7">
        <f>AF95*E95</f>
      </c>
      <c r="BG95" s="6"/>
      <c r="BH95" s="3"/>
      <c r="BI95" s="6"/>
    </row>
    <row x14ac:dyDescent="0.25" r="96" customHeight="1" ht="12.75">
      <c r="A96" s="5" t="s">
        <v>683</v>
      </c>
      <c r="B96" s="3" t="s">
        <v>855</v>
      </c>
      <c r="C96" s="43" t="s">
        <v>856</v>
      </c>
      <c r="D96" s="34" t="s">
        <v>931</v>
      </c>
      <c r="E96" s="6">
        <v>1.349</v>
      </c>
      <c r="F96" s="6">
        <v>1.5959970348406227</v>
      </c>
      <c r="G96" s="6">
        <v>3.1573758339510754</v>
      </c>
      <c r="H96" s="7">
        <v>145.80459229058562</v>
      </c>
      <c r="I96" s="6">
        <v>0.11542624166048925</v>
      </c>
      <c r="J96" s="6"/>
      <c r="K96" s="7"/>
      <c r="L96" s="6"/>
      <c r="M96" s="6"/>
      <c r="N96" s="23"/>
      <c r="O96" s="5"/>
      <c r="P96" s="6"/>
      <c r="Q96" s="6"/>
      <c r="R96" s="6"/>
      <c r="S96" s="6"/>
      <c r="T96" s="6"/>
      <c r="U96" s="6"/>
      <c r="V96" s="5"/>
      <c r="W96" s="6"/>
      <c r="X96" s="6">
        <f>E96*F96/100</f>
      </c>
      <c r="Y96" s="6">
        <f>E96*G96/100</f>
      </c>
      <c r="Z96" s="7">
        <f>E96*H96</f>
      </c>
      <c r="AA96" s="7">
        <f>E96*J96</f>
      </c>
      <c r="AB96" s="6">
        <f>E96*I96/100</f>
      </c>
      <c r="AC96" s="15">
        <f>X96+Y96+AB96</f>
      </c>
      <c r="AD96" s="6">
        <f>F96+G96+I96</f>
      </c>
      <c r="AE96" s="3"/>
      <c r="AF96" s="6">
        <f>SUM(AM96:BC96)</f>
      </c>
      <c r="AG96" s="5">
        <f>IF(SUM(AM96:AO96)&gt;0.7*AF96,1,0)</f>
      </c>
      <c r="AH96" s="5">
        <f>IF(AN96&gt;0.4*AF96,1,0)</f>
      </c>
      <c r="AI96" s="5">
        <f>IF(SUM(AP96:AQ96)&gt;0.3*AF96,1,0)</f>
      </c>
      <c r="AJ96" s="5">
        <f>IF(AQ96&gt;0.2*AF96,1,0)</f>
      </c>
      <c r="AK96" s="5">
        <f>IF(SUM(AR96:BC96)&gt;0.3*AF96,1,0)</f>
      </c>
      <c r="AL96" s="3"/>
      <c r="AM96" s="6">
        <f>(F96/100)*AM$41</f>
      </c>
      <c r="AN96" s="6">
        <f>(G96/100)*AN$41</f>
      </c>
      <c r="AO96" s="6">
        <f>(H96/1000000)*AO$41</f>
      </c>
      <c r="AP96" s="6">
        <f>(I96/100)*AP$41</f>
      </c>
      <c r="AQ96" s="6">
        <f>(J96/1000000)*AQ$41</f>
      </c>
      <c r="AR96" s="6">
        <f>(K96/100)*AR$41</f>
      </c>
      <c r="AS96" s="6">
        <f>(L96/100)*AS$41</f>
      </c>
      <c r="AT96" s="6">
        <f>(M96/100)*AT$41</f>
      </c>
      <c r="AU96" s="6">
        <f>(N96/100)*AU$41</f>
      </c>
      <c r="AV96" s="6">
        <f>(O96/1000000)*AV$41</f>
      </c>
      <c r="AW96" s="6">
        <f>(P96/100)*AW$41</f>
      </c>
      <c r="AX96" s="6">
        <f>(Q96/100)*AX$41</f>
      </c>
      <c r="AY96" s="6">
        <f>(R96/100)*AY$41</f>
      </c>
      <c r="AZ96" s="6">
        <f>(S96/100)*AZ$41</f>
      </c>
      <c r="BA96" s="6">
        <f>(T96/100)*BA$41</f>
      </c>
      <c r="BB96" s="6">
        <f>(U96/100)*BB$41</f>
      </c>
      <c r="BC96" s="6"/>
      <c r="BD96" s="3"/>
      <c r="BE96" s="3"/>
      <c r="BF96" s="7">
        <f>AF96*E96</f>
      </c>
      <c r="BG96" s="6"/>
      <c r="BH96" s="3"/>
      <c r="BI96" s="6"/>
    </row>
    <row x14ac:dyDescent="0.25" r="97" customHeight="1" ht="12.75">
      <c r="A97" s="5" t="s">
        <v>826</v>
      </c>
      <c r="B97" s="3" t="s">
        <v>855</v>
      </c>
      <c r="C97" s="43" t="s">
        <v>856</v>
      </c>
      <c r="D97" s="34"/>
      <c r="E97" s="6">
        <v>2.7</v>
      </c>
      <c r="F97" s="6">
        <v>0.85</v>
      </c>
      <c r="G97" s="6">
        <v>1.58</v>
      </c>
      <c r="H97" s="5">
        <v>26</v>
      </c>
      <c r="I97" s="6"/>
      <c r="J97" s="6"/>
      <c r="K97" s="7"/>
      <c r="L97" s="6"/>
      <c r="M97" s="6"/>
      <c r="N97" s="23"/>
      <c r="O97" s="5"/>
      <c r="P97" s="6"/>
      <c r="Q97" s="6"/>
      <c r="R97" s="6"/>
      <c r="S97" s="6"/>
      <c r="T97" s="6"/>
      <c r="U97" s="6"/>
      <c r="V97" s="5"/>
      <c r="W97" s="6"/>
      <c r="X97" s="6">
        <f>E97*F97/100</f>
      </c>
      <c r="Y97" s="6">
        <f>E97*G97/100</f>
      </c>
      <c r="Z97" s="7">
        <f>E97*H97</f>
      </c>
      <c r="AA97" s="7">
        <f>E97*J97</f>
      </c>
      <c r="AB97" s="6">
        <f>E97*I97/100</f>
      </c>
      <c r="AC97" s="15">
        <f>X97+Y97+AB97</f>
      </c>
      <c r="AD97" s="6">
        <f>F97+G97+I97</f>
      </c>
      <c r="AE97" s="3"/>
      <c r="AF97" s="6">
        <f>SUM(AM97:BC97)</f>
      </c>
      <c r="AG97" s="5">
        <f>IF(SUM(AM97:AO97)&gt;0.7*AF97,1,0)</f>
      </c>
      <c r="AH97" s="5">
        <f>IF(AN97&gt;0.4*AF97,1,0)</f>
      </c>
      <c r="AI97" s="5">
        <f>IF(SUM(AP97:AQ97)&gt;0.3*AF97,1,0)</f>
      </c>
      <c r="AJ97" s="5">
        <f>IF(AQ97&gt;0.2*AF97,1,0)</f>
      </c>
      <c r="AK97" s="5">
        <f>IF(SUM(AR97:BC97)&gt;0.3*AF97,1,0)</f>
      </c>
      <c r="AL97" s="3"/>
      <c r="AM97" s="6">
        <f>(F97/100)*AM$41</f>
      </c>
      <c r="AN97" s="6">
        <f>(G97/100)*AN$41</f>
      </c>
      <c r="AO97" s="6">
        <f>(H97/1000000)*AO$41</f>
      </c>
      <c r="AP97" s="6">
        <f>(I97/100)*AP$41</f>
      </c>
      <c r="AQ97" s="6">
        <f>(J97/1000000)*AQ$41</f>
      </c>
      <c r="AR97" s="6">
        <f>(K97/100)*AR$41</f>
      </c>
      <c r="AS97" s="6">
        <f>(L97/100)*AS$41</f>
      </c>
      <c r="AT97" s="6">
        <f>(M97/100)*AT$41</f>
      </c>
      <c r="AU97" s="6">
        <f>(N97/100)*AU$41</f>
      </c>
      <c r="AV97" s="6">
        <f>(O97/1000000)*AV$41</f>
      </c>
      <c r="AW97" s="6">
        <f>(P97/100)*AW$41</f>
      </c>
      <c r="AX97" s="6">
        <f>(Q97/100)*AX$41</f>
      </c>
      <c r="AY97" s="6">
        <f>(R97/100)*AY$41</f>
      </c>
      <c r="AZ97" s="6">
        <f>(S97/100)*AZ$41</f>
      </c>
      <c r="BA97" s="6">
        <f>(T97/100)*BA$41</f>
      </c>
      <c r="BB97" s="6">
        <f>(U97/100)*BB$41</f>
      </c>
      <c r="BC97" s="6"/>
      <c r="BD97" s="3"/>
      <c r="BE97" s="3"/>
      <c r="BF97" s="7">
        <f>AF97*E97</f>
      </c>
      <c r="BG97" s="6"/>
      <c r="BH97" s="3"/>
      <c r="BI97" s="6"/>
    </row>
    <row x14ac:dyDescent="0.25" r="98" customHeight="1" ht="12.75">
      <c r="A98" s="5" t="s">
        <v>781</v>
      </c>
      <c r="B98" s="3" t="s">
        <v>855</v>
      </c>
      <c r="C98" s="43" t="s">
        <v>856</v>
      </c>
      <c r="D98" s="34" t="s">
        <v>925</v>
      </c>
      <c r="E98" s="6">
        <v>4.8</v>
      </c>
      <c r="F98" s="6">
        <v>0.3808333333333333</v>
      </c>
      <c r="G98" s="6">
        <v>0.9804166666666666</v>
      </c>
      <c r="H98" s="6">
        <v>2.318333333333333</v>
      </c>
      <c r="I98" s="6"/>
      <c r="J98" s="6">
        <v>1.78875</v>
      </c>
      <c r="K98" s="7"/>
      <c r="L98" s="6"/>
      <c r="M98" s="6"/>
      <c r="N98" s="23"/>
      <c r="O98" s="5"/>
      <c r="P98" s="6"/>
      <c r="Q98" s="6"/>
      <c r="R98" s="6"/>
      <c r="S98" s="6"/>
      <c r="T98" s="6"/>
      <c r="U98" s="6"/>
      <c r="V98" s="5"/>
      <c r="W98" s="6"/>
      <c r="X98" s="6">
        <f>E98*F98/100</f>
      </c>
      <c r="Y98" s="6">
        <f>E98*G98/100</f>
      </c>
      <c r="Z98" s="7">
        <f>E98*H98</f>
      </c>
      <c r="AA98" s="7">
        <f>E98*J98</f>
      </c>
      <c r="AB98" s="6">
        <f>E98*I98/100</f>
      </c>
      <c r="AC98" s="15">
        <f>X98+Y98+AB98</f>
      </c>
      <c r="AD98" s="6">
        <f>F98+G98+I98</f>
      </c>
      <c r="AE98" s="3"/>
      <c r="AF98" s="6">
        <f>SUM(AM98:BC98)</f>
      </c>
      <c r="AG98" s="5">
        <f>IF(SUM(AM98:AO98)&gt;0.7*AF98,1,0)</f>
      </c>
      <c r="AH98" s="5">
        <f>IF(AN98&gt;0.4*AF98,1,0)</f>
      </c>
      <c r="AI98" s="5">
        <f>IF(SUM(AP98:AQ98)&gt;0.3*AF98,1,0)</f>
      </c>
      <c r="AJ98" s="5">
        <f>IF(AQ98&gt;0.2*AF98,1,0)</f>
      </c>
      <c r="AK98" s="5">
        <f>IF(SUM(AR98:BC98)&gt;0.3*AF98,1,0)</f>
      </c>
      <c r="AL98" s="3"/>
      <c r="AM98" s="6">
        <f>(F98/100)*AM$41</f>
      </c>
      <c r="AN98" s="6">
        <f>(G98/100)*AN$41</f>
      </c>
      <c r="AO98" s="6">
        <f>(H98/1000000)*AO$41</f>
      </c>
      <c r="AP98" s="6">
        <f>(I98/100)*AP$41</f>
      </c>
      <c r="AQ98" s="6">
        <f>(J98/1000000)*AQ$41</f>
      </c>
      <c r="AR98" s="6">
        <f>(K98/100)*AR$41</f>
      </c>
      <c r="AS98" s="6">
        <f>(L98/100)*AS$41</f>
      </c>
      <c r="AT98" s="6">
        <f>(M98/100)*AT$41</f>
      </c>
      <c r="AU98" s="6">
        <f>(N98/100)*AU$41</f>
      </c>
      <c r="AV98" s="6">
        <f>(O98/1000000)*AV$41</f>
      </c>
      <c r="AW98" s="6">
        <f>(P98/100)*AW$41</f>
      </c>
      <c r="AX98" s="6">
        <f>(Q98/100)*AX$41</f>
      </c>
      <c r="AY98" s="6">
        <f>(R98/100)*AY$41</f>
      </c>
      <c r="AZ98" s="6">
        <f>(S98/100)*AZ$41</f>
      </c>
      <c r="BA98" s="6">
        <f>(T98/100)*BA$41</f>
      </c>
      <c r="BB98" s="6">
        <f>(U98/100)*BB$41</f>
      </c>
      <c r="BC98" s="6"/>
      <c r="BD98" s="3"/>
      <c r="BE98" s="3"/>
      <c r="BF98" s="7">
        <f>AF98*E98</f>
      </c>
      <c r="BG98" s="6"/>
      <c r="BH98" s="3"/>
      <c r="BI98" s="6"/>
    </row>
    <row x14ac:dyDescent="0.25" r="99" customHeight="1" ht="12.75">
      <c r="A99" s="5" t="s">
        <v>466</v>
      </c>
      <c r="B99" s="3" t="s">
        <v>855</v>
      </c>
      <c r="C99" s="43" t="s">
        <v>856</v>
      </c>
      <c r="D99" s="34" t="s">
        <v>928</v>
      </c>
      <c r="E99" s="6">
        <v>15.058</v>
      </c>
      <c r="F99" s="6">
        <v>0.03153074777526896</v>
      </c>
      <c r="G99" s="6">
        <v>0.17704741665559834</v>
      </c>
      <c r="H99" s="7">
        <v>9.769620135476158</v>
      </c>
      <c r="I99" s="6">
        <v>0.1978190994820029</v>
      </c>
      <c r="J99" s="6">
        <v>4.53622924691194</v>
      </c>
      <c r="K99" s="7"/>
      <c r="L99" s="6"/>
      <c r="M99" s="6"/>
      <c r="N99" s="23"/>
      <c r="O99" s="5"/>
      <c r="P99" s="6"/>
      <c r="Q99" s="6"/>
      <c r="R99" s="6"/>
      <c r="S99" s="6"/>
      <c r="T99" s="6"/>
      <c r="U99" s="6"/>
      <c r="V99" s="5"/>
      <c r="W99" s="6"/>
      <c r="X99" s="6">
        <f>E99*F99/100</f>
      </c>
      <c r="Y99" s="6">
        <f>E99*G99/100</f>
      </c>
      <c r="Z99" s="7">
        <f>E99*H99</f>
      </c>
      <c r="AA99" s="7">
        <f>E99*J99</f>
      </c>
      <c r="AB99" s="6">
        <f>E99*I99/100</f>
      </c>
      <c r="AC99" s="15">
        <f>X99+Y99+AB99</f>
      </c>
      <c r="AD99" s="6">
        <f>F99+G99+I99</f>
      </c>
      <c r="AE99" s="3"/>
      <c r="AF99" s="6">
        <f>SUM(AM99:BC99)</f>
      </c>
      <c r="AG99" s="5">
        <f>IF(SUM(AM99:AO99)&gt;0.7*AF99,1,0)</f>
      </c>
      <c r="AH99" s="5">
        <f>IF(AN99&gt;0.4*AF99,1,0)</f>
      </c>
      <c r="AI99" s="5">
        <f>IF(SUM(AP99:AQ99)&gt;0.3*AF99,1,0)</f>
      </c>
      <c r="AJ99" s="5">
        <f>IF(AQ99&gt;0.2*AF99,1,0)</f>
      </c>
      <c r="AK99" s="5">
        <f>IF(SUM(AR99:BC99)&gt;0.3*AF99,1,0)</f>
      </c>
      <c r="AL99" s="3"/>
      <c r="AM99" s="6">
        <f>(F99/100)*AM$41</f>
      </c>
      <c r="AN99" s="6">
        <f>(G99/100)*AN$41</f>
      </c>
      <c r="AO99" s="6">
        <f>(H99/1000000)*AO$41</f>
      </c>
      <c r="AP99" s="6">
        <f>(I99/100)*AP$41</f>
      </c>
      <c r="AQ99" s="6">
        <f>(J99/1000000)*AQ$41</f>
      </c>
      <c r="AR99" s="6">
        <f>(K99/100)*AR$41</f>
      </c>
      <c r="AS99" s="6">
        <f>(L99/100)*AS$41</f>
      </c>
      <c r="AT99" s="6">
        <f>(M99/100)*AT$41</f>
      </c>
      <c r="AU99" s="6">
        <f>(N99/100)*AU$41</f>
      </c>
      <c r="AV99" s="6">
        <f>(O99/1000000)*AV$41</f>
      </c>
      <c r="AW99" s="6">
        <f>(P99/100)*AW$41</f>
      </c>
      <c r="AX99" s="6">
        <f>(Q99/100)*AX$41</f>
      </c>
      <c r="AY99" s="6">
        <f>(R99/100)*AY$41</f>
      </c>
      <c r="AZ99" s="6">
        <f>(S99/100)*AZ$41</f>
      </c>
      <c r="BA99" s="6">
        <f>(T99/100)*BA$41</f>
      </c>
      <c r="BB99" s="6">
        <f>(U99/100)*BB$41</f>
      </c>
      <c r="BC99" s="6"/>
      <c r="BD99" s="3"/>
      <c r="BE99" s="3"/>
      <c r="BF99" s="7">
        <f>AF99*E99</f>
      </c>
      <c r="BG99" s="6"/>
      <c r="BH99" s="3"/>
      <c r="BI99" s="6"/>
    </row>
    <row x14ac:dyDescent="0.25" r="100" customHeight="1" ht="12.75">
      <c r="A100" s="5" t="s">
        <v>734</v>
      </c>
      <c r="B100" s="3" t="s">
        <v>855</v>
      </c>
      <c r="C100" s="43" t="s">
        <v>856</v>
      </c>
      <c r="D100" s="34" t="s">
        <v>929</v>
      </c>
      <c r="E100" s="6">
        <v>1.66</v>
      </c>
      <c r="F100" s="6">
        <v>0.902024096385542</v>
      </c>
      <c r="G100" s="6">
        <v>2.2107469879518074</v>
      </c>
      <c r="H100" s="7">
        <v>125.74506024096385</v>
      </c>
      <c r="I100" s="6"/>
      <c r="J100" s="6">
        <v>0.8152096385542169</v>
      </c>
      <c r="K100" s="7"/>
      <c r="L100" s="6"/>
      <c r="M100" s="6"/>
      <c r="N100" s="23"/>
      <c r="O100" s="5"/>
      <c r="P100" s="6"/>
      <c r="Q100" s="6"/>
      <c r="R100" s="6"/>
      <c r="S100" s="6"/>
      <c r="T100" s="6"/>
      <c r="U100" s="6"/>
      <c r="V100" s="5"/>
      <c r="W100" s="6"/>
      <c r="X100" s="6">
        <f>E100*F100/100</f>
      </c>
      <c r="Y100" s="6">
        <f>E100*G100/100</f>
      </c>
      <c r="Z100" s="7">
        <f>E100*H100</f>
      </c>
      <c r="AA100" s="7">
        <f>E100*J100</f>
      </c>
      <c r="AB100" s="6">
        <f>E100*I100/100</f>
      </c>
      <c r="AC100" s="15">
        <f>X100+Y100+AB100</f>
      </c>
      <c r="AD100" s="6">
        <f>F100+G100+I100</f>
      </c>
      <c r="AE100" s="3"/>
      <c r="AF100" s="6">
        <f>SUM(AM100:BC100)</f>
      </c>
      <c r="AG100" s="5">
        <f>IF(SUM(AM100:AO100)&gt;0.7*AF100,1,0)</f>
      </c>
      <c r="AH100" s="5">
        <f>IF(AN100&gt;0.4*AF100,1,0)</f>
      </c>
      <c r="AI100" s="5">
        <f>IF(SUM(AP100:AQ100)&gt;0.3*AF100,1,0)</f>
      </c>
      <c r="AJ100" s="5">
        <f>IF(AQ100&gt;0.2*AF100,1,0)</f>
      </c>
      <c r="AK100" s="5">
        <f>IF(SUM(AR100:BC100)&gt;0.3*AF100,1,0)</f>
      </c>
      <c r="AL100" s="3"/>
      <c r="AM100" s="6">
        <f>(F100/100)*AM$41</f>
      </c>
      <c r="AN100" s="6">
        <f>(G100/100)*AN$41</f>
      </c>
      <c r="AO100" s="6">
        <f>(H100/1000000)*AO$41</f>
      </c>
      <c r="AP100" s="6">
        <f>(I100/100)*AP$41</f>
      </c>
      <c r="AQ100" s="6">
        <f>(J100/1000000)*AQ$41</f>
      </c>
      <c r="AR100" s="6">
        <f>(K100/100)*AR$41</f>
      </c>
      <c r="AS100" s="6">
        <f>(L100/100)*AS$41</f>
      </c>
      <c r="AT100" s="6">
        <f>(M100/100)*AT$41</f>
      </c>
      <c r="AU100" s="6">
        <f>(N100/100)*AU$41</f>
      </c>
      <c r="AV100" s="6">
        <f>(O100/1000000)*AV$41</f>
      </c>
      <c r="AW100" s="6">
        <f>(P100/100)*AW$41</f>
      </c>
      <c r="AX100" s="6">
        <f>(Q100/100)*AX$41</f>
      </c>
      <c r="AY100" s="6">
        <f>(R100/100)*AY$41</f>
      </c>
      <c r="AZ100" s="6">
        <f>(S100/100)*AZ$41</f>
      </c>
      <c r="BA100" s="6">
        <f>(T100/100)*BA$41</f>
      </c>
      <c r="BB100" s="6">
        <f>(U100/100)*BB$41</f>
      </c>
      <c r="BC100" s="6"/>
      <c r="BD100" s="3"/>
      <c r="BE100" s="3"/>
      <c r="BF100" s="7">
        <f>AF100*E100</f>
      </c>
      <c r="BG100" s="6"/>
      <c r="BH100" s="3"/>
      <c r="BI100" s="6"/>
    </row>
    <row x14ac:dyDescent="0.25" r="101" customHeight="1" ht="12.75">
      <c r="A101" s="5" t="s">
        <v>85</v>
      </c>
      <c r="B101" s="3" t="s">
        <v>855</v>
      </c>
      <c r="C101" s="43" t="s">
        <v>856</v>
      </c>
      <c r="D101" s="34"/>
      <c r="E101" s="23">
        <v>1.0266782399999999</v>
      </c>
      <c r="F101" s="6">
        <v>3.5806521162852345</v>
      </c>
      <c r="G101" s="6">
        <v>1.153053812847928</v>
      </c>
      <c r="H101" s="31">
        <v>688.6308433886745</v>
      </c>
      <c r="I101" s="6">
        <v>0.18149067774145092</v>
      </c>
      <c r="J101" s="6">
        <v>1.3909479760669712</v>
      </c>
      <c r="K101" s="7"/>
      <c r="L101" s="6"/>
      <c r="M101" s="6"/>
      <c r="N101" s="23"/>
      <c r="O101" s="5"/>
      <c r="P101" s="6"/>
      <c r="Q101" s="6"/>
      <c r="R101" s="6"/>
      <c r="S101" s="6"/>
      <c r="T101" s="6"/>
      <c r="U101" s="6"/>
      <c r="V101" s="5"/>
      <c r="W101" s="6"/>
      <c r="X101" s="6">
        <f>E101*F101/100</f>
      </c>
      <c r="Y101" s="6">
        <f>E101*G101/100</f>
      </c>
      <c r="Z101" s="7">
        <f>E101*H101</f>
      </c>
      <c r="AA101" s="7">
        <f>E101*J101</f>
      </c>
      <c r="AB101" s="6">
        <f>E101*I101/100</f>
      </c>
      <c r="AC101" s="15">
        <f>X101+Y101+AB101</f>
      </c>
      <c r="AD101" s="6">
        <f>F101+G101+I101</f>
      </c>
      <c r="AE101" s="3"/>
      <c r="AF101" s="6">
        <f>SUM(AM101:BC101)</f>
      </c>
      <c r="AG101" s="5">
        <f>IF(SUM(AM101:AO101)&gt;0.7*AF101,1,0)</f>
      </c>
      <c r="AH101" s="5">
        <f>IF(AN101&gt;0.4*AF101,1,0)</f>
      </c>
      <c r="AI101" s="5">
        <f>IF(SUM(AP101:AQ101)&gt;0.3*AF101,1,0)</f>
      </c>
      <c r="AJ101" s="5">
        <f>IF(AQ101&gt;0.2*AF101,1,0)</f>
      </c>
      <c r="AK101" s="5">
        <f>IF(SUM(AR101:BC101)&gt;0.3*AF101,1,0)</f>
      </c>
      <c r="AL101" s="3"/>
      <c r="AM101" s="6">
        <f>(F101/100)*AM$41</f>
      </c>
      <c r="AN101" s="6">
        <f>(G101/100)*AN$41</f>
      </c>
      <c r="AO101" s="6">
        <f>(H101/1000000)*AO$41</f>
      </c>
      <c r="AP101" s="6">
        <f>(I101/100)*AP$41</f>
      </c>
      <c r="AQ101" s="6">
        <f>(J101/1000000)*AQ$41</f>
      </c>
      <c r="AR101" s="6">
        <f>(K101/100)*AR$41</f>
      </c>
      <c r="AS101" s="6">
        <f>(L101/100)*AS$41</f>
      </c>
      <c r="AT101" s="6">
        <f>(M101/100)*AT$41</f>
      </c>
      <c r="AU101" s="6">
        <f>(N101/100)*AU$41</f>
      </c>
      <c r="AV101" s="6">
        <f>(O101/1000000)*AV$41</f>
      </c>
      <c r="AW101" s="6">
        <f>(P101/100)*AW$41</f>
      </c>
      <c r="AX101" s="6">
        <f>(Q101/100)*AX$41</f>
      </c>
      <c r="AY101" s="6">
        <f>(R101/100)*AY$41</f>
      </c>
      <c r="AZ101" s="6">
        <f>(S101/100)*AZ$41</f>
      </c>
      <c r="BA101" s="6">
        <f>(T101/100)*BA$41</f>
      </c>
      <c r="BB101" s="6">
        <f>(U101/100)*BB$41</f>
      </c>
      <c r="BC101" s="6"/>
      <c r="BD101" s="3"/>
      <c r="BE101" s="3"/>
      <c r="BF101" s="7">
        <f>AF101*E101</f>
      </c>
      <c r="BG101" s="6"/>
      <c r="BH101" s="3"/>
      <c r="BI101" s="6"/>
    </row>
    <row x14ac:dyDescent="0.25" r="102" customHeight="1" ht="12.75">
      <c r="A102" s="5" t="s">
        <v>50</v>
      </c>
      <c r="B102" s="3" t="s">
        <v>855</v>
      </c>
      <c r="C102" s="43" t="s">
        <v>856</v>
      </c>
      <c r="D102" s="34" t="s">
        <v>928</v>
      </c>
      <c r="E102" s="23">
        <v>0.4288</v>
      </c>
      <c r="F102" s="6">
        <v>5.9852472014925375</v>
      </c>
      <c r="G102" s="7">
        <v>4.038619402985074</v>
      </c>
      <c r="H102" s="31">
        <v>825.6996268656716</v>
      </c>
      <c r="I102" s="6"/>
      <c r="J102" s="6"/>
      <c r="K102" s="7"/>
      <c r="L102" s="6"/>
      <c r="M102" s="6"/>
      <c r="N102" s="23"/>
      <c r="O102" s="5"/>
      <c r="P102" s="6"/>
      <c r="Q102" s="6"/>
      <c r="R102" s="6"/>
      <c r="S102" s="6"/>
      <c r="T102" s="6"/>
      <c r="U102" s="6"/>
      <c r="V102" s="5"/>
      <c r="W102" s="6"/>
      <c r="X102" s="6">
        <f>E102*F102/100</f>
      </c>
      <c r="Y102" s="6">
        <f>E102*G102/100</f>
      </c>
      <c r="Z102" s="7">
        <f>E102*H102</f>
      </c>
      <c r="AA102" s="7">
        <f>E102*J102</f>
      </c>
      <c r="AB102" s="6">
        <f>E102*I102/100</f>
      </c>
      <c r="AC102" s="15">
        <f>X102+Y102+AB102</f>
      </c>
      <c r="AD102" s="6">
        <f>F102+G102+I102</f>
      </c>
      <c r="AE102" s="3"/>
      <c r="AF102" s="6">
        <f>SUM(AM102:BC102)</f>
      </c>
      <c r="AG102" s="5">
        <f>IF(SUM(AM102:AO102)&gt;0.7*AF102,1,0)</f>
      </c>
      <c r="AH102" s="5">
        <f>IF(AN102&gt;0.4*AF102,1,0)</f>
      </c>
      <c r="AI102" s="5">
        <f>IF(SUM(AP102:AQ102)&gt;0.3*AF102,1,0)</f>
      </c>
      <c r="AJ102" s="5">
        <f>IF(AQ102&gt;0.2*AF102,1,0)</f>
      </c>
      <c r="AK102" s="5">
        <f>IF(SUM(AR102:BC102)&gt;0.3*AF102,1,0)</f>
      </c>
      <c r="AL102" s="3"/>
      <c r="AM102" s="6">
        <f>(F102/100)*AM$41</f>
      </c>
      <c r="AN102" s="6">
        <f>(G102/100)*AN$41</f>
      </c>
      <c r="AO102" s="6">
        <f>(H102/1000000)*AO$41</f>
      </c>
      <c r="AP102" s="6">
        <f>(I102/100)*AP$41</f>
      </c>
      <c r="AQ102" s="6">
        <f>(J102/1000000)*AQ$41</f>
      </c>
      <c r="AR102" s="6">
        <f>(K102/100)*AR$41</f>
      </c>
      <c r="AS102" s="6">
        <f>(L102/100)*AS$41</f>
      </c>
      <c r="AT102" s="6">
        <f>(M102/100)*AT$41</f>
      </c>
      <c r="AU102" s="6">
        <f>(N102/100)*AU$41</f>
      </c>
      <c r="AV102" s="6">
        <f>(O102/1000000)*AV$41</f>
      </c>
      <c r="AW102" s="6">
        <f>(P102/100)*AW$41</f>
      </c>
      <c r="AX102" s="6">
        <f>(Q102/100)*AX$41</f>
      </c>
      <c r="AY102" s="6">
        <f>(R102/100)*AY$41</f>
      </c>
      <c r="AZ102" s="6">
        <f>(S102/100)*AZ$41</f>
      </c>
      <c r="BA102" s="6">
        <f>(T102/100)*BA$41</f>
      </c>
      <c r="BB102" s="6">
        <f>(U102/100)*BB$41</f>
      </c>
      <c r="BC102" s="6"/>
      <c r="BD102" s="3"/>
      <c r="BE102" s="3"/>
      <c r="BF102" s="7">
        <f>AF102*E102</f>
      </c>
      <c r="BG102" s="6"/>
      <c r="BH102" s="3"/>
      <c r="BI102" s="6"/>
    </row>
    <row x14ac:dyDescent="0.25" r="103" customHeight="1" ht="12.75">
      <c r="A103" s="5" t="s">
        <v>603</v>
      </c>
      <c r="B103" s="3" t="s">
        <v>855</v>
      </c>
      <c r="C103" s="43" t="s">
        <v>856</v>
      </c>
      <c r="D103" s="34"/>
      <c r="E103" s="6">
        <v>1.117</v>
      </c>
      <c r="F103" s="6">
        <v>0.8948155774395703</v>
      </c>
      <c r="G103" s="6">
        <v>2.5260519247985678</v>
      </c>
      <c r="H103" s="7">
        <v>238.26150402864818</v>
      </c>
      <c r="I103" s="23">
        <v>0.09056580125335721</v>
      </c>
      <c r="J103" s="6">
        <v>0.17382452999104744</v>
      </c>
      <c r="K103" s="7"/>
      <c r="L103" s="6"/>
      <c r="M103" s="6"/>
      <c r="N103" s="23"/>
      <c r="O103" s="5"/>
      <c r="P103" s="6"/>
      <c r="Q103" s="6"/>
      <c r="R103" s="6"/>
      <c r="S103" s="6"/>
      <c r="T103" s="6"/>
      <c r="U103" s="6"/>
      <c r="V103" s="5"/>
      <c r="W103" s="6"/>
      <c r="X103" s="6">
        <f>E103*F103/100</f>
      </c>
      <c r="Y103" s="6">
        <f>E103*G103/100</f>
      </c>
      <c r="Z103" s="7">
        <f>E103*H103</f>
      </c>
      <c r="AA103" s="7">
        <f>E103*J103</f>
      </c>
      <c r="AB103" s="6">
        <f>E103*I103/100</f>
      </c>
      <c r="AC103" s="15">
        <f>X103+Y103+AB103</f>
      </c>
      <c r="AD103" s="6">
        <f>F103+G103+I103</f>
      </c>
      <c r="AE103" s="3"/>
      <c r="AF103" s="6">
        <f>SUM(AM103:BC103)</f>
      </c>
      <c r="AG103" s="5">
        <f>IF(SUM(AM103:AO103)&gt;0.7*AF103,1,0)</f>
      </c>
      <c r="AH103" s="5">
        <f>IF(AN103&gt;0.4*AF103,1,0)</f>
      </c>
      <c r="AI103" s="5">
        <f>IF(SUM(AP103:AQ103)&gt;0.3*AF103,1,0)</f>
      </c>
      <c r="AJ103" s="5">
        <f>IF(AQ103&gt;0.2*AF103,1,0)</f>
      </c>
      <c r="AK103" s="5">
        <f>IF(SUM(AR103:BC103)&gt;0.3*AF103,1,0)</f>
      </c>
      <c r="AL103" s="3"/>
      <c r="AM103" s="6">
        <f>(F103/100)*AM$41</f>
      </c>
      <c r="AN103" s="6">
        <f>(G103/100)*AN$41</f>
      </c>
      <c r="AO103" s="6">
        <f>(H103/1000000)*AO$41</f>
      </c>
      <c r="AP103" s="6">
        <f>(I103/100)*AP$41</f>
      </c>
      <c r="AQ103" s="6">
        <f>(J103/1000000)*AQ$41</f>
      </c>
      <c r="AR103" s="6">
        <f>(K103/100)*AR$41</f>
      </c>
      <c r="AS103" s="6">
        <f>(L103/100)*AS$41</f>
      </c>
      <c r="AT103" s="6">
        <f>(M103/100)*AT$41</f>
      </c>
      <c r="AU103" s="6">
        <f>(N103/100)*AU$41</f>
      </c>
      <c r="AV103" s="6">
        <f>(O103/1000000)*AV$41</f>
      </c>
      <c r="AW103" s="6">
        <f>(P103/100)*AW$41</f>
      </c>
      <c r="AX103" s="6">
        <f>(Q103/100)*AX$41</f>
      </c>
      <c r="AY103" s="6">
        <f>(R103/100)*AY$41</f>
      </c>
      <c r="AZ103" s="6">
        <f>(S103/100)*AZ$41</f>
      </c>
      <c r="BA103" s="6">
        <f>(T103/100)*BA$41</f>
      </c>
      <c r="BB103" s="6">
        <f>(U103/100)*BB$41</f>
      </c>
      <c r="BC103" s="6"/>
      <c r="BD103" s="3"/>
      <c r="BE103" s="3"/>
      <c r="BF103" s="7">
        <f>AF103*E103</f>
      </c>
      <c r="BG103" s="6"/>
      <c r="BH103" s="3"/>
      <c r="BI103" s="6"/>
    </row>
    <row x14ac:dyDescent="0.25" r="104" customHeight="1" ht="12.75">
      <c r="A104" s="5" t="s">
        <v>644</v>
      </c>
      <c r="B104" s="3" t="s">
        <v>855</v>
      </c>
      <c r="C104" s="43" t="s">
        <v>856</v>
      </c>
      <c r="D104" s="34"/>
      <c r="E104" s="23">
        <v>1.49</v>
      </c>
      <c r="F104" s="6">
        <v>0.71</v>
      </c>
      <c r="G104" s="6">
        <v>1.56</v>
      </c>
      <c r="H104" s="5">
        <v>245</v>
      </c>
      <c r="I104" s="6">
        <v>0.27</v>
      </c>
      <c r="J104" s="6"/>
      <c r="K104" s="7"/>
      <c r="L104" s="6"/>
      <c r="M104" s="6"/>
      <c r="N104" s="23"/>
      <c r="O104" s="5"/>
      <c r="P104" s="6"/>
      <c r="Q104" s="6"/>
      <c r="R104" s="6"/>
      <c r="S104" s="6"/>
      <c r="T104" s="6"/>
      <c r="U104" s="6"/>
      <c r="V104" s="5"/>
      <c r="W104" s="6"/>
      <c r="X104" s="6">
        <f>E104*F104/100</f>
      </c>
      <c r="Y104" s="6">
        <f>E104*G104/100</f>
      </c>
      <c r="Z104" s="7">
        <f>E104*H104</f>
      </c>
      <c r="AA104" s="7">
        <f>E104*J104</f>
      </c>
      <c r="AB104" s="6">
        <f>E104*I104/100</f>
      </c>
      <c r="AC104" s="15">
        <f>X104+Y104+AB104</f>
      </c>
      <c r="AD104" s="6">
        <f>F104+G104+I104</f>
      </c>
      <c r="AE104" s="3"/>
      <c r="AF104" s="6">
        <f>SUM(AM104:BC104)</f>
      </c>
      <c r="AG104" s="5">
        <f>IF(SUM(AM104:AO104)&gt;0.7*AF104,1,0)</f>
      </c>
      <c r="AH104" s="5">
        <f>IF(AN104&gt;0.4*AF104,1,0)</f>
      </c>
      <c r="AI104" s="5">
        <f>IF(SUM(AP104:AQ104)&gt;0.3*AF104,1,0)</f>
      </c>
      <c r="AJ104" s="5">
        <f>IF(AQ104&gt;0.2*AF104,1,0)</f>
      </c>
      <c r="AK104" s="5">
        <f>IF(SUM(AR104:BC104)&gt;0.3*AF104,1,0)</f>
      </c>
      <c r="AL104" s="3"/>
      <c r="AM104" s="6">
        <f>(F104/100)*AM$41</f>
      </c>
      <c r="AN104" s="6">
        <f>(G104/100)*AN$41</f>
      </c>
      <c r="AO104" s="6">
        <f>(H104/1000000)*AO$41</f>
      </c>
      <c r="AP104" s="6">
        <f>(I104/100)*AP$41</f>
      </c>
      <c r="AQ104" s="6">
        <f>(J104/1000000)*AQ$41</f>
      </c>
      <c r="AR104" s="6">
        <f>(K104/100)*AR$41</f>
      </c>
      <c r="AS104" s="6">
        <f>(L104/100)*AS$41</f>
      </c>
      <c r="AT104" s="6">
        <f>(M104/100)*AT$41</f>
      </c>
      <c r="AU104" s="6">
        <f>(N104/100)*AU$41</f>
      </c>
      <c r="AV104" s="6">
        <f>(O104/1000000)*AV$41</f>
      </c>
      <c r="AW104" s="6">
        <f>(P104/100)*AW$41</f>
      </c>
      <c r="AX104" s="6">
        <f>(Q104/100)*AX$41</f>
      </c>
      <c r="AY104" s="6">
        <f>(R104/100)*AY$41</f>
      </c>
      <c r="AZ104" s="6">
        <f>(S104/100)*AZ$41</f>
      </c>
      <c r="BA104" s="6">
        <f>(T104/100)*BA$41</f>
      </c>
      <c r="BB104" s="6">
        <f>(U104/100)*BB$41</f>
      </c>
      <c r="BC104" s="6"/>
      <c r="BD104" s="3"/>
      <c r="BE104" s="3"/>
      <c r="BF104" s="7">
        <f>AF104*E104</f>
      </c>
      <c r="BG104" s="6"/>
      <c r="BH104" s="3"/>
      <c r="BI104" s="6"/>
    </row>
    <row x14ac:dyDescent="0.25" r="105" customHeight="1" ht="12.75">
      <c r="A105" s="5" t="s">
        <v>790</v>
      </c>
      <c r="B105" s="3" t="s">
        <v>855</v>
      </c>
      <c r="C105" s="43" t="s">
        <v>856</v>
      </c>
      <c r="D105" s="34" t="s">
        <v>931</v>
      </c>
      <c r="E105" s="6">
        <v>5.9</v>
      </c>
      <c r="F105" s="6">
        <v>0.6</v>
      </c>
      <c r="G105" s="6"/>
      <c r="H105" s="5">
        <v>110</v>
      </c>
      <c r="I105" s="6"/>
      <c r="J105" s="6"/>
      <c r="K105" s="7"/>
      <c r="L105" s="6"/>
      <c r="M105" s="6"/>
      <c r="N105" s="23"/>
      <c r="O105" s="5"/>
      <c r="P105" s="6"/>
      <c r="Q105" s="6"/>
      <c r="R105" s="6"/>
      <c r="S105" s="6"/>
      <c r="T105" s="6"/>
      <c r="U105" s="6"/>
      <c r="V105" s="5"/>
      <c r="W105" s="6"/>
      <c r="X105" s="6">
        <f>E105*F105/100</f>
      </c>
      <c r="Y105" s="6">
        <f>E105*G105/100</f>
      </c>
      <c r="Z105" s="7">
        <f>E105*H105</f>
      </c>
      <c r="AA105" s="7">
        <f>E105*J105</f>
      </c>
      <c r="AB105" s="6">
        <f>E105*I105/100</f>
      </c>
      <c r="AC105" s="15">
        <f>X105+Y105+AB105</f>
      </c>
      <c r="AD105" s="6">
        <f>F105+G105+I105</f>
      </c>
      <c r="AE105" s="3"/>
      <c r="AF105" s="6">
        <f>SUM(AM105:BC105)</f>
      </c>
      <c r="AG105" s="5">
        <f>IF(SUM(AM105:AO105)&gt;0.7*AF105,1,0)</f>
      </c>
      <c r="AH105" s="5">
        <f>IF(AN105&gt;0.4*AF105,1,0)</f>
      </c>
      <c r="AI105" s="5">
        <f>IF(SUM(AP105:AQ105)&gt;0.3*AF105,1,0)</f>
      </c>
      <c r="AJ105" s="5">
        <f>IF(AQ105&gt;0.2*AF105,1,0)</f>
      </c>
      <c r="AK105" s="5">
        <f>IF(SUM(AR105:BC105)&gt;0.3*AF105,1,0)</f>
      </c>
      <c r="AL105" s="3"/>
      <c r="AM105" s="6">
        <f>(F105/100)*AM$41</f>
      </c>
      <c r="AN105" s="6">
        <f>(G105/100)*AN$41</f>
      </c>
      <c r="AO105" s="6">
        <f>(H105/1000000)*AO$41</f>
      </c>
      <c r="AP105" s="6">
        <f>(I105/100)*AP$41</f>
      </c>
      <c r="AQ105" s="6">
        <f>(J105/1000000)*AQ$41</f>
      </c>
      <c r="AR105" s="6">
        <f>(K105/100)*AR$41</f>
      </c>
      <c r="AS105" s="6">
        <f>(L105/100)*AS$41</f>
      </c>
      <c r="AT105" s="6">
        <f>(M105/100)*AT$41</f>
      </c>
      <c r="AU105" s="6">
        <f>(N105/100)*AU$41</f>
      </c>
      <c r="AV105" s="6">
        <f>(O105/1000000)*AV$41</f>
      </c>
      <c r="AW105" s="6">
        <f>(P105/100)*AW$41</f>
      </c>
      <c r="AX105" s="6">
        <f>(Q105/100)*AX$41</f>
      </c>
      <c r="AY105" s="6">
        <f>(R105/100)*AY$41</f>
      </c>
      <c r="AZ105" s="6">
        <f>(S105/100)*AZ$41</f>
      </c>
      <c r="BA105" s="6">
        <f>(T105/100)*BA$41</f>
      </c>
      <c r="BB105" s="6">
        <f>(U105/100)*BB$41</f>
      </c>
      <c r="BC105" s="6"/>
      <c r="BD105" s="3"/>
      <c r="BE105" s="3"/>
      <c r="BF105" s="7">
        <f>AF105*E105</f>
      </c>
      <c r="BG105" s="6"/>
      <c r="BH105" s="3"/>
      <c r="BI105" s="6"/>
    </row>
    <row x14ac:dyDescent="0.25" r="106" customHeight="1" ht="12.75">
      <c r="A106" s="5" t="s">
        <v>576</v>
      </c>
      <c r="B106" s="3" t="s">
        <v>855</v>
      </c>
      <c r="C106" s="43" t="s">
        <v>856</v>
      </c>
      <c r="D106" s="34" t="s">
        <v>928</v>
      </c>
      <c r="E106" s="6">
        <v>1.49</v>
      </c>
      <c r="F106" s="6">
        <v>0.69</v>
      </c>
      <c r="G106" s="6">
        <v>1.16</v>
      </c>
      <c r="H106" s="31">
        <v>282.38800000000003</v>
      </c>
      <c r="I106" s="6">
        <v>0.26</v>
      </c>
      <c r="J106" s="6">
        <v>0.28</v>
      </c>
      <c r="K106" s="7"/>
      <c r="L106" s="6"/>
      <c r="M106" s="6"/>
      <c r="N106" s="23"/>
      <c r="O106" s="5"/>
      <c r="P106" s="6"/>
      <c r="Q106" s="6"/>
      <c r="R106" s="6"/>
      <c r="S106" s="6"/>
      <c r="T106" s="6"/>
      <c r="U106" s="6"/>
      <c r="V106" s="5"/>
      <c r="W106" s="6"/>
      <c r="X106" s="6">
        <f>E106*F106/100</f>
      </c>
      <c r="Y106" s="6">
        <f>E106*G106/100</f>
      </c>
      <c r="Z106" s="7">
        <f>E106*H106</f>
      </c>
      <c r="AA106" s="7">
        <f>E106*J106</f>
      </c>
      <c r="AB106" s="6">
        <f>E106*I106/100</f>
      </c>
      <c r="AC106" s="15">
        <f>X106+Y106+AB106</f>
      </c>
      <c r="AD106" s="6">
        <f>F106+G106+I106</f>
      </c>
      <c r="AE106" s="3"/>
      <c r="AF106" s="6">
        <f>SUM(AM106:BC106)</f>
      </c>
      <c r="AG106" s="5">
        <f>IF(SUM(AM106:AO106)&gt;0.7*AF106,1,0)</f>
      </c>
      <c r="AH106" s="5">
        <f>IF(AN106&gt;0.4*AF106,1,0)</f>
      </c>
      <c r="AI106" s="5">
        <f>IF(SUM(AP106:AQ106)&gt;0.3*AF106,1,0)</f>
      </c>
      <c r="AJ106" s="5">
        <f>IF(AQ106&gt;0.2*AF106,1,0)</f>
      </c>
      <c r="AK106" s="5">
        <f>IF(SUM(AR106:BC106)&gt;0.3*AF106,1,0)</f>
      </c>
      <c r="AL106" s="3"/>
      <c r="AM106" s="6">
        <f>(F106/100)*AM$41</f>
      </c>
      <c r="AN106" s="6">
        <f>(G106/100)*AN$41</f>
      </c>
      <c r="AO106" s="6">
        <f>(H106/1000000)*AO$41</f>
      </c>
      <c r="AP106" s="6">
        <f>(I106/100)*AP$41</f>
      </c>
      <c r="AQ106" s="6">
        <f>(J106/1000000)*AQ$41</f>
      </c>
      <c r="AR106" s="6">
        <f>(K106/100)*AR$41</f>
      </c>
      <c r="AS106" s="6">
        <f>(L106/100)*AS$41</f>
      </c>
      <c r="AT106" s="6">
        <f>(M106/100)*AT$41</f>
      </c>
      <c r="AU106" s="6">
        <f>(N106/100)*AU$41</f>
      </c>
      <c r="AV106" s="6">
        <f>(O106/1000000)*AV$41</f>
      </c>
      <c r="AW106" s="6">
        <f>(P106/100)*AW$41</f>
      </c>
      <c r="AX106" s="6">
        <f>(Q106/100)*AX$41</f>
      </c>
      <c r="AY106" s="6">
        <f>(R106/100)*AY$41</f>
      </c>
      <c r="AZ106" s="6">
        <f>(S106/100)*AZ$41</f>
      </c>
      <c r="BA106" s="6">
        <f>(T106/100)*BA$41</f>
      </c>
      <c r="BB106" s="6">
        <f>(U106/100)*BB$41</f>
      </c>
      <c r="BC106" s="6"/>
      <c r="BD106" s="3"/>
      <c r="BE106" s="3"/>
      <c r="BF106" s="7">
        <f>AF106*E106</f>
      </c>
      <c r="BG106" s="6"/>
      <c r="BH106" s="3"/>
      <c r="BI106" s="6"/>
    </row>
    <row x14ac:dyDescent="0.25" r="107" customHeight="1" ht="12.75">
      <c r="A107" s="5" t="s">
        <v>805</v>
      </c>
      <c r="B107" s="3" t="s">
        <v>855</v>
      </c>
      <c r="C107" s="43" t="s">
        <v>856</v>
      </c>
      <c r="D107" s="34" t="s">
        <v>928</v>
      </c>
      <c r="E107" s="6">
        <v>2.3</v>
      </c>
      <c r="F107" s="6">
        <v>0.32</v>
      </c>
      <c r="G107" s="6">
        <v>0.66</v>
      </c>
      <c r="H107" s="6">
        <v>191.8</v>
      </c>
      <c r="I107" s="6"/>
      <c r="J107" s="6"/>
      <c r="K107" s="7"/>
      <c r="L107" s="6"/>
      <c r="M107" s="6"/>
      <c r="N107" s="23"/>
      <c r="O107" s="5"/>
      <c r="P107" s="6"/>
      <c r="Q107" s="6"/>
      <c r="R107" s="6"/>
      <c r="S107" s="6"/>
      <c r="T107" s="6"/>
      <c r="U107" s="6"/>
      <c r="V107" s="5"/>
      <c r="W107" s="6"/>
      <c r="X107" s="6">
        <f>E107*F107/100</f>
      </c>
      <c r="Y107" s="6">
        <f>E107*G107/100</f>
      </c>
      <c r="Z107" s="7">
        <f>E107*H107</f>
      </c>
      <c r="AA107" s="7">
        <f>E107*J107</f>
      </c>
      <c r="AB107" s="6">
        <f>E107*I107/100</f>
      </c>
      <c r="AC107" s="15">
        <f>X107+Y107+AB107</f>
      </c>
      <c r="AD107" s="6">
        <f>F107+G107+I107</f>
      </c>
      <c r="AE107" s="3"/>
      <c r="AF107" s="6">
        <f>SUM(AM107:BC107)</f>
      </c>
      <c r="AG107" s="5">
        <f>IF(SUM(AM107:AO107)&gt;0.7*AF107,1,0)</f>
      </c>
      <c r="AH107" s="5">
        <f>IF(AN107&gt;0.4*AF107,1,0)</f>
      </c>
      <c r="AI107" s="5">
        <f>IF(SUM(AP107:AQ107)&gt;0.3*AF107,1,0)</f>
      </c>
      <c r="AJ107" s="5">
        <f>IF(AQ107&gt;0.2*AF107,1,0)</f>
      </c>
      <c r="AK107" s="5">
        <f>IF(SUM(AR107:BC107)&gt;0.3*AF107,1,0)</f>
      </c>
      <c r="AL107" s="3"/>
      <c r="AM107" s="6">
        <f>(F107/100)*AM$41</f>
      </c>
      <c r="AN107" s="6">
        <f>(G107/100)*AN$41</f>
      </c>
      <c r="AO107" s="6">
        <f>(H107/1000000)*AO$41</f>
      </c>
      <c r="AP107" s="6">
        <f>(I107/100)*AP$41</f>
      </c>
      <c r="AQ107" s="6">
        <f>(J107/1000000)*AQ$41</f>
      </c>
      <c r="AR107" s="6">
        <f>(K107/100)*AR$41</f>
      </c>
      <c r="AS107" s="6">
        <f>(L107/100)*AS$41</f>
      </c>
      <c r="AT107" s="6">
        <f>(M107/100)*AT$41</f>
      </c>
      <c r="AU107" s="6">
        <f>(N107/100)*AU$41</f>
      </c>
      <c r="AV107" s="6">
        <f>(O107/1000000)*AV$41</f>
      </c>
      <c r="AW107" s="6">
        <f>(P107/100)*AW$41</f>
      </c>
      <c r="AX107" s="6">
        <f>(Q107/100)*AX$41</f>
      </c>
      <c r="AY107" s="6">
        <f>(R107/100)*AY$41</f>
      </c>
      <c r="AZ107" s="6">
        <f>(S107/100)*AZ$41</f>
      </c>
      <c r="BA107" s="6">
        <f>(T107/100)*BA$41</f>
      </c>
      <c r="BB107" s="6">
        <f>(U107/100)*BB$41</f>
      </c>
      <c r="BC107" s="6"/>
      <c r="BD107" s="3"/>
      <c r="BE107" s="3"/>
      <c r="BF107" s="7">
        <f>AF107*E107</f>
      </c>
      <c r="BG107" s="6"/>
      <c r="BH107" s="3"/>
      <c r="BI107" s="6"/>
    </row>
    <row x14ac:dyDescent="0.25" r="108" customHeight="1" ht="12.75">
      <c r="A108" s="5" t="s">
        <v>600</v>
      </c>
      <c r="B108" s="3" t="s">
        <v>855</v>
      </c>
      <c r="C108" s="43" t="s">
        <v>856</v>
      </c>
      <c r="D108" s="34"/>
      <c r="E108" s="23">
        <v>1.669</v>
      </c>
      <c r="F108" s="6">
        <v>0.28364889155182743</v>
      </c>
      <c r="G108" s="6">
        <v>0.7409466746554823</v>
      </c>
      <c r="H108" s="7">
        <v>18.521533852606353</v>
      </c>
      <c r="I108" s="6">
        <v>0.2611983223487118</v>
      </c>
      <c r="J108" s="6">
        <v>4.419442780107849</v>
      </c>
      <c r="K108" s="7"/>
      <c r="L108" s="6"/>
      <c r="M108" s="6"/>
      <c r="N108" s="23"/>
      <c r="O108" s="5"/>
      <c r="P108" s="6"/>
      <c r="Q108" s="6"/>
      <c r="R108" s="6"/>
      <c r="S108" s="6"/>
      <c r="T108" s="6"/>
      <c r="U108" s="6"/>
      <c r="V108" s="5"/>
      <c r="W108" s="6"/>
      <c r="X108" s="6">
        <f>E108*F108/100</f>
      </c>
      <c r="Y108" s="6">
        <f>E108*G108/100</f>
      </c>
      <c r="Z108" s="7">
        <f>E108*H108</f>
      </c>
      <c r="AA108" s="7">
        <f>E108*J108</f>
      </c>
      <c r="AB108" s="6">
        <f>E108*I108/100</f>
      </c>
      <c r="AC108" s="15">
        <f>X108+Y108+AB108</f>
      </c>
      <c r="AD108" s="6">
        <f>F108+G108+I108</f>
      </c>
      <c r="AE108" s="3"/>
      <c r="AF108" s="6">
        <f>SUM(AM108:BC108)</f>
      </c>
      <c r="AG108" s="5">
        <f>IF(SUM(AM108:AO108)&gt;0.7*AF108,1,0)</f>
      </c>
      <c r="AH108" s="5">
        <f>IF(AN108&gt;0.4*AF108,1,0)</f>
      </c>
      <c r="AI108" s="5">
        <f>IF(SUM(AP108:AQ108)&gt;0.3*AF108,1,0)</f>
      </c>
      <c r="AJ108" s="5">
        <f>IF(AQ108&gt;0.2*AF108,1,0)</f>
      </c>
      <c r="AK108" s="5">
        <f>IF(SUM(AR108:BC108)&gt;0.3*AF108,1,0)</f>
      </c>
      <c r="AL108" s="3"/>
      <c r="AM108" s="6">
        <f>(F108/100)*AM$41</f>
      </c>
      <c r="AN108" s="6">
        <f>(G108/100)*AN$41</f>
      </c>
      <c r="AO108" s="6">
        <f>(H108/1000000)*AO$41</f>
      </c>
      <c r="AP108" s="6">
        <f>(I108/100)*AP$41</f>
      </c>
      <c r="AQ108" s="6">
        <f>(J108/1000000)*AQ$41</f>
      </c>
      <c r="AR108" s="6">
        <f>(K108/100)*AR$41</f>
      </c>
      <c r="AS108" s="6">
        <f>(L108/100)*AS$41</f>
      </c>
      <c r="AT108" s="6">
        <f>(M108/100)*AT$41</f>
      </c>
      <c r="AU108" s="6">
        <f>(N108/100)*AU$41</f>
      </c>
      <c r="AV108" s="6">
        <f>(O108/1000000)*AV$41</f>
      </c>
      <c r="AW108" s="6">
        <f>(P108/100)*AW$41</f>
      </c>
      <c r="AX108" s="6">
        <f>(Q108/100)*AX$41</f>
      </c>
      <c r="AY108" s="6">
        <f>(R108/100)*AY$41</f>
      </c>
      <c r="AZ108" s="6">
        <f>(S108/100)*AZ$41</f>
      </c>
      <c r="BA108" s="6">
        <f>(T108/100)*BA$41</f>
      </c>
      <c r="BB108" s="6">
        <f>(U108/100)*BB$41</f>
      </c>
      <c r="BC108" s="6"/>
      <c r="BD108" s="3"/>
      <c r="BE108" s="3"/>
      <c r="BF108" s="7">
        <f>AF108*E108</f>
      </c>
      <c r="BG108" s="6"/>
      <c r="BH108" s="3"/>
      <c r="BI108" s="6"/>
    </row>
    <row x14ac:dyDescent="0.25" r="109" customHeight="1" ht="12.75">
      <c r="A109" s="5" t="s">
        <v>207</v>
      </c>
      <c r="B109" s="3" t="s">
        <v>855</v>
      </c>
      <c r="C109" s="43" t="s">
        <v>856</v>
      </c>
      <c r="D109" s="34"/>
      <c r="E109" s="6">
        <v>0.75</v>
      </c>
      <c r="F109" s="7">
        <v>2.5734354485776803</v>
      </c>
      <c r="G109" s="6"/>
      <c r="H109" s="31">
        <v>638.4870897155361</v>
      </c>
      <c r="I109" s="6"/>
      <c r="J109" s="6"/>
      <c r="K109" s="7"/>
      <c r="L109" s="6"/>
      <c r="M109" s="6"/>
      <c r="N109" s="23"/>
      <c r="O109" s="5"/>
      <c r="P109" s="6"/>
      <c r="Q109" s="6"/>
      <c r="R109" s="6"/>
      <c r="S109" s="6"/>
      <c r="T109" s="6"/>
      <c r="U109" s="6"/>
      <c r="V109" s="5"/>
      <c r="W109" s="6"/>
      <c r="X109" s="6">
        <f>E109*F109/100</f>
      </c>
      <c r="Y109" s="6">
        <f>E109*G109/100</f>
      </c>
      <c r="Z109" s="7">
        <f>E109*H109</f>
      </c>
      <c r="AA109" s="7">
        <f>E109*J109</f>
      </c>
      <c r="AB109" s="6">
        <f>E109*I109/100</f>
      </c>
      <c r="AC109" s="15">
        <f>X109+Y109+AB109</f>
      </c>
      <c r="AD109" s="6">
        <f>F109+G109+I109</f>
      </c>
      <c r="AE109" s="3"/>
      <c r="AF109" s="6">
        <f>SUM(AM109:BC109)</f>
      </c>
      <c r="AG109" s="5">
        <f>IF(SUM(AM109:AO109)&gt;0.7*AF109,1,0)</f>
      </c>
      <c r="AH109" s="5">
        <f>IF(AN109&gt;0.4*AF109,1,0)</f>
      </c>
      <c r="AI109" s="5">
        <f>IF(SUM(AP109:AQ109)&gt;0.3*AF109,1,0)</f>
      </c>
      <c r="AJ109" s="5">
        <f>IF(AQ109&gt;0.2*AF109,1,0)</f>
      </c>
      <c r="AK109" s="5">
        <f>IF(SUM(AR109:BC109)&gt;0.3*AF109,1,0)</f>
      </c>
      <c r="AL109" s="3"/>
      <c r="AM109" s="6">
        <f>(F109/100)*AM$41</f>
      </c>
      <c r="AN109" s="6">
        <f>(G109/100)*AN$41</f>
      </c>
      <c r="AO109" s="6">
        <f>(H109/1000000)*AO$41</f>
      </c>
      <c r="AP109" s="6">
        <f>(I109/100)*AP$41</f>
      </c>
      <c r="AQ109" s="6">
        <f>(J109/1000000)*AQ$41</f>
      </c>
      <c r="AR109" s="6">
        <f>(K109/100)*AR$41</f>
      </c>
      <c r="AS109" s="6">
        <f>(L109/100)*AS$41</f>
      </c>
      <c r="AT109" s="6">
        <f>(M109/100)*AT$41</f>
      </c>
      <c r="AU109" s="6">
        <f>(N109/100)*AU$41</f>
      </c>
      <c r="AV109" s="6">
        <f>(O109/1000000)*AV$41</f>
      </c>
      <c r="AW109" s="6">
        <f>(P109/100)*AW$41</f>
      </c>
      <c r="AX109" s="6">
        <f>(Q109/100)*AX$41</f>
      </c>
      <c r="AY109" s="6">
        <f>(R109/100)*AY$41</f>
      </c>
      <c r="AZ109" s="6">
        <f>(S109/100)*AZ$41</f>
      </c>
      <c r="BA109" s="6">
        <f>(T109/100)*BA$41</f>
      </c>
      <c r="BB109" s="6">
        <f>(U109/100)*BB$41</f>
      </c>
      <c r="BC109" s="6"/>
      <c r="BD109" s="3"/>
      <c r="BE109" s="3"/>
      <c r="BF109" s="7">
        <f>AF109*E109</f>
      </c>
      <c r="BG109" s="6"/>
      <c r="BH109" s="3"/>
      <c r="BI109" s="6"/>
    </row>
    <row x14ac:dyDescent="0.25" r="110" customHeight="1" ht="12.75">
      <c r="A110" s="5" t="s">
        <v>627</v>
      </c>
      <c r="B110" s="3" t="s">
        <v>855</v>
      </c>
      <c r="C110" s="43" t="s">
        <v>856</v>
      </c>
      <c r="D110" s="34"/>
      <c r="E110" s="6">
        <v>0.285</v>
      </c>
      <c r="F110" s="6">
        <v>2.36</v>
      </c>
      <c r="G110" s="6">
        <v>3.8</v>
      </c>
      <c r="H110" s="31"/>
      <c r="I110" s="6"/>
      <c r="J110" s="6"/>
      <c r="K110" s="7"/>
      <c r="L110" s="6"/>
      <c r="M110" s="6"/>
      <c r="N110" s="23"/>
      <c r="O110" s="5"/>
      <c r="P110" s="6"/>
      <c r="Q110" s="6"/>
      <c r="R110" s="6"/>
      <c r="S110" s="6"/>
      <c r="T110" s="6"/>
      <c r="U110" s="6"/>
      <c r="V110" s="5"/>
      <c r="W110" s="6"/>
      <c r="X110" s="6">
        <f>E110*F110/100</f>
      </c>
      <c r="Y110" s="6">
        <f>E110*G110/100</f>
      </c>
      <c r="Z110" s="7">
        <f>E110*H110</f>
      </c>
      <c r="AA110" s="7">
        <f>E110*J110</f>
      </c>
      <c r="AB110" s="6">
        <f>E110*I110/100</f>
      </c>
      <c r="AC110" s="15">
        <f>X110+Y110+AB110</f>
      </c>
      <c r="AD110" s="6">
        <f>F110+G110+I110</f>
      </c>
      <c r="AE110" s="3"/>
      <c r="AF110" s="6">
        <f>SUM(AM110:BC110)</f>
      </c>
      <c r="AG110" s="5">
        <f>IF(SUM(AM110:AO110)&gt;0.7*AF110,1,0)</f>
      </c>
      <c r="AH110" s="5">
        <f>IF(AN110&gt;0.4*AF110,1,0)</f>
      </c>
      <c r="AI110" s="5">
        <f>IF(SUM(AP110:AQ110)&gt;0.3*AF110,1,0)</f>
      </c>
      <c r="AJ110" s="5">
        <f>IF(AQ110&gt;0.2*AF110,1,0)</f>
      </c>
      <c r="AK110" s="5">
        <f>IF(SUM(AR110:BC110)&gt;0.3*AF110,1,0)</f>
      </c>
      <c r="AL110" s="3"/>
      <c r="AM110" s="6">
        <f>(F110/100)*AM$41</f>
      </c>
      <c r="AN110" s="6">
        <f>(G110/100)*AN$41</f>
      </c>
      <c r="AO110" s="6">
        <f>(H110/1000000)*AO$41</f>
      </c>
      <c r="AP110" s="6">
        <f>(I110/100)*AP$41</f>
      </c>
      <c r="AQ110" s="6">
        <f>(J110/1000000)*AQ$41</f>
      </c>
      <c r="AR110" s="6">
        <f>(K110/100)*AR$41</f>
      </c>
      <c r="AS110" s="6">
        <f>(L110/100)*AS$41</f>
      </c>
      <c r="AT110" s="6">
        <f>(M110/100)*AT$41</f>
      </c>
      <c r="AU110" s="6">
        <f>(N110/100)*AU$41</f>
      </c>
      <c r="AV110" s="6">
        <f>(O110/1000000)*AV$41</f>
      </c>
      <c r="AW110" s="6">
        <f>(P110/100)*AW$41</f>
      </c>
      <c r="AX110" s="6">
        <f>(Q110/100)*AX$41</f>
      </c>
      <c r="AY110" s="6">
        <f>(R110/100)*AY$41</f>
      </c>
      <c r="AZ110" s="6">
        <f>(S110/100)*AZ$41</f>
      </c>
      <c r="BA110" s="6">
        <f>(T110/100)*BA$41</f>
      </c>
      <c r="BB110" s="6">
        <f>(U110/100)*BB$41</f>
      </c>
      <c r="BC110" s="6"/>
      <c r="BD110" s="3"/>
      <c r="BE110" s="3"/>
      <c r="BF110" s="7">
        <f>AF110*E110</f>
      </c>
      <c r="BG110" s="6"/>
      <c r="BH110" s="3"/>
      <c r="BI110" s="6"/>
    </row>
    <row x14ac:dyDescent="0.25" r="111" customHeight="1" ht="12.75">
      <c r="A111" s="5" t="s">
        <v>771</v>
      </c>
      <c r="B111" s="3" t="s">
        <v>855</v>
      </c>
      <c r="C111" s="43" t="s">
        <v>856</v>
      </c>
      <c r="D111" s="34"/>
      <c r="E111" s="23">
        <v>4.617036</v>
      </c>
      <c r="F111" s="6">
        <v>0.19544061774697014</v>
      </c>
      <c r="G111" s="6">
        <v>0.18035367148967432</v>
      </c>
      <c r="H111" s="7">
        <v>172.21633999366694</v>
      </c>
      <c r="I111" s="6"/>
      <c r="J111" s="23">
        <v>0.06309008398461696</v>
      </c>
      <c r="K111" s="7"/>
      <c r="L111" s="6"/>
      <c r="M111" s="6"/>
      <c r="N111" s="23"/>
      <c r="O111" s="5"/>
      <c r="P111" s="6"/>
      <c r="Q111" s="6"/>
      <c r="R111" s="6"/>
      <c r="S111" s="6"/>
      <c r="T111" s="6"/>
      <c r="U111" s="6"/>
      <c r="V111" s="5"/>
      <c r="W111" s="6"/>
      <c r="X111" s="6">
        <f>E111*F111/100</f>
      </c>
      <c r="Y111" s="6">
        <f>E111*G111/100</f>
      </c>
      <c r="Z111" s="7">
        <f>E111*H111</f>
      </c>
      <c r="AA111" s="7">
        <f>E111*J111</f>
      </c>
      <c r="AB111" s="6">
        <f>E111*I111/100</f>
      </c>
      <c r="AC111" s="15">
        <f>X111+Y111+AB111</f>
      </c>
      <c r="AD111" s="6">
        <f>F111+G111+I111</f>
      </c>
      <c r="AE111" s="3"/>
      <c r="AF111" s="6">
        <f>SUM(AM111:BC111)</f>
      </c>
      <c r="AG111" s="5">
        <f>IF(SUM(AM111:AO111)&gt;0.7*AF111,1,0)</f>
      </c>
      <c r="AH111" s="5">
        <f>IF(AN111&gt;0.4*AF111,1,0)</f>
      </c>
      <c r="AI111" s="5">
        <f>IF(SUM(AP111:AQ111)&gt;0.3*AF111,1,0)</f>
      </c>
      <c r="AJ111" s="5">
        <f>IF(AQ111&gt;0.2*AF111,1,0)</f>
      </c>
      <c r="AK111" s="5">
        <f>IF(SUM(AR111:BC111)&gt;0.3*AF111,1,0)</f>
      </c>
      <c r="AL111" s="3"/>
      <c r="AM111" s="6">
        <f>(F111/100)*AM$41</f>
      </c>
      <c r="AN111" s="6">
        <f>(G111/100)*AN$41</f>
      </c>
      <c r="AO111" s="6">
        <f>(H111/1000000)*AO$41</f>
      </c>
      <c r="AP111" s="6">
        <f>(I111/100)*AP$41</f>
      </c>
      <c r="AQ111" s="6">
        <f>(J111/1000000)*AQ$41</f>
      </c>
      <c r="AR111" s="6">
        <f>(K111/100)*AR$41</f>
      </c>
      <c r="AS111" s="6">
        <f>(L111/100)*AS$41</f>
      </c>
      <c r="AT111" s="6">
        <f>(M111/100)*AT$41</f>
      </c>
      <c r="AU111" s="6">
        <f>(N111/100)*AU$41</f>
      </c>
      <c r="AV111" s="6">
        <f>(O111/1000000)*AV$41</f>
      </c>
      <c r="AW111" s="6">
        <f>(P111/100)*AW$41</f>
      </c>
      <c r="AX111" s="6">
        <f>(Q111/100)*AX$41</f>
      </c>
      <c r="AY111" s="6">
        <f>(R111/100)*AY$41</f>
      </c>
      <c r="AZ111" s="6">
        <f>(S111/100)*AZ$41</f>
      </c>
      <c r="BA111" s="6">
        <f>(T111/100)*BA$41</f>
      </c>
      <c r="BB111" s="6">
        <f>(U111/100)*BB$41</f>
      </c>
      <c r="BC111" s="6"/>
      <c r="BD111" s="3"/>
      <c r="BE111" s="3"/>
      <c r="BF111" s="7">
        <f>AF111*E111</f>
      </c>
      <c r="BG111" s="6"/>
      <c r="BH111" s="3"/>
      <c r="BI111" s="6"/>
    </row>
    <row x14ac:dyDescent="0.25" r="112" customHeight="1" ht="12.75">
      <c r="A112" s="5" t="s">
        <v>261</v>
      </c>
      <c r="B112" s="3" t="s">
        <v>855</v>
      </c>
      <c r="C112" s="43" t="s">
        <v>856</v>
      </c>
      <c r="D112" s="34" t="s">
        <v>929</v>
      </c>
      <c r="E112" s="23">
        <v>0.145097</v>
      </c>
      <c r="F112" s="6">
        <v>11.46</v>
      </c>
      <c r="G112" s="6"/>
      <c r="H112" s="7"/>
      <c r="I112" s="6"/>
      <c r="J112" s="6"/>
      <c r="K112" s="7"/>
      <c r="L112" s="6"/>
      <c r="M112" s="6"/>
      <c r="N112" s="23"/>
      <c r="O112" s="5"/>
      <c r="P112" s="6"/>
      <c r="Q112" s="6"/>
      <c r="R112" s="6"/>
      <c r="S112" s="6"/>
      <c r="T112" s="6"/>
      <c r="U112" s="6"/>
      <c r="V112" s="5"/>
      <c r="W112" s="6"/>
      <c r="X112" s="6">
        <f>E112*F112/100</f>
      </c>
      <c r="Y112" s="6">
        <f>E112*G112/100</f>
      </c>
      <c r="Z112" s="7">
        <f>E112*H112</f>
      </c>
      <c r="AA112" s="7">
        <f>E112*J112</f>
      </c>
      <c r="AB112" s="6">
        <f>E112*I112/100</f>
      </c>
      <c r="AC112" s="15">
        <f>X112+Y112+AB112</f>
      </c>
      <c r="AD112" s="6">
        <f>F112+G112+I112</f>
      </c>
      <c r="AE112" s="3"/>
      <c r="AF112" s="6">
        <f>SUM(AM112:BC112)</f>
      </c>
      <c r="AG112" s="5">
        <f>IF(SUM(AM112:AO112)&gt;0.7*AF112,1,0)</f>
      </c>
      <c r="AH112" s="5">
        <f>IF(AN112&gt;0.4*AF112,1,0)</f>
      </c>
      <c r="AI112" s="5">
        <f>IF(SUM(AP112:AQ112)&gt;0.3*AF112,1,0)</f>
      </c>
      <c r="AJ112" s="5">
        <f>IF(AQ112&gt;0.2*AF112,1,0)</f>
      </c>
      <c r="AK112" s="5">
        <f>IF(SUM(AR112:BC112)&gt;0.3*AF112,1,0)</f>
      </c>
      <c r="AL112" s="3"/>
      <c r="AM112" s="6">
        <f>(F112/100)*AM$41</f>
      </c>
      <c r="AN112" s="6">
        <f>(G112/100)*AN$41</f>
      </c>
      <c r="AO112" s="6">
        <f>(H112/1000000)*AO$41</f>
      </c>
      <c r="AP112" s="6">
        <f>(I112/100)*AP$41</f>
      </c>
      <c r="AQ112" s="6">
        <f>(J112/1000000)*AQ$41</f>
      </c>
      <c r="AR112" s="6">
        <f>(K112/100)*AR$41</f>
      </c>
      <c r="AS112" s="6">
        <f>(L112/100)*AS$41</f>
      </c>
      <c r="AT112" s="6">
        <f>(M112/100)*AT$41</f>
      </c>
      <c r="AU112" s="6">
        <f>(N112/100)*AU$41</f>
      </c>
      <c r="AV112" s="6">
        <f>(O112/1000000)*AV$41</f>
      </c>
      <c r="AW112" s="6">
        <f>(P112/100)*AW$41</f>
      </c>
      <c r="AX112" s="6">
        <f>(Q112/100)*AX$41</f>
      </c>
      <c r="AY112" s="6">
        <f>(R112/100)*AY$41</f>
      </c>
      <c r="AZ112" s="6">
        <f>(S112/100)*AZ$41</f>
      </c>
      <c r="BA112" s="6">
        <f>(T112/100)*BA$41</f>
      </c>
      <c r="BB112" s="6">
        <f>(U112/100)*BB$41</f>
      </c>
      <c r="BC112" s="6"/>
      <c r="BD112" s="3"/>
      <c r="BE112" s="3"/>
      <c r="BF112" s="7">
        <f>AF112*E112</f>
      </c>
      <c r="BG112" s="6"/>
      <c r="BH112" s="3"/>
      <c r="BI112" s="6"/>
    </row>
    <row x14ac:dyDescent="0.25" r="113" customHeight="1" ht="12.75">
      <c r="A113" s="5" t="s">
        <v>223</v>
      </c>
      <c r="B113" s="3" t="s">
        <v>855</v>
      </c>
      <c r="C113" s="43" t="s">
        <v>856</v>
      </c>
      <c r="D113" s="34"/>
      <c r="E113" s="23">
        <v>0.31</v>
      </c>
      <c r="F113" s="6">
        <v>2.063064516129032</v>
      </c>
      <c r="G113" s="6">
        <v>3.029516129032258</v>
      </c>
      <c r="H113" s="7">
        <v>523.2</v>
      </c>
      <c r="I113" s="6"/>
      <c r="J113" s="6"/>
      <c r="K113" s="7"/>
      <c r="L113" s="6"/>
      <c r="M113" s="6"/>
      <c r="N113" s="23"/>
      <c r="O113" s="5"/>
      <c r="P113" s="6"/>
      <c r="Q113" s="6"/>
      <c r="R113" s="6"/>
      <c r="S113" s="6"/>
      <c r="T113" s="6"/>
      <c r="U113" s="6"/>
      <c r="V113" s="5"/>
      <c r="W113" s="6"/>
      <c r="X113" s="6">
        <f>E113*F113/100</f>
      </c>
      <c r="Y113" s="6">
        <f>E113*G113/100</f>
      </c>
      <c r="Z113" s="7">
        <f>E113*H113</f>
      </c>
      <c r="AA113" s="7">
        <f>E113*J113</f>
      </c>
      <c r="AB113" s="6">
        <f>E113*I113/100</f>
      </c>
      <c r="AC113" s="15">
        <f>X113+Y113+AB113</f>
      </c>
      <c r="AD113" s="6">
        <f>F113+G113+I113</f>
      </c>
      <c r="AE113" s="3"/>
      <c r="AF113" s="6">
        <f>SUM(AM113:BC113)</f>
      </c>
      <c r="AG113" s="5">
        <f>IF(SUM(AM113:AO113)&gt;0.7*AF113,1,0)</f>
      </c>
      <c r="AH113" s="5">
        <f>IF(AN113&gt;0.4*AF113,1,0)</f>
      </c>
      <c r="AI113" s="5">
        <f>IF(SUM(AP113:AQ113)&gt;0.3*AF113,1,0)</f>
      </c>
      <c r="AJ113" s="5">
        <f>IF(AQ113&gt;0.2*AF113,1,0)</f>
      </c>
      <c r="AK113" s="5">
        <f>IF(SUM(AR113:BC113)&gt;0.3*AF113,1,0)</f>
      </c>
      <c r="AL113" s="3"/>
      <c r="AM113" s="6">
        <f>(F113/100)*AM$41</f>
      </c>
      <c r="AN113" s="6">
        <f>(G113/100)*AN$41</f>
      </c>
      <c r="AO113" s="6">
        <f>(H113/1000000)*AO$41</f>
      </c>
      <c r="AP113" s="6">
        <f>(I113/100)*AP$41</f>
      </c>
      <c r="AQ113" s="6">
        <f>(J113/1000000)*AQ$41</f>
      </c>
      <c r="AR113" s="6">
        <f>(K113/100)*AR$41</f>
      </c>
      <c r="AS113" s="6">
        <f>(L113/100)*AS$41</f>
      </c>
      <c r="AT113" s="6">
        <f>(M113/100)*AT$41</f>
      </c>
      <c r="AU113" s="6">
        <f>(N113/100)*AU$41</f>
      </c>
      <c r="AV113" s="6">
        <f>(O113/1000000)*AV$41</f>
      </c>
      <c r="AW113" s="6">
        <f>(P113/100)*AW$41</f>
      </c>
      <c r="AX113" s="6">
        <f>(Q113/100)*AX$41</f>
      </c>
      <c r="AY113" s="6">
        <f>(R113/100)*AY$41</f>
      </c>
      <c r="AZ113" s="6">
        <f>(S113/100)*AZ$41</f>
      </c>
      <c r="BA113" s="6">
        <f>(T113/100)*BA$41</f>
      </c>
      <c r="BB113" s="6">
        <f>(U113/100)*BB$41</f>
      </c>
      <c r="BC113" s="6"/>
      <c r="BD113" s="3"/>
      <c r="BE113" s="3"/>
      <c r="BF113" s="7">
        <f>AF113*E113</f>
      </c>
      <c r="BG113" s="6"/>
      <c r="BH113" s="3"/>
      <c r="BI113" s="6"/>
    </row>
    <row x14ac:dyDescent="0.25" r="114" customHeight="1" ht="12.75">
      <c r="A114" s="5" t="s">
        <v>596</v>
      </c>
      <c r="B114" s="3" t="s">
        <v>855</v>
      </c>
      <c r="C114" s="43" t="s">
        <v>856</v>
      </c>
      <c r="D114" s="34" t="s">
        <v>929</v>
      </c>
      <c r="E114" s="6">
        <v>0.607</v>
      </c>
      <c r="F114" s="6">
        <v>2.4</v>
      </c>
      <c r="G114" s="6"/>
      <c r="H114" s="5">
        <v>26</v>
      </c>
      <c r="I114" s="6"/>
      <c r="J114" s="6">
        <v>0.22</v>
      </c>
      <c r="K114" s="7"/>
      <c r="L114" s="6"/>
      <c r="M114" s="6"/>
      <c r="N114" s="23"/>
      <c r="O114" s="5"/>
      <c r="P114" s="6"/>
      <c r="Q114" s="6"/>
      <c r="R114" s="6"/>
      <c r="S114" s="6"/>
      <c r="T114" s="6"/>
      <c r="U114" s="6"/>
      <c r="V114" s="6">
        <v>1.7</v>
      </c>
      <c r="W114" s="6" t="s">
        <v>950</v>
      </c>
      <c r="X114" s="6">
        <f>E114*F114/100</f>
      </c>
      <c r="Y114" s="6">
        <f>E114*G114/100</f>
      </c>
      <c r="Z114" s="7">
        <f>E114*H114</f>
      </c>
      <c r="AA114" s="7">
        <f>E114*J114</f>
      </c>
      <c r="AB114" s="6">
        <f>E114*I114/100</f>
      </c>
      <c r="AC114" s="15">
        <f>X114+Y114+AB114</f>
      </c>
      <c r="AD114" s="6">
        <f>F114+G114+I114</f>
      </c>
      <c r="AE114" s="3"/>
      <c r="AF114" s="6">
        <f>SUM(AM114:BC114)</f>
      </c>
      <c r="AG114" s="5">
        <f>IF(SUM(AM114:AO114)&gt;0.7*AF114,1,0)</f>
      </c>
      <c r="AH114" s="5">
        <f>IF(AN114&gt;0.4*AF114,1,0)</f>
      </c>
      <c r="AI114" s="5">
        <f>IF(SUM(AP114:AQ114)&gt;0.3*AF114,1,0)</f>
      </c>
      <c r="AJ114" s="5">
        <f>IF(AQ114&gt;0.2*AF114,1,0)</f>
      </c>
      <c r="AK114" s="5">
        <f>IF(SUM(AR114:BC114)&gt;0.3*AF114,1,0)</f>
      </c>
      <c r="AL114" s="3"/>
      <c r="AM114" s="6">
        <f>(F114/100)*AM$41</f>
      </c>
      <c r="AN114" s="6">
        <f>(G114/100)*AN$41</f>
      </c>
      <c r="AO114" s="6">
        <f>(H114/1000000)*AO$41</f>
      </c>
      <c r="AP114" s="6">
        <f>(I114/100)*AP$41</f>
      </c>
      <c r="AQ114" s="6">
        <f>(J114/1000000)*AQ$41</f>
      </c>
      <c r="AR114" s="6">
        <f>(K114/100)*AR$41</f>
      </c>
      <c r="AS114" s="6">
        <f>(L114/100)*AS$41</f>
      </c>
      <c r="AT114" s="6">
        <f>(M114/100)*AT$41</f>
      </c>
      <c r="AU114" s="6">
        <f>(N114/100)*AU$41</f>
      </c>
      <c r="AV114" s="6">
        <f>(O114/1000000)*AV$41</f>
      </c>
      <c r="AW114" s="6">
        <f>(P114/100)*AW$41</f>
      </c>
      <c r="AX114" s="6">
        <f>(Q114/100)*AX$41</f>
      </c>
      <c r="AY114" s="6">
        <f>(R114/100)*AY$41</f>
      </c>
      <c r="AZ114" s="6">
        <f>(S114/100)*AZ$41</f>
      </c>
      <c r="BA114" s="6">
        <f>(T114/100)*BA$41</f>
      </c>
      <c r="BB114" s="6">
        <f>(U114/100)*BB$41</f>
      </c>
      <c r="BC114" s="6">
        <f>(V114/100)*4.31*2204.6</f>
      </c>
      <c r="BD114" s="3" t="s">
        <v>951</v>
      </c>
      <c r="BE114" s="3"/>
      <c r="BF114" s="7">
        <f>AF114*E114</f>
      </c>
      <c r="BG114" s="6"/>
      <c r="BH114" s="3"/>
      <c r="BI114" s="6"/>
    </row>
    <row x14ac:dyDescent="0.25" r="115" customHeight="1" ht="12.75">
      <c r="A115" s="5" t="s">
        <v>787</v>
      </c>
      <c r="B115" s="3" t="s">
        <v>855</v>
      </c>
      <c r="C115" s="43" t="s">
        <v>856</v>
      </c>
      <c r="D115" s="34" t="s">
        <v>928</v>
      </c>
      <c r="E115" s="6">
        <v>6.470000000000001</v>
      </c>
      <c r="F115" s="6"/>
      <c r="G115" s="6">
        <v>0.21882534775888715</v>
      </c>
      <c r="H115" s="31">
        <v>103.05255023183926</v>
      </c>
      <c r="I115" s="6"/>
      <c r="J115" s="6">
        <v>0.131112828438949</v>
      </c>
      <c r="K115" s="7"/>
      <c r="L115" s="6"/>
      <c r="M115" s="6"/>
      <c r="N115" s="23"/>
      <c r="O115" s="5"/>
      <c r="P115" s="6"/>
      <c r="Q115" s="6"/>
      <c r="R115" s="6"/>
      <c r="S115" s="6"/>
      <c r="T115" s="6"/>
      <c r="U115" s="6"/>
      <c r="V115" s="5"/>
      <c r="W115" s="6"/>
      <c r="X115" s="6">
        <f>E115*F115/100</f>
      </c>
      <c r="Y115" s="6">
        <f>E115*G115/100</f>
      </c>
      <c r="Z115" s="7">
        <f>E115*H115</f>
      </c>
      <c r="AA115" s="7">
        <f>E115*J115</f>
      </c>
      <c r="AB115" s="6">
        <f>E115*I115/100</f>
      </c>
      <c r="AC115" s="15">
        <f>X115+Y115+AB115</f>
      </c>
      <c r="AD115" s="6">
        <f>F115+G115+I115</f>
      </c>
      <c r="AE115" s="3"/>
      <c r="AF115" s="6">
        <f>SUM(AM115:BC115)</f>
      </c>
      <c r="AG115" s="5">
        <f>IF(SUM(AM115:AO115)&gt;0.7*AF115,1,0)</f>
      </c>
      <c r="AH115" s="5">
        <f>IF(AN115&gt;0.4*AF115,1,0)</f>
      </c>
      <c r="AI115" s="5">
        <f>IF(SUM(AP115:AQ115)&gt;0.3*AF115,1,0)</f>
      </c>
      <c r="AJ115" s="5">
        <f>IF(AQ115&gt;0.2*AF115,1,0)</f>
      </c>
      <c r="AK115" s="5">
        <f>IF(SUM(AR115:BC115)&gt;0.3*AF115,1,0)</f>
      </c>
      <c r="AL115" s="3"/>
      <c r="AM115" s="6">
        <f>(F115/100)*AM$41</f>
      </c>
      <c r="AN115" s="6">
        <f>(G115/100)*AN$41</f>
      </c>
      <c r="AO115" s="6">
        <f>(H115/1000000)*AO$41</f>
      </c>
      <c r="AP115" s="6">
        <f>(I115/100)*AP$41</f>
      </c>
      <c r="AQ115" s="6">
        <f>(J115/1000000)*AQ$41</f>
      </c>
      <c r="AR115" s="6">
        <f>(K115/100)*AR$41</f>
      </c>
      <c r="AS115" s="6">
        <f>(L115/100)*AS$41</f>
      </c>
      <c r="AT115" s="6">
        <f>(M115/100)*AT$41</f>
      </c>
      <c r="AU115" s="6">
        <f>(N115/100)*AU$41</f>
      </c>
      <c r="AV115" s="6">
        <f>(O115/1000000)*AV$41</f>
      </c>
      <c r="AW115" s="6">
        <f>(P115/100)*AW$41</f>
      </c>
      <c r="AX115" s="6">
        <f>(Q115/100)*AX$41</f>
      </c>
      <c r="AY115" s="6">
        <f>(R115/100)*AY$41</f>
      </c>
      <c r="AZ115" s="6">
        <f>(S115/100)*AZ$41</f>
      </c>
      <c r="BA115" s="6">
        <f>(T115/100)*BA$41</f>
      </c>
      <c r="BB115" s="6">
        <f>(U115/100)*BB$41</f>
      </c>
      <c r="BC115" s="6"/>
      <c r="BD115" s="3"/>
      <c r="BE115" s="3"/>
      <c r="BF115" s="7">
        <f>AF115*E115</f>
      </c>
      <c r="BG115" s="6"/>
      <c r="BH115" s="3"/>
      <c r="BI115" s="6"/>
    </row>
    <row x14ac:dyDescent="0.25" r="116" customHeight="1" ht="12.75">
      <c r="A116" s="5" t="s">
        <v>574</v>
      </c>
      <c r="B116" s="3" t="s">
        <v>855</v>
      </c>
      <c r="C116" s="43" t="s">
        <v>856</v>
      </c>
      <c r="D116" s="34"/>
      <c r="E116" s="6">
        <v>0.1745</v>
      </c>
      <c r="F116" s="6">
        <v>6.81</v>
      </c>
      <c r="G116" s="6"/>
      <c r="H116" s="7"/>
      <c r="I116" s="6"/>
      <c r="J116" s="6"/>
      <c r="K116" s="7"/>
      <c r="L116" s="6"/>
      <c r="M116" s="6"/>
      <c r="N116" s="23"/>
      <c r="O116" s="5"/>
      <c r="P116" s="6"/>
      <c r="Q116" s="6"/>
      <c r="R116" s="6"/>
      <c r="S116" s="6"/>
      <c r="T116" s="6"/>
      <c r="U116" s="6"/>
      <c r="V116" s="5"/>
      <c r="W116" s="6"/>
      <c r="X116" s="6">
        <f>E116*F116/100</f>
      </c>
      <c r="Y116" s="6">
        <f>E116*G116/100</f>
      </c>
      <c r="Z116" s="7">
        <f>E116*H116</f>
      </c>
      <c r="AA116" s="7">
        <f>E116*J116</f>
      </c>
      <c r="AB116" s="6">
        <f>E116*I116/100</f>
      </c>
      <c r="AC116" s="15">
        <f>X116+Y116+AB116</f>
      </c>
      <c r="AD116" s="6">
        <f>F116+G116+I116</f>
      </c>
      <c r="AE116" s="3"/>
      <c r="AF116" s="6">
        <f>SUM(AM116:BC116)</f>
      </c>
      <c r="AG116" s="5">
        <f>IF(SUM(AM116:AO116)&gt;0.7*AF116,1,0)</f>
      </c>
      <c r="AH116" s="5">
        <f>IF(AN116&gt;0.4*AF116,1,0)</f>
      </c>
      <c r="AI116" s="5">
        <f>IF(SUM(AP116:AQ116)&gt;0.3*AF116,1,0)</f>
      </c>
      <c r="AJ116" s="5">
        <f>IF(AQ116&gt;0.2*AF116,1,0)</f>
      </c>
      <c r="AK116" s="5">
        <f>IF(SUM(AR116:BC116)&gt;0.3*AF116,1,0)</f>
      </c>
      <c r="AL116" s="3"/>
      <c r="AM116" s="6">
        <f>(F116/100)*AM$41</f>
      </c>
      <c r="AN116" s="6">
        <f>(G116/100)*AN$41</f>
      </c>
      <c r="AO116" s="6">
        <f>(H116/1000000)*AO$41</f>
      </c>
      <c r="AP116" s="6">
        <f>(I116/100)*AP$41</f>
      </c>
      <c r="AQ116" s="6">
        <f>(J116/1000000)*AQ$41</f>
      </c>
      <c r="AR116" s="6">
        <f>(K116/100)*AR$41</f>
      </c>
      <c r="AS116" s="6">
        <f>(L116/100)*AS$41</f>
      </c>
      <c r="AT116" s="6">
        <f>(M116/100)*AT$41</f>
      </c>
      <c r="AU116" s="6">
        <f>(N116/100)*AU$41</f>
      </c>
      <c r="AV116" s="6">
        <f>(O116/1000000)*AV$41</f>
      </c>
      <c r="AW116" s="6">
        <f>(P116/100)*AW$41</f>
      </c>
      <c r="AX116" s="6">
        <f>(Q116/100)*AX$41</f>
      </c>
      <c r="AY116" s="6">
        <f>(R116/100)*AY$41</f>
      </c>
      <c r="AZ116" s="6">
        <f>(S116/100)*AZ$41</f>
      </c>
      <c r="BA116" s="6">
        <f>(T116/100)*BA$41</f>
      </c>
      <c r="BB116" s="6">
        <f>(U116/100)*BB$41</f>
      </c>
      <c r="BC116" s="6"/>
      <c r="BD116" s="3"/>
      <c r="BE116" s="3"/>
      <c r="BF116" s="7">
        <f>AF116*E116</f>
      </c>
      <c r="BG116" s="6"/>
      <c r="BH116" s="3"/>
      <c r="BI116" s="6"/>
    </row>
    <row x14ac:dyDescent="0.25" r="117" customHeight="1" ht="12.75">
      <c r="A117" s="5" t="s">
        <v>339</v>
      </c>
      <c r="B117" s="3" t="s">
        <v>855</v>
      </c>
      <c r="C117" s="43" t="s">
        <v>856</v>
      </c>
      <c r="D117" s="34"/>
      <c r="E117" s="23">
        <v>0.32123952</v>
      </c>
      <c r="F117" s="6">
        <v>1.7789438011861052</v>
      </c>
      <c r="G117" s="6">
        <v>1.6213696695848627</v>
      </c>
      <c r="H117" s="31">
        <v>357.17508823322856</v>
      </c>
      <c r="I117" s="6"/>
      <c r="J117" s="6">
        <v>1.151865405601403</v>
      </c>
      <c r="K117" s="7"/>
      <c r="L117" s="6"/>
      <c r="M117" s="6"/>
      <c r="N117" s="23"/>
      <c r="O117" s="5"/>
      <c r="P117" s="6"/>
      <c r="Q117" s="6"/>
      <c r="R117" s="6"/>
      <c r="S117" s="6"/>
      <c r="T117" s="6"/>
      <c r="U117" s="6"/>
      <c r="V117" s="5"/>
      <c r="W117" s="6"/>
      <c r="X117" s="6">
        <f>E117*F117/100</f>
      </c>
      <c r="Y117" s="6">
        <f>E117*G117/100</f>
      </c>
      <c r="Z117" s="7">
        <f>E117*H117</f>
      </c>
      <c r="AA117" s="7">
        <f>E117*J117</f>
      </c>
      <c r="AB117" s="6">
        <f>E117*I117/100</f>
      </c>
      <c r="AC117" s="15">
        <f>X117+Y117+AB117</f>
      </c>
      <c r="AD117" s="6">
        <f>F117+G117+I117</f>
      </c>
      <c r="AE117" s="3"/>
      <c r="AF117" s="6">
        <f>SUM(AM117:BC117)</f>
      </c>
      <c r="AG117" s="5">
        <f>IF(SUM(AM117:AO117)&gt;0.7*AF117,1,0)</f>
      </c>
      <c r="AH117" s="5">
        <f>IF(AN117&gt;0.4*AF117,1,0)</f>
      </c>
      <c r="AI117" s="5">
        <f>IF(SUM(AP117:AQ117)&gt;0.3*AF117,1,0)</f>
      </c>
      <c r="AJ117" s="5">
        <f>IF(AQ117&gt;0.2*AF117,1,0)</f>
      </c>
      <c r="AK117" s="5">
        <f>IF(SUM(AR117:BC117)&gt;0.3*AF117,1,0)</f>
      </c>
      <c r="AL117" s="3"/>
      <c r="AM117" s="6">
        <f>(F117/100)*AM$41</f>
      </c>
      <c r="AN117" s="6">
        <f>(G117/100)*AN$41</f>
      </c>
      <c r="AO117" s="6">
        <f>(H117/1000000)*AO$41</f>
      </c>
      <c r="AP117" s="6">
        <f>(I117/100)*AP$41</f>
      </c>
      <c r="AQ117" s="6">
        <f>(J117/1000000)*AQ$41</f>
      </c>
      <c r="AR117" s="6">
        <f>(K117/100)*AR$41</f>
      </c>
      <c r="AS117" s="6">
        <f>(L117/100)*AS$41</f>
      </c>
      <c r="AT117" s="6">
        <f>(M117/100)*AT$41</f>
      </c>
      <c r="AU117" s="6">
        <f>(N117/100)*AU$41</f>
      </c>
      <c r="AV117" s="6">
        <f>(O117/1000000)*AV$41</f>
      </c>
      <c r="AW117" s="6">
        <f>(P117/100)*AW$41</f>
      </c>
      <c r="AX117" s="6">
        <f>(Q117/100)*AX$41</f>
      </c>
      <c r="AY117" s="6">
        <f>(R117/100)*AY$41</f>
      </c>
      <c r="AZ117" s="6">
        <f>(S117/100)*AZ$41</f>
      </c>
      <c r="BA117" s="6">
        <f>(T117/100)*BA$41</f>
      </c>
      <c r="BB117" s="6">
        <f>(U117/100)*BB$41</f>
      </c>
      <c r="BC117" s="6"/>
      <c r="BD117" s="3"/>
      <c r="BE117" s="3"/>
      <c r="BF117" s="7">
        <f>AF117*E117</f>
      </c>
      <c r="BG117" s="6"/>
      <c r="BH117" s="3"/>
      <c r="BI117" s="6"/>
    </row>
    <row x14ac:dyDescent="0.25" r="118" customHeight="1" ht="12.75">
      <c r="A118" s="5" t="s">
        <v>160</v>
      </c>
      <c r="B118" s="3" t="s">
        <v>855</v>
      </c>
      <c r="C118" s="43" t="s">
        <v>856</v>
      </c>
      <c r="D118" s="34" t="s">
        <v>935</v>
      </c>
      <c r="E118" s="6">
        <v>0.373</v>
      </c>
      <c r="F118" s="6">
        <v>2.27</v>
      </c>
      <c r="G118" s="6"/>
      <c r="H118" s="7">
        <v>629.7438999999999</v>
      </c>
      <c r="I118" s="6">
        <v>0.44</v>
      </c>
      <c r="J118" s="6">
        <v>0.5598</v>
      </c>
      <c r="K118" s="7"/>
      <c r="L118" s="6"/>
      <c r="M118" s="6"/>
      <c r="N118" s="23"/>
      <c r="O118" s="5"/>
      <c r="P118" s="6"/>
      <c r="Q118" s="6"/>
      <c r="R118" s="6"/>
      <c r="S118" s="6"/>
      <c r="T118" s="6"/>
      <c r="U118" s="6"/>
      <c r="V118" s="5"/>
      <c r="W118" s="6"/>
      <c r="X118" s="6">
        <f>E118*F118/100</f>
      </c>
      <c r="Y118" s="6">
        <f>E118*G118/100</f>
      </c>
      <c r="Z118" s="7">
        <f>E118*H118</f>
      </c>
      <c r="AA118" s="7">
        <f>E118*J118</f>
      </c>
      <c r="AB118" s="6">
        <f>E118*I118/100</f>
      </c>
      <c r="AC118" s="15">
        <f>X118+Y118+AB118</f>
      </c>
      <c r="AD118" s="6">
        <f>F118+G118+I118</f>
      </c>
      <c r="AE118" s="3"/>
      <c r="AF118" s="6">
        <f>SUM(AM118:BC118)</f>
      </c>
      <c r="AG118" s="5">
        <f>IF(SUM(AM118:AO118)&gt;0.7*AF118,1,0)</f>
      </c>
      <c r="AH118" s="5">
        <f>IF(AN118&gt;0.4*AF118,1,0)</f>
      </c>
      <c r="AI118" s="5">
        <f>IF(SUM(AP118:AQ118)&gt;0.3*AF118,1,0)</f>
      </c>
      <c r="AJ118" s="5">
        <f>IF(AQ118&gt;0.2*AF118,1,0)</f>
      </c>
      <c r="AK118" s="5">
        <f>IF(SUM(AR118:BC118)&gt;0.3*AF118,1,0)</f>
      </c>
      <c r="AL118" s="3"/>
      <c r="AM118" s="6">
        <f>(F118/100)*AM$41</f>
      </c>
      <c r="AN118" s="6">
        <f>(G118/100)*AN$41</f>
      </c>
      <c r="AO118" s="6">
        <f>(H118/1000000)*AO$41</f>
      </c>
      <c r="AP118" s="6">
        <f>(I118/100)*AP$41</f>
      </c>
      <c r="AQ118" s="6">
        <f>(J118/1000000)*AQ$41</f>
      </c>
      <c r="AR118" s="6">
        <f>(K118/100)*AR$41</f>
      </c>
      <c r="AS118" s="6">
        <f>(L118/100)*AS$41</f>
      </c>
      <c r="AT118" s="6">
        <f>(M118/100)*AT$41</f>
      </c>
      <c r="AU118" s="6">
        <f>(N118/100)*AU$41</f>
      </c>
      <c r="AV118" s="6">
        <f>(O118/1000000)*AV$41</f>
      </c>
      <c r="AW118" s="6">
        <f>(P118/100)*AW$41</f>
      </c>
      <c r="AX118" s="6">
        <f>(Q118/100)*AX$41</f>
      </c>
      <c r="AY118" s="6">
        <f>(R118/100)*AY$41</f>
      </c>
      <c r="AZ118" s="6">
        <f>(S118/100)*AZ$41</f>
      </c>
      <c r="BA118" s="6">
        <f>(T118/100)*BA$41</f>
      </c>
      <c r="BB118" s="6">
        <f>(U118/100)*BB$41</f>
      </c>
      <c r="BC118" s="6"/>
      <c r="BD118" s="3"/>
      <c r="BE118" s="3"/>
      <c r="BF118" s="7">
        <f>AF118*E118</f>
      </c>
      <c r="BG118" s="6"/>
      <c r="BH118" s="3"/>
      <c r="BI118" s="6"/>
    </row>
    <row x14ac:dyDescent="0.25" r="119" customHeight="1" ht="12.75">
      <c r="A119" s="5" t="s">
        <v>837</v>
      </c>
      <c r="B119" s="3" t="s">
        <v>855</v>
      </c>
      <c r="C119" s="43" t="s">
        <v>856</v>
      </c>
      <c r="D119" s="34"/>
      <c r="E119" s="6">
        <v>0.34</v>
      </c>
      <c r="F119" s="6">
        <v>1.5</v>
      </c>
      <c r="G119" s="6">
        <v>1</v>
      </c>
      <c r="H119" s="7"/>
      <c r="I119" s="6"/>
      <c r="J119" s="6"/>
      <c r="K119" s="7"/>
      <c r="L119" s="6"/>
      <c r="M119" s="6"/>
      <c r="N119" s="23"/>
      <c r="O119" s="5"/>
      <c r="P119" s="6"/>
      <c r="Q119" s="6"/>
      <c r="R119" s="6"/>
      <c r="S119" s="6"/>
      <c r="T119" s="6"/>
      <c r="U119" s="6"/>
      <c r="V119" s="5"/>
      <c r="W119" s="6"/>
      <c r="X119" s="6">
        <f>E119*F119/100</f>
      </c>
      <c r="Y119" s="6">
        <f>E119*G119/100</f>
      </c>
      <c r="Z119" s="7">
        <f>E119*H119</f>
      </c>
      <c r="AA119" s="7">
        <f>E119*J119</f>
      </c>
      <c r="AB119" s="6">
        <f>E119*I119/100</f>
      </c>
      <c r="AC119" s="15">
        <f>X119+Y119+AB119</f>
      </c>
      <c r="AD119" s="6">
        <f>F119+G119+I119</f>
      </c>
      <c r="AE119" s="3"/>
      <c r="AF119" s="6">
        <f>SUM(AM119:BC119)</f>
      </c>
      <c r="AG119" s="5">
        <f>IF(SUM(AM119:AO119)&gt;0.7*AF119,1,0)</f>
      </c>
      <c r="AH119" s="5">
        <f>IF(AN119&gt;0.4*AF119,1,0)</f>
      </c>
      <c r="AI119" s="5">
        <f>IF(SUM(AP119:AQ119)&gt;0.3*AF119,1,0)</f>
      </c>
      <c r="AJ119" s="5">
        <f>IF(AQ119&gt;0.2*AF119,1,0)</f>
      </c>
      <c r="AK119" s="5">
        <f>IF(SUM(AR119:BC119)&gt;0.3*AF119,1,0)</f>
      </c>
      <c r="AL119" s="3"/>
      <c r="AM119" s="6">
        <f>(F119/100)*AM$41</f>
      </c>
      <c r="AN119" s="6">
        <f>(G119/100)*AN$41</f>
      </c>
      <c r="AO119" s="6">
        <f>(H119/1000000)*AO$41</f>
      </c>
      <c r="AP119" s="6">
        <f>(I119/100)*AP$41</f>
      </c>
      <c r="AQ119" s="6">
        <f>(J119/1000000)*AQ$41</f>
      </c>
      <c r="AR119" s="6">
        <f>(K119/100)*AR$41</f>
      </c>
      <c r="AS119" s="6">
        <f>(L119/100)*AS$41</f>
      </c>
      <c r="AT119" s="6">
        <f>(M119/100)*AT$41</f>
      </c>
      <c r="AU119" s="6">
        <f>(N119/100)*AU$41</f>
      </c>
      <c r="AV119" s="6">
        <f>(O119/1000000)*AV$41</f>
      </c>
      <c r="AW119" s="6">
        <f>(P119/100)*AW$41</f>
      </c>
      <c r="AX119" s="6">
        <f>(Q119/100)*AX$41</f>
      </c>
      <c r="AY119" s="6">
        <f>(R119/100)*AY$41</f>
      </c>
      <c r="AZ119" s="6">
        <f>(S119/100)*AZ$41</f>
      </c>
      <c r="BA119" s="6">
        <f>(T119/100)*BA$41</f>
      </c>
      <c r="BB119" s="6">
        <f>(U119/100)*BB$41</f>
      </c>
      <c r="BC119" s="6"/>
      <c r="BD119" s="3"/>
      <c r="BE119" s="3"/>
      <c r="BF119" s="7">
        <f>AF119*E119</f>
      </c>
      <c r="BG119" s="6"/>
      <c r="BH119" s="3"/>
      <c r="BI119" s="6"/>
    </row>
    <row x14ac:dyDescent="0.25" r="120" customHeight="1" ht="12.75">
      <c r="A120" s="5" t="s">
        <v>92</v>
      </c>
      <c r="B120" s="3" t="s">
        <v>855</v>
      </c>
      <c r="C120" s="43" t="s">
        <v>856</v>
      </c>
      <c r="D120" s="34" t="s">
        <v>928</v>
      </c>
      <c r="E120" s="23">
        <v>0.0695</v>
      </c>
      <c r="F120" s="6">
        <v>1.89</v>
      </c>
      <c r="G120" s="6">
        <v>9.12</v>
      </c>
      <c r="H120" s="7">
        <v>555.66</v>
      </c>
      <c r="I120" s="6"/>
      <c r="J120" s="6"/>
      <c r="K120" s="7"/>
      <c r="L120" s="6"/>
      <c r="M120" s="6"/>
      <c r="N120" s="23"/>
      <c r="O120" s="5"/>
      <c r="P120" s="6"/>
      <c r="Q120" s="6"/>
      <c r="R120" s="6"/>
      <c r="S120" s="6"/>
      <c r="T120" s="6"/>
      <c r="U120" s="6"/>
      <c r="V120" s="5"/>
      <c r="W120" s="6"/>
      <c r="X120" s="6">
        <f>E120*F120/100</f>
      </c>
      <c r="Y120" s="6">
        <f>E120*G120/100</f>
      </c>
      <c r="Z120" s="7">
        <f>E120*H120</f>
      </c>
      <c r="AA120" s="7">
        <f>E120*J120</f>
      </c>
      <c r="AB120" s="6">
        <f>E120*I120/100</f>
      </c>
      <c r="AC120" s="15">
        <f>X120+Y120+AB120</f>
      </c>
      <c r="AD120" s="6">
        <f>F120+G120+I120</f>
      </c>
      <c r="AE120" s="3"/>
      <c r="AF120" s="6">
        <f>SUM(AM120:BC120)</f>
      </c>
      <c r="AG120" s="5">
        <f>IF(SUM(AM120:AO120)&gt;0.7*AF120,1,0)</f>
      </c>
      <c r="AH120" s="5">
        <f>IF(AN120&gt;0.4*AF120,1,0)</f>
      </c>
      <c r="AI120" s="5">
        <f>IF(SUM(AP120:AQ120)&gt;0.3*AF120,1,0)</f>
      </c>
      <c r="AJ120" s="5">
        <f>IF(AQ120&gt;0.2*AF120,1,0)</f>
      </c>
      <c r="AK120" s="5">
        <f>IF(SUM(AR120:BC120)&gt;0.3*AF120,1,0)</f>
      </c>
      <c r="AL120" s="3"/>
      <c r="AM120" s="6">
        <f>(F120/100)*AM$41</f>
      </c>
      <c r="AN120" s="6">
        <f>(G120/100)*AN$41</f>
      </c>
      <c r="AO120" s="6">
        <f>(H120/1000000)*AO$41</f>
      </c>
      <c r="AP120" s="6">
        <f>(I120/100)*AP$41</f>
      </c>
      <c r="AQ120" s="6">
        <f>(J120/1000000)*AQ$41</f>
      </c>
      <c r="AR120" s="6">
        <f>(K120/100)*AR$41</f>
      </c>
      <c r="AS120" s="6">
        <f>(L120/100)*AS$41</f>
      </c>
      <c r="AT120" s="6">
        <f>(M120/100)*AT$41</f>
      </c>
      <c r="AU120" s="6">
        <f>(N120/100)*AU$41</f>
      </c>
      <c r="AV120" s="6">
        <f>(O120/1000000)*AV$41</f>
      </c>
      <c r="AW120" s="6">
        <f>(P120/100)*AW$41</f>
      </c>
      <c r="AX120" s="6">
        <f>(Q120/100)*AX$41</f>
      </c>
      <c r="AY120" s="6">
        <f>(R120/100)*AY$41</f>
      </c>
      <c r="AZ120" s="6">
        <f>(S120/100)*AZ$41</f>
      </c>
      <c r="BA120" s="6">
        <f>(T120/100)*BA$41</f>
      </c>
      <c r="BB120" s="6">
        <f>(U120/100)*BB$41</f>
      </c>
      <c r="BC120" s="6"/>
      <c r="BD120" s="3"/>
      <c r="BE120" s="3"/>
      <c r="BF120" s="7">
        <f>AF120*E120</f>
      </c>
      <c r="BG120" s="6"/>
      <c r="BH120" s="3"/>
      <c r="BI120" s="6"/>
    </row>
    <row x14ac:dyDescent="0.25" r="121" customHeight="1" ht="12.75">
      <c r="A121" s="5" t="s">
        <v>617</v>
      </c>
      <c r="B121" s="3" t="s">
        <v>855</v>
      </c>
      <c r="C121" s="43" t="s">
        <v>856</v>
      </c>
      <c r="D121" s="34" t="s">
        <v>924</v>
      </c>
      <c r="E121" s="6">
        <v>0.1163</v>
      </c>
      <c r="F121" s="6">
        <v>1.2</v>
      </c>
      <c r="G121" s="6">
        <v>5.1</v>
      </c>
      <c r="H121" s="5">
        <v>54</v>
      </c>
      <c r="I121" s="6"/>
      <c r="J121" s="6"/>
      <c r="K121" s="7"/>
      <c r="L121" s="6"/>
      <c r="M121" s="6"/>
      <c r="N121" s="23"/>
      <c r="O121" s="5"/>
      <c r="P121" s="6"/>
      <c r="Q121" s="6"/>
      <c r="R121" s="6"/>
      <c r="S121" s="6"/>
      <c r="T121" s="6"/>
      <c r="U121" s="6"/>
      <c r="V121" s="5"/>
      <c r="W121" s="6"/>
      <c r="X121" s="6">
        <f>E121*F121/100</f>
      </c>
      <c r="Y121" s="6">
        <f>E121*G121/100</f>
      </c>
      <c r="Z121" s="7">
        <f>E121*H121</f>
      </c>
      <c r="AA121" s="7">
        <f>E121*J121</f>
      </c>
      <c r="AB121" s="6">
        <f>E121*I121/100</f>
      </c>
      <c r="AC121" s="15">
        <f>X121+Y121+AB121</f>
      </c>
      <c r="AD121" s="6">
        <f>F121+G121+I121</f>
      </c>
      <c r="AE121" s="3"/>
      <c r="AF121" s="6">
        <f>SUM(AM121:BC121)</f>
      </c>
      <c r="AG121" s="5">
        <f>IF(SUM(AM121:AO121)&gt;0.7*AF121,1,0)</f>
      </c>
      <c r="AH121" s="5">
        <f>IF(AN121&gt;0.4*AF121,1,0)</f>
      </c>
      <c r="AI121" s="5">
        <f>IF(SUM(AP121:AQ121)&gt;0.3*AF121,1,0)</f>
      </c>
      <c r="AJ121" s="5">
        <f>IF(AQ121&gt;0.2*AF121,1,0)</f>
      </c>
      <c r="AK121" s="5">
        <f>IF(SUM(AR121:BC121)&gt;0.3*AF121,1,0)</f>
      </c>
      <c r="AL121" s="3"/>
      <c r="AM121" s="6">
        <f>(F121/100)*AM$41</f>
      </c>
      <c r="AN121" s="6">
        <f>(G121/100)*AN$41</f>
      </c>
      <c r="AO121" s="6">
        <f>(H121/1000000)*AO$41</f>
      </c>
      <c r="AP121" s="6">
        <f>(I121/100)*AP$41</f>
      </c>
      <c r="AQ121" s="6">
        <f>(J121/1000000)*AQ$41</f>
      </c>
      <c r="AR121" s="6">
        <f>(K121/100)*AR$41</f>
      </c>
      <c r="AS121" s="6">
        <f>(L121/100)*AS$41</f>
      </c>
      <c r="AT121" s="6">
        <f>(M121/100)*AT$41</f>
      </c>
      <c r="AU121" s="6">
        <f>(N121/100)*AU$41</f>
      </c>
      <c r="AV121" s="6">
        <f>(O121/1000000)*AV$41</f>
      </c>
      <c r="AW121" s="6">
        <f>(P121/100)*AW$41</f>
      </c>
      <c r="AX121" s="6">
        <f>(Q121/100)*AX$41</f>
      </c>
      <c r="AY121" s="6">
        <f>(R121/100)*AY$41</f>
      </c>
      <c r="AZ121" s="6">
        <f>(S121/100)*AZ$41</f>
      </c>
      <c r="BA121" s="6">
        <f>(T121/100)*BA$41</f>
      </c>
      <c r="BB121" s="6">
        <f>(U121/100)*BB$41</f>
      </c>
      <c r="BC121" s="6"/>
      <c r="BD121" s="3"/>
      <c r="BE121" s="3"/>
      <c r="BF121" s="7">
        <f>AF121*E121</f>
      </c>
      <c r="BG121" s="6"/>
      <c r="BH121" s="3"/>
      <c r="BI121" s="6"/>
    </row>
    <row x14ac:dyDescent="0.25" r="122" customHeight="1" ht="12.75">
      <c r="A122" s="5" t="s">
        <v>256</v>
      </c>
      <c r="B122" s="3" t="s">
        <v>855</v>
      </c>
      <c r="C122" s="43" t="s">
        <v>856</v>
      </c>
      <c r="D122" s="34"/>
      <c r="E122" s="6">
        <v>0.064</v>
      </c>
      <c r="F122" s="6">
        <v>3.55</v>
      </c>
      <c r="G122" s="6">
        <v>6.49</v>
      </c>
      <c r="H122" s="7">
        <v>307.8589</v>
      </c>
      <c r="I122" s="6"/>
      <c r="J122" s="6"/>
      <c r="K122" s="7"/>
      <c r="L122" s="6"/>
      <c r="M122" s="6"/>
      <c r="N122" s="23"/>
      <c r="O122" s="5"/>
      <c r="P122" s="6"/>
      <c r="Q122" s="6"/>
      <c r="R122" s="6"/>
      <c r="S122" s="6"/>
      <c r="T122" s="6"/>
      <c r="U122" s="6"/>
      <c r="V122" s="5"/>
      <c r="W122" s="6"/>
      <c r="X122" s="6">
        <f>E122*F122/100</f>
      </c>
      <c r="Y122" s="6">
        <f>E122*G122/100</f>
      </c>
      <c r="Z122" s="7">
        <f>E122*H122</f>
      </c>
      <c r="AA122" s="7">
        <f>E122*J122</f>
      </c>
      <c r="AB122" s="6">
        <f>E122*I122/100</f>
      </c>
      <c r="AC122" s="15">
        <f>X122+Y122+AB122</f>
      </c>
      <c r="AD122" s="6">
        <f>F122+G122+I122</f>
      </c>
      <c r="AE122" s="3"/>
      <c r="AF122" s="6">
        <f>SUM(AM122:BC122)</f>
      </c>
      <c r="AG122" s="5">
        <f>IF(SUM(AM122:AO122)&gt;0.7*AF122,1,0)</f>
      </c>
      <c r="AH122" s="5">
        <f>IF(AN122&gt;0.4*AF122,1,0)</f>
      </c>
      <c r="AI122" s="5">
        <f>IF(SUM(AP122:AQ122)&gt;0.3*AF122,1,0)</f>
      </c>
      <c r="AJ122" s="5">
        <f>IF(AQ122&gt;0.2*AF122,1,0)</f>
      </c>
      <c r="AK122" s="5">
        <f>IF(SUM(AR122:BC122)&gt;0.3*AF122,1,0)</f>
      </c>
      <c r="AL122" s="3"/>
      <c r="AM122" s="6">
        <f>(F122/100)*AM$41</f>
      </c>
      <c r="AN122" s="6">
        <f>(G122/100)*AN$41</f>
      </c>
      <c r="AO122" s="6">
        <f>(H122/1000000)*AO$41</f>
      </c>
      <c r="AP122" s="6">
        <f>(I122/100)*AP$41</f>
      </c>
      <c r="AQ122" s="6">
        <f>(J122/1000000)*AQ$41</f>
      </c>
      <c r="AR122" s="6">
        <f>(K122/100)*AR$41</f>
      </c>
      <c r="AS122" s="6">
        <f>(L122/100)*AS$41</f>
      </c>
      <c r="AT122" s="6">
        <f>(M122/100)*AT$41</f>
      </c>
      <c r="AU122" s="6">
        <f>(N122/100)*AU$41</f>
      </c>
      <c r="AV122" s="6">
        <f>(O122/1000000)*AV$41</f>
      </c>
      <c r="AW122" s="6">
        <f>(P122/100)*AW$41</f>
      </c>
      <c r="AX122" s="6">
        <f>(Q122/100)*AX$41</f>
      </c>
      <c r="AY122" s="6">
        <f>(R122/100)*AY$41</f>
      </c>
      <c r="AZ122" s="6">
        <f>(S122/100)*AZ$41</f>
      </c>
      <c r="BA122" s="6">
        <f>(T122/100)*BA$41</f>
      </c>
      <c r="BB122" s="6">
        <f>(U122/100)*BB$41</f>
      </c>
      <c r="BC122" s="6"/>
      <c r="BD122" s="3"/>
      <c r="BE122" s="3"/>
      <c r="BF122" s="7">
        <f>AF122*E122</f>
      </c>
      <c r="BG122" s="6"/>
      <c r="BH122" s="3"/>
      <c r="BI122" s="6"/>
    </row>
    <row x14ac:dyDescent="0.25" r="123" customHeight="1" ht="12.75">
      <c r="A123" s="5" t="s">
        <v>808</v>
      </c>
      <c r="B123" s="3" t="s">
        <v>855</v>
      </c>
      <c r="C123" s="43" t="s">
        <v>856</v>
      </c>
      <c r="D123" s="34" t="s">
        <v>929</v>
      </c>
      <c r="E123" s="6">
        <v>0.131</v>
      </c>
      <c r="F123" s="7">
        <v>1.8854961832061068</v>
      </c>
      <c r="G123" s="6"/>
      <c r="H123" s="7">
        <v>4.580152671755725</v>
      </c>
      <c r="I123" s="7">
        <v>1.3893129770992365</v>
      </c>
      <c r="J123" s="6"/>
      <c r="K123" s="7"/>
      <c r="L123" s="6"/>
      <c r="M123" s="6"/>
      <c r="N123" s="23"/>
      <c r="O123" s="5"/>
      <c r="P123" s="6"/>
      <c r="Q123" s="6"/>
      <c r="R123" s="6"/>
      <c r="S123" s="6"/>
      <c r="T123" s="6"/>
      <c r="U123" s="6"/>
      <c r="V123" s="5"/>
      <c r="W123" s="6"/>
      <c r="X123" s="6">
        <f>E123*F123/100</f>
      </c>
      <c r="Y123" s="6">
        <f>E123*G123/100</f>
      </c>
      <c r="Z123" s="7">
        <f>E123*H123</f>
      </c>
      <c r="AA123" s="7">
        <f>E123*J123</f>
      </c>
      <c r="AB123" s="6">
        <f>E123*I123/100</f>
      </c>
      <c r="AC123" s="15">
        <f>X123+Y123+AB123</f>
      </c>
      <c r="AD123" s="6">
        <f>F123+G123+I123</f>
      </c>
      <c r="AE123" s="3"/>
      <c r="AF123" s="6">
        <f>SUM(AM123:BC123)</f>
      </c>
      <c r="AG123" s="5">
        <f>IF(SUM(AM123:AO123)&gt;0.7*AF123,1,0)</f>
      </c>
      <c r="AH123" s="5">
        <f>IF(AN123&gt;0.4*AF123,1,0)</f>
      </c>
      <c r="AI123" s="5">
        <f>IF(SUM(AP123:AQ123)&gt;0.3*AF123,1,0)</f>
      </c>
      <c r="AJ123" s="5">
        <f>IF(AQ123&gt;0.2*AF123,1,0)</f>
      </c>
      <c r="AK123" s="5">
        <f>IF(SUM(AR123:BC123)&gt;0.3*AF123,1,0)</f>
      </c>
      <c r="AL123" s="3"/>
      <c r="AM123" s="6">
        <f>(F123/100)*AM$41</f>
      </c>
      <c r="AN123" s="6">
        <f>(G123/100)*AN$41</f>
      </c>
      <c r="AO123" s="6">
        <f>(H123/1000000)*AO$41</f>
      </c>
      <c r="AP123" s="6">
        <f>(I123/100)*AP$41</f>
      </c>
      <c r="AQ123" s="6">
        <f>(J123/1000000)*AQ$41</f>
      </c>
      <c r="AR123" s="6">
        <f>(K123/100)*AR$41</f>
      </c>
      <c r="AS123" s="6">
        <f>(L123/100)*AS$41</f>
      </c>
      <c r="AT123" s="6">
        <f>(M123/100)*AT$41</f>
      </c>
      <c r="AU123" s="6">
        <f>(N123/100)*AU$41</f>
      </c>
      <c r="AV123" s="6">
        <f>(O123/1000000)*AV$41</f>
      </c>
      <c r="AW123" s="6">
        <f>(P123/100)*AW$41</f>
      </c>
      <c r="AX123" s="6">
        <f>(Q123/100)*AX$41</f>
      </c>
      <c r="AY123" s="6">
        <f>(R123/100)*AY$41</f>
      </c>
      <c r="AZ123" s="6">
        <f>(S123/100)*AZ$41</f>
      </c>
      <c r="BA123" s="6">
        <f>(T123/100)*BA$41</f>
      </c>
      <c r="BB123" s="6">
        <f>(U123/100)*BB$41</f>
      </c>
      <c r="BC123" s="6"/>
      <c r="BD123" s="3"/>
      <c r="BE123" s="3"/>
      <c r="BF123" s="7">
        <f>AF123*E123</f>
      </c>
      <c r="BG123" s="6"/>
      <c r="BH123" s="3"/>
      <c r="BI123" s="6"/>
    </row>
    <row x14ac:dyDescent="0.25" r="124" customHeight="1" ht="12.75">
      <c r="A124" s="5" t="s">
        <v>480</v>
      </c>
      <c r="B124" s="3" t="s">
        <v>855</v>
      </c>
      <c r="C124" s="43" t="s">
        <v>856</v>
      </c>
      <c r="D124" s="34" t="s">
        <v>929</v>
      </c>
      <c r="E124" s="23">
        <v>0.03495</v>
      </c>
      <c r="F124" s="6">
        <v>6.2</v>
      </c>
      <c r="G124" s="6">
        <v>1.37</v>
      </c>
      <c r="H124" s="7"/>
      <c r="I124" s="6"/>
      <c r="J124" s="6"/>
      <c r="K124" s="7"/>
      <c r="L124" s="6"/>
      <c r="M124" s="6"/>
      <c r="N124" s="23"/>
      <c r="O124" s="5"/>
      <c r="P124" s="6"/>
      <c r="Q124" s="6"/>
      <c r="R124" s="6"/>
      <c r="S124" s="6"/>
      <c r="T124" s="6"/>
      <c r="U124" s="6"/>
      <c r="V124" s="6">
        <v>36.6</v>
      </c>
      <c r="W124" s="6" t="s">
        <v>944</v>
      </c>
      <c r="X124" s="6">
        <f>E124*F124/100</f>
      </c>
      <c r="Y124" s="6">
        <f>E124*G124/100</f>
      </c>
      <c r="Z124" s="7">
        <f>E124*H124</f>
      </c>
      <c r="AA124" s="7">
        <f>E124*J124</f>
      </c>
      <c r="AB124" s="6">
        <f>E124*I124/100</f>
      </c>
      <c r="AC124" s="15">
        <f>X124+Y124+AB124</f>
      </c>
      <c r="AD124" s="6">
        <f>F124+G124+I124</f>
      </c>
      <c r="AE124" s="3"/>
      <c r="AF124" s="6">
        <f>SUM(AM124:BC124)</f>
      </c>
      <c r="AG124" s="5">
        <f>IF(SUM(AM124:AO124)&gt;0.7*AF124,1,0)</f>
      </c>
      <c r="AH124" s="5">
        <f>IF(AN124&gt;0.4*AF124,1,0)</f>
      </c>
      <c r="AI124" s="5">
        <f>IF(SUM(AP124:AQ124)&gt;0.3*AF124,1,0)</f>
      </c>
      <c r="AJ124" s="5">
        <f>IF(AQ124&gt;0.2*AF124,1,0)</f>
      </c>
      <c r="AK124" s="5">
        <f>IF(SUM(AR124:BC124)&gt;0.3*AF124,1,0)</f>
      </c>
      <c r="AL124" s="3"/>
      <c r="AM124" s="6">
        <f>(F124/100)*AM$41</f>
      </c>
      <c r="AN124" s="6">
        <f>(G124/100)*AN$41</f>
      </c>
      <c r="AO124" s="6">
        <f>(H124/1000000)*AO$41</f>
      </c>
      <c r="AP124" s="6">
        <f>(I124/100)*AP$41</f>
      </c>
      <c r="AQ124" s="6">
        <f>(J124/1000000)*AQ$41</f>
      </c>
      <c r="AR124" s="6">
        <f>(K124/100)*AR$41</f>
      </c>
      <c r="AS124" s="6">
        <f>(L124/100)*AS$41</f>
      </c>
      <c r="AT124" s="6">
        <f>(M124/100)*AT$41</f>
      </c>
      <c r="AU124" s="6">
        <f>(N124/100)*AU$41</f>
      </c>
      <c r="AV124" s="6">
        <f>(O124/1000000)*AV$41</f>
      </c>
      <c r="AW124" s="6">
        <f>(P124/100)*AW$41</f>
      </c>
      <c r="AX124" s="6">
        <f>(Q124/100)*AX$41</f>
      </c>
      <c r="AY124" s="6">
        <f>(R124/100)*AY$41</f>
      </c>
      <c r="AZ124" s="6">
        <f>(S124/100)*AZ$41</f>
      </c>
      <c r="BA124" s="6">
        <f>(T124/100)*BA$41</f>
      </c>
      <c r="BB124" s="6">
        <f>(U124/100)*BB$41</f>
      </c>
      <c r="BC124" s="6">
        <f>(V124/100)*350</f>
      </c>
      <c r="BD124" s="3" t="s">
        <v>945</v>
      </c>
      <c r="BE124" s="3"/>
      <c r="BF124" s="7">
        <f>AF124*E124</f>
      </c>
      <c r="BG124" s="6"/>
      <c r="BH124" s="3"/>
      <c r="BI124" s="6"/>
    </row>
    <row x14ac:dyDescent="0.25" r="125" customHeight="1" ht="12.75">
      <c r="A125" s="5" t="s">
        <v>847</v>
      </c>
      <c r="B125" s="3" t="s">
        <v>855</v>
      </c>
      <c r="C125" s="43" t="s">
        <v>856</v>
      </c>
      <c r="D125" s="34" t="s">
        <v>929</v>
      </c>
      <c r="E125" s="23">
        <v>0.095</v>
      </c>
      <c r="F125" s="6">
        <v>2.08</v>
      </c>
      <c r="G125" s="7"/>
      <c r="H125" s="31"/>
      <c r="I125" s="6"/>
      <c r="J125" s="6">
        <v>0.2</v>
      </c>
      <c r="K125" s="7"/>
      <c r="L125" s="6"/>
      <c r="M125" s="6"/>
      <c r="N125" s="23"/>
      <c r="O125" s="5"/>
      <c r="P125" s="6"/>
      <c r="Q125" s="6"/>
      <c r="R125" s="6"/>
      <c r="S125" s="6"/>
      <c r="T125" s="6"/>
      <c r="U125" s="6"/>
      <c r="V125" s="5"/>
      <c r="W125" s="6"/>
      <c r="X125" s="6">
        <f>E125*F125/100</f>
      </c>
      <c r="Y125" s="6">
        <f>E125*G125/100</f>
      </c>
      <c r="Z125" s="7">
        <f>E125*H125</f>
      </c>
      <c r="AA125" s="7">
        <f>E125*J125</f>
      </c>
      <c r="AB125" s="6">
        <f>E125*I125/100</f>
      </c>
      <c r="AC125" s="15">
        <f>X125+Y125+AB125</f>
      </c>
      <c r="AD125" s="6">
        <f>F125+G125+I125</f>
      </c>
      <c r="AE125" s="3"/>
      <c r="AF125" s="6">
        <f>SUM(AM125:BC125)</f>
      </c>
      <c r="AG125" s="5">
        <f>IF(SUM(AM125:AO125)&gt;0.7*AF125,1,0)</f>
      </c>
      <c r="AH125" s="5">
        <f>IF(AN125&gt;0.4*AF125,1,0)</f>
      </c>
      <c r="AI125" s="5">
        <f>IF(SUM(AP125:AQ125)&gt;0.3*AF125,1,0)</f>
      </c>
      <c r="AJ125" s="5">
        <f>IF(AQ125&gt;0.2*AF125,1,0)</f>
      </c>
      <c r="AK125" s="5">
        <f>IF(SUM(AR125:BC125)&gt;0.3*AF125,1,0)</f>
      </c>
      <c r="AL125" s="3"/>
      <c r="AM125" s="6">
        <f>(F125/100)*AM$41</f>
      </c>
      <c r="AN125" s="6">
        <f>(G125/100)*AN$41</f>
      </c>
      <c r="AO125" s="6">
        <f>(H125/1000000)*AO$41</f>
      </c>
      <c r="AP125" s="6">
        <f>(I125/100)*AP$41</f>
      </c>
      <c r="AQ125" s="6">
        <f>(J125/1000000)*AQ$41</f>
      </c>
      <c r="AR125" s="6">
        <f>(K125/100)*AR$41</f>
      </c>
      <c r="AS125" s="6">
        <f>(L125/100)*AS$41</f>
      </c>
      <c r="AT125" s="6">
        <f>(M125/100)*AT$41</f>
      </c>
      <c r="AU125" s="6">
        <f>(N125/100)*AU$41</f>
      </c>
      <c r="AV125" s="6">
        <f>(O125/1000000)*AV$41</f>
      </c>
      <c r="AW125" s="6">
        <f>(P125/100)*AW$41</f>
      </c>
      <c r="AX125" s="6">
        <f>(Q125/100)*AX$41</f>
      </c>
      <c r="AY125" s="6">
        <f>(R125/100)*AY$41</f>
      </c>
      <c r="AZ125" s="6">
        <f>(S125/100)*AZ$41</f>
      </c>
      <c r="BA125" s="6">
        <f>(T125/100)*BA$41</f>
      </c>
      <c r="BB125" s="6">
        <f>(U125/100)*BB$41</f>
      </c>
      <c r="BC125" s="6"/>
      <c r="BD125" s="3"/>
      <c r="BE125" s="3"/>
      <c r="BF125" s="7">
        <f>AF125*E125</f>
      </c>
      <c r="BG125" s="6"/>
      <c r="BH125" s="3"/>
      <c r="BI125" s="6"/>
    </row>
    <row x14ac:dyDescent="0.25" r="126" customHeight="1" ht="12.75">
      <c r="A126" s="5" t="s">
        <v>22</v>
      </c>
      <c r="B126" s="3" t="s">
        <v>855</v>
      </c>
      <c r="C126" s="43" t="s">
        <v>856</v>
      </c>
      <c r="D126" s="34"/>
      <c r="E126" s="23">
        <v>0.00263</v>
      </c>
      <c r="F126" s="5">
        <v>14</v>
      </c>
      <c r="G126" s="6"/>
      <c r="H126" s="5">
        <v>411</v>
      </c>
      <c r="I126" s="5">
        <v>5</v>
      </c>
      <c r="J126" s="6">
        <v>2.4</v>
      </c>
      <c r="K126" s="7"/>
      <c r="L126" s="6"/>
      <c r="M126" s="6"/>
      <c r="N126" s="23"/>
      <c r="O126" s="5"/>
      <c r="P126" s="6"/>
      <c r="Q126" s="6"/>
      <c r="R126" s="6"/>
      <c r="S126" s="6"/>
      <c r="T126" s="6"/>
      <c r="U126" s="6"/>
      <c r="V126" s="5"/>
      <c r="W126" s="6"/>
      <c r="X126" s="6">
        <f>E126*F126/100</f>
      </c>
      <c r="Y126" s="6">
        <f>E126*G126/100</f>
      </c>
      <c r="Z126" s="7">
        <f>E126*H126</f>
      </c>
      <c r="AA126" s="7">
        <f>E126*J126</f>
      </c>
      <c r="AB126" s="6">
        <f>E126*I126/100</f>
      </c>
      <c r="AC126" s="15">
        <f>X126+Y126+AB126</f>
      </c>
      <c r="AD126" s="6">
        <f>F126+G126+I126</f>
      </c>
      <c r="AE126" s="3"/>
      <c r="AF126" s="6">
        <f>SUM(AM126:BC126)</f>
      </c>
      <c r="AG126" s="5">
        <f>IF(SUM(AM126:AO126)&gt;0.7*AF126,1,0)</f>
      </c>
      <c r="AH126" s="5">
        <f>IF(AN126&gt;0.4*AF126,1,0)</f>
      </c>
      <c r="AI126" s="5">
        <f>IF(SUM(AP126:AQ126)&gt;0.3*AF126,1,0)</f>
      </c>
      <c r="AJ126" s="5">
        <f>IF(AQ126&gt;0.2*AF126,1,0)</f>
      </c>
      <c r="AK126" s="5">
        <f>IF(SUM(AR126:BC126)&gt;0.3*AF126,1,0)</f>
      </c>
      <c r="AL126" s="3"/>
      <c r="AM126" s="6">
        <f>(F126/100)*AM$41</f>
      </c>
      <c r="AN126" s="6">
        <f>(G126/100)*AN$41</f>
      </c>
      <c r="AO126" s="6">
        <f>(H126/1000000)*AO$41</f>
      </c>
      <c r="AP126" s="6">
        <f>(I126/100)*AP$41</f>
      </c>
      <c r="AQ126" s="6">
        <f>(J126/1000000)*AQ$41</f>
      </c>
      <c r="AR126" s="6">
        <f>(K126/100)*AR$41</f>
      </c>
      <c r="AS126" s="6">
        <f>(L126/100)*AS$41</f>
      </c>
      <c r="AT126" s="6">
        <f>(M126/100)*AT$41</f>
      </c>
      <c r="AU126" s="6">
        <f>(N126/100)*AU$41</f>
      </c>
      <c r="AV126" s="6">
        <f>(O126/1000000)*AV$41</f>
      </c>
      <c r="AW126" s="6">
        <f>(P126/100)*AW$41</f>
      </c>
      <c r="AX126" s="6">
        <f>(Q126/100)*AX$41</f>
      </c>
      <c r="AY126" s="6">
        <f>(R126/100)*AY$41</f>
      </c>
      <c r="AZ126" s="6">
        <f>(S126/100)*AZ$41</f>
      </c>
      <c r="BA126" s="6">
        <f>(T126/100)*BA$41</f>
      </c>
      <c r="BB126" s="6">
        <f>(U126/100)*BB$41</f>
      </c>
      <c r="BC126" s="6"/>
      <c r="BD126" s="3"/>
      <c r="BE126" s="3"/>
      <c r="BF126" s="7">
        <f>AF126*E126</f>
      </c>
      <c r="BG126" s="6"/>
      <c r="BH126" s="3"/>
      <c r="BI126" s="6"/>
    </row>
    <row x14ac:dyDescent="0.25" r="127" customHeight="1" ht="12.75">
      <c r="A127" s="5" t="s">
        <v>295</v>
      </c>
      <c r="B127" s="3" t="s">
        <v>855</v>
      </c>
      <c r="C127" s="43" t="s">
        <v>1014</v>
      </c>
      <c r="D127" s="34"/>
      <c r="E127" s="6">
        <v>23.54</v>
      </c>
      <c r="F127" s="6">
        <v>1.2076125743415462</v>
      </c>
      <c r="G127" s="7">
        <v>3.7820390824129144</v>
      </c>
      <c r="H127" s="31">
        <v>200.48598130841125</v>
      </c>
      <c r="I127" s="7">
        <v>0.3970433305012745</v>
      </c>
      <c r="J127" s="6"/>
      <c r="K127" s="7"/>
      <c r="L127" s="6"/>
      <c r="M127" s="6"/>
      <c r="N127" s="23"/>
      <c r="O127" s="5"/>
      <c r="P127" s="6"/>
      <c r="Q127" s="6"/>
      <c r="R127" s="6"/>
      <c r="S127" s="6"/>
      <c r="T127" s="6"/>
      <c r="U127" s="6"/>
      <c r="V127" s="5"/>
      <c r="W127" s="6"/>
      <c r="X127" s="6">
        <f>E127*F127/100</f>
      </c>
      <c r="Y127" s="6">
        <f>E127*G127/100</f>
      </c>
      <c r="Z127" s="7">
        <f>E127*H127</f>
      </c>
      <c r="AA127" s="7">
        <f>E127*J127</f>
      </c>
      <c r="AB127" s="6">
        <f>E127*I127/100</f>
      </c>
      <c r="AC127" s="15">
        <f>X127+Y127+AB127</f>
      </c>
      <c r="AD127" s="6">
        <f>F127+G127+I127</f>
      </c>
      <c r="AE127" s="3"/>
      <c r="AF127" s="6">
        <f>SUM(AM127:BC127)</f>
      </c>
      <c r="AG127" s="5">
        <f>IF(SUM(AM127:AO127)&gt;0.7*AF127,1,0)</f>
      </c>
      <c r="AH127" s="5">
        <f>IF(AN127&gt;0.4*AF127,1,0)</f>
      </c>
      <c r="AI127" s="5">
        <f>IF(SUM(AP127:AQ127)&gt;0.3*AF127,1,0)</f>
      </c>
      <c r="AJ127" s="5">
        <f>IF(AQ127&gt;0.2*AF127,1,0)</f>
      </c>
      <c r="AK127" s="5">
        <f>IF(SUM(AR127:BC127)&gt;0.3*AF127,1,0)</f>
      </c>
      <c r="AL127" s="3"/>
      <c r="AM127" s="6">
        <f>(F127/100)*AM$41</f>
      </c>
      <c r="AN127" s="6">
        <f>(G127/100)*AN$41</f>
      </c>
      <c r="AO127" s="6">
        <f>(H127/1000000)*AO$41</f>
      </c>
      <c r="AP127" s="6">
        <f>(I127/100)*AP$41</f>
      </c>
      <c r="AQ127" s="6">
        <f>(J127/1000000)*AQ$41</f>
      </c>
      <c r="AR127" s="6">
        <f>(K127/100)*AR$41</f>
      </c>
      <c r="AS127" s="6">
        <f>(L127/100)*AS$41</f>
      </c>
      <c r="AT127" s="6">
        <f>(M127/100)*AT$41</f>
      </c>
      <c r="AU127" s="6">
        <f>(N127/100)*AU$41</f>
      </c>
      <c r="AV127" s="6">
        <f>(O127/1000000)*AV$41</f>
      </c>
      <c r="AW127" s="6">
        <f>(P127/100)*AW$41</f>
      </c>
      <c r="AX127" s="6">
        <f>(Q127/100)*AX$41</f>
      </c>
      <c r="AY127" s="6">
        <f>(R127/100)*AY$41</f>
      </c>
      <c r="AZ127" s="6">
        <f>(S127/100)*AZ$41</f>
      </c>
      <c r="BA127" s="6">
        <f>(T127/100)*BA$41</f>
      </c>
      <c r="BB127" s="6">
        <f>(U127/100)*BB$41</f>
      </c>
      <c r="BC127" s="6"/>
      <c r="BD127" s="3"/>
      <c r="BE127" s="3"/>
      <c r="BF127" s="7">
        <f>AF127*E127</f>
      </c>
      <c r="BG127" s="6"/>
      <c r="BH127" s="3"/>
      <c r="BI127" s="6"/>
    </row>
    <row x14ac:dyDescent="0.25" r="128" customHeight="1" ht="12.75">
      <c r="A128" s="5" t="s">
        <v>254</v>
      </c>
      <c r="B128" s="3" t="s">
        <v>855</v>
      </c>
      <c r="C128" s="43" t="s">
        <v>1014</v>
      </c>
      <c r="D128" s="34" t="s">
        <v>929</v>
      </c>
      <c r="E128" s="6">
        <v>162.716</v>
      </c>
      <c r="F128" s="6">
        <v>0.25744733154698984</v>
      </c>
      <c r="G128" s="6">
        <v>0.4132631087293198</v>
      </c>
      <c r="H128" s="31">
        <v>27.51053369060203</v>
      </c>
      <c r="I128" s="6"/>
      <c r="J128" s="6">
        <v>0.39046055704417515</v>
      </c>
      <c r="K128" s="7"/>
      <c r="L128" s="6"/>
      <c r="M128" s="6"/>
      <c r="N128" s="23"/>
      <c r="O128" s="5"/>
      <c r="P128" s="6"/>
      <c r="Q128" s="6"/>
      <c r="R128" s="6"/>
      <c r="S128" s="6"/>
      <c r="T128" s="6"/>
      <c r="U128" s="6"/>
      <c r="V128" s="5"/>
      <c r="W128" s="6"/>
      <c r="X128" s="6">
        <f>E128*F128/100</f>
      </c>
      <c r="Y128" s="6">
        <f>E128*G128/100</f>
      </c>
      <c r="Z128" s="7">
        <f>E128*H128</f>
      </c>
      <c r="AA128" s="7">
        <f>E128*J128</f>
      </c>
      <c r="AB128" s="6">
        <f>E128*I128/100</f>
      </c>
      <c r="AC128" s="15">
        <f>X128+Y128+AB128</f>
      </c>
      <c r="AD128" s="6">
        <f>F128+G128+I128</f>
      </c>
      <c r="AE128" s="3"/>
      <c r="AF128" s="6">
        <f>SUM(AM128:BC128)</f>
      </c>
      <c r="AG128" s="5">
        <f>IF(SUM(AM128:AO128)&gt;0.7*AF128,1,0)</f>
      </c>
      <c r="AH128" s="5">
        <f>IF(AN128&gt;0.4*AF128,1,0)</f>
      </c>
      <c r="AI128" s="5">
        <f>IF(SUM(AP128:AQ128)&gt;0.3*AF128,1,0)</f>
      </c>
      <c r="AJ128" s="5">
        <f>IF(AQ128&gt;0.2*AF128,1,0)</f>
      </c>
      <c r="AK128" s="5">
        <f>IF(SUM(AR128:BC128)&gt;0.3*AF128,1,0)</f>
      </c>
      <c r="AL128" s="3"/>
      <c r="AM128" s="6">
        <f>(F128/100)*AM$41</f>
      </c>
      <c r="AN128" s="6">
        <f>(G128/100)*AN$41</f>
      </c>
      <c r="AO128" s="6">
        <f>(H128/1000000)*AO$41</f>
      </c>
      <c r="AP128" s="6">
        <f>(I128/100)*AP$41</f>
      </c>
      <c r="AQ128" s="6">
        <f>(J128/1000000)*AQ$41</f>
      </c>
      <c r="AR128" s="6">
        <f>(K128/100)*AR$41</f>
      </c>
      <c r="AS128" s="6">
        <f>(L128/100)*AS$41</f>
      </c>
      <c r="AT128" s="6">
        <f>(M128/100)*AT$41</f>
      </c>
      <c r="AU128" s="6">
        <f>(N128/100)*AU$41</f>
      </c>
      <c r="AV128" s="6">
        <f>(O128/1000000)*AV$41</f>
      </c>
      <c r="AW128" s="6">
        <f>(P128/100)*AW$41</f>
      </c>
      <c r="AX128" s="6">
        <f>(Q128/100)*AX$41</f>
      </c>
      <c r="AY128" s="6">
        <f>(R128/100)*AY$41</f>
      </c>
      <c r="AZ128" s="6">
        <f>(S128/100)*AZ$41</f>
      </c>
      <c r="BA128" s="6">
        <f>(T128/100)*BA$41</f>
      </c>
      <c r="BB128" s="6">
        <f>(U128/100)*BB$41</f>
      </c>
      <c r="BC128" s="6"/>
      <c r="BD128" s="3"/>
      <c r="BE128" s="3"/>
      <c r="BF128" s="7">
        <f>AF128*E128</f>
      </c>
      <c r="BG128" s="6"/>
      <c r="BH128" s="3"/>
      <c r="BI128" s="6"/>
    </row>
    <row x14ac:dyDescent="0.25" r="129" customHeight="1" ht="12.75">
      <c r="A129" s="5" t="s">
        <v>279</v>
      </c>
      <c r="B129" s="3" t="s">
        <v>855</v>
      </c>
      <c r="C129" s="43" t="s">
        <v>1014</v>
      </c>
      <c r="D129" s="34" t="s">
        <v>924</v>
      </c>
      <c r="E129" s="6">
        <v>2.33</v>
      </c>
      <c r="F129" s="7">
        <v>2.2336909871244632</v>
      </c>
      <c r="G129" s="7">
        <v>8.735579399141631</v>
      </c>
      <c r="H129" s="31">
        <v>201.5922746781116</v>
      </c>
      <c r="I129" s="6"/>
      <c r="J129" s="6"/>
      <c r="K129" s="7"/>
      <c r="L129" s="6"/>
      <c r="M129" s="6"/>
      <c r="N129" s="23"/>
      <c r="O129" s="5"/>
      <c r="P129" s="6"/>
      <c r="Q129" s="6"/>
      <c r="R129" s="6"/>
      <c r="S129" s="6"/>
      <c r="T129" s="6"/>
      <c r="U129" s="6"/>
      <c r="V129" s="5"/>
      <c r="W129" s="6"/>
      <c r="X129" s="6">
        <f>E129*F129/100</f>
      </c>
      <c r="Y129" s="6">
        <f>E129*G129/100</f>
      </c>
      <c r="Z129" s="7">
        <f>E129*H129</f>
      </c>
      <c r="AA129" s="7">
        <f>E129*J129</f>
      </c>
      <c r="AB129" s="6">
        <f>E129*I129/100</f>
      </c>
      <c r="AC129" s="15">
        <f>X129+Y129+AB129</f>
      </c>
      <c r="AD129" s="6">
        <f>F129+G129+I129</f>
      </c>
      <c r="AE129" s="3"/>
      <c r="AF129" s="6">
        <f>SUM(AM129:BC129)</f>
      </c>
      <c r="AG129" s="5">
        <f>IF(SUM(AM129:AO129)&gt;0.7*AF129,1,0)</f>
      </c>
      <c r="AH129" s="5">
        <f>IF(AN129&gt;0.4*AF129,1,0)</f>
      </c>
      <c r="AI129" s="5">
        <f>IF(SUM(AP129:AQ129)&gt;0.3*AF129,1,0)</f>
      </c>
      <c r="AJ129" s="5">
        <f>IF(AQ129&gt;0.2*AF129,1,0)</f>
      </c>
      <c r="AK129" s="5">
        <f>IF(SUM(AR129:BC129)&gt;0.3*AF129,1,0)</f>
      </c>
      <c r="AL129" s="3"/>
      <c r="AM129" s="6">
        <f>(F129/100)*AM$41</f>
      </c>
      <c r="AN129" s="6">
        <f>(G129/100)*AN$41</f>
      </c>
      <c r="AO129" s="6">
        <f>(H129/1000000)*AO$41</f>
      </c>
      <c r="AP129" s="6">
        <f>(I129/100)*AP$41</f>
      </c>
      <c r="AQ129" s="6">
        <f>(J129/1000000)*AQ$41</f>
      </c>
      <c r="AR129" s="6">
        <f>(K129/100)*AR$41</f>
      </c>
      <c r="AS129" s="6">
        <f>(L129/100)*AS$41</f>
      </c>
      <c r="AT129" s="6">
        <f>(M129/100)*AT$41</f>
      </c>
      <c r="AU129" s="6">
        <f>(N129/100)*AU$41</f>
      </c>
      <c r="AV129" s="6">
        <f>(O129/1000000)*AV$41</f>
      </c>
      <c r="AW129" s="6">
        <f>(P129/100)*AW$41</f>
      </c>
      <c r="AX129" s="6">
        <f>(Q129/100)*AX$41</f>
      </c>
      <c r="AY129" s="6">
        <f>(R129/100)*AY$41</f>
      </c>
      <c r="AZ129" s="6">
        <f>(S129/100)*AZ$41</f>
      </c>
      <c r="BA129" s="6">
        <f>(T129/100)*BA$41</f>
      </c>
      <c r="BB129" s="6">
        <f>(U129/100)*BB$41</f>
      </c>
      <c r="BC129" s="6"/>
      <c r="BD129" s="3"/>
      <c r="BE129" s="3"/>
      <c r="BF129" s="7">
        <f>AF129*E129</f>
      </c>
      <c r="BG129" s="6"/>
      <c r="BH129" s="3"/>
      <c r="BI129" s="6"/>
    </row>
    <row x14ac:dyDescent="0.25" r="130" customHeight="1" ht="12.75">
      <c r="A130" s="5" t="s">
        <v>334</v>
      </c>
      <c r="B130" s="3" t="s">
        <v>855</v>
      </c>
      <c r="C130" s="43" t="s">
        <v>1014</v>
      </c>
      <c r="D130" s="34"/>
      <c r="E130" s="6">
        <v>2.3499999999999996</v>
      </c>
      <c r="F130" s="7">
        <v>0.8372340425531917</v>
      </c>
      <c r="G130" s="7">
        <v>9.176595744680851</v>
      </c>
      <c r="H130" s="31">
        <v>91.38297872340426</v>
      </c>
      <c r="I130" s="6"/>
      <c r="J130" s="6"/>
      <c r="K130" s="7"/>
      <c r="L130" s="6"/>
      <c r="M130" s="6"/>
      <c r="N130" s="23"/>
      <c r="O130" s="5"/>
      <c r="P130" s="6"/>
      <c r="Q130" s="6"/>
      <c r="R130" s="6"/>
      <c r="S130" s="6"/>
      <c r="T130" s="6"/>
      <c r="U130" s="6"/>
      <c r="V130" s="5"/>
      <c r="W130" s="6"/>
      <c r="X130" s="6">
        <f>E130*F130/100</f>
      </c>
      <c r="Y130" s="6">
        <f>E130*G130/100</f>
      </c>
      <c r="Z130" s="7">
        <f>E130*H130</f>
      </c>
      <c r="AA130" s="7">
        <f>E130*J130</f>
      </c>
      <c r="AB130" s="6">
        <f>E130*I130/100</f>
      </c>
      <c r="AC130" s="15">
        <f>X130+Y130+AB130</f>
      </c>
      <c r="AD130" s="6">
        <f>F130+G130+I130</f>
      </c>
      <c r="AE130" s="3"/>
      <c r="AF130" s="6">
        <f>SUM(AM130:BC130)</f>
      </c>
      <c r="AG130" s="5">
        <f>IF(SUM(AM130:AO130)&gt;0.7*AF130,1,0)</f>
      </c>
      <c r="AH130" s="5">
        <f>IF(AN130&gt;0.4*AF130,1,0)</f>
      </c>
      <c r="AI130" s="5">
        <f>IF(SUM(AP130:AQ130)&gt;0.3*AF130,1,0)</f>
      </c>
      <c r="AJ130" s="5">
        <f>IF(AQ130&gt;0.2*AF130,1,0)</f>
      </c>
      <c r="AK130" s="5">
        <f>IF(SUM(AR130:BC130)&gt;0.3*AF130,1,0)</f>
      </c>
      <c r="AL130" s="3"/>
      <c r="AM130" s="6">
        <f>(F130/100)*AM$41</f>
      </c>
      <c r="AN130" s="6">
        <f>(G130/100)*AN$41</f>
      </c>
      <c r="AO130" s="6">
        <f>(H130/1000000)*AO$41</f>
      </c>
      <c r="AP130" s="6">
        <f>(I130/100)*AP$41</f>
      </c>
      <c r="AQ130" s="6">
        <f>(J130/1000000)*AQ$41</f>
      </c>
      <c r="AR130" s="6">
        <f>(K130/100)*AR$41</f>
      </c>
      <c r="AS130" s="6">
        <f>(L130/100)*AS$41</f>
      </c>
      <c r="AT130" s="6">
        <f>(M130/100)*AT$41</f>
      </c>
      <c r="AU130" s="6">
        <f>(N130/100)*AU$41</f>
      </c>
      <c r="AV130" s="6">
        <f>(O130/1000000)*AV$41</f>
      </c>
      <c r="AW130" s="6">
        <f>(P130/100)*AW$41</f>
      </c>
      <c r="AX130" s="6">
        <f>(Q130/100)*AX$41</f>
      </c>
      <c r="AY130" s="6">
        <f>(R130/100)*AY$41</f>
      </c>
      <c r="AZ130" s="6">
        <f>(S130/100)*AZ$41</f>
      </c>
      <c r="BA130" s="6">
        <f>(T130/100)*BA$41</f>
      </c>
      <c r="BB130" s="6">
        <f>(U130/100)*BB$41</f>
      </c>
      <c r="BC130" s="6"/>
      <c r="BD130" s="3"/>
      <c r="BE130" s="3"/>
      <c r="BF130" s="7">
        <f>AF130*E130</f>
      </c>
      <c r="BG130" s="6"/>
      <c r="BH130" s="3"/>
      <c r="BI130" s="6"/>
    </row>
    <row x14ac:dyDescent="0.25" r="131" customHeight="1" ht="12.75">
      <c r="A131" s="5" t="s">
        <v>720</v>
      </c>
      <c r="B131" s="3" t="s">
        <v>855</v>
      </c>
      <c r="C131" s="43" t="s">
        <v>1014</v>
      </c>
      <c r="D131" s="34" t="s">
        <v>929</v>
      </c>
      <c r="E131" s="6">
        <v>7.049</v>
      </c>
      <c r="F131" s="6">
        <v>1.46</v>
      </c>
      <c r="G131" s="6">
        <v>1.27</v>
      </c>
      <c r="H131" s="5">
        <v>113</v>
      </c>
      <c r="I131" s="6"/>
      <c r="J131" s="6">
        <v>0.01</v>
      </c>
      <c r="K131" s="7"/>
      <c r="L131" s="6"/>
      <c r="M131" s="6"/>
      <c r="N131" s="23"/>
      <c r="O131" s="5"/>
      <c r="P131" s="6"/>
      <c r="Q131" s="6"/>
      <c r="R131" s="6"/>
      <c r="S131" s="6"/>
      <c r="T131" s="6"/>
      <c r="U131" s="6"/>
      <c r="V131" s="5"/>
      <c r="W131" s="6"/>
      <c r="X131" s="6">
        <f>E131*F131/100</f>
      </c>
      <c r="Y131" s="6">
        <f>E131*G131/100</f>
      </c>
      <c r="Z131" s="7">
        <f>E131*H131</f>
      </c>
      <c r="AA131" s="7">
        <f>E131*J131</f>
      </c>
      <c r="AB131" s="6">
        <f>E131*I131/100</f>
      </c>
      <c r="AC131" s="15">
        <f>X131+Y131+AB131</f>
      </c>
      <c r="AD131" s="6">
        <f>F131+G131+I131</f>
      </c>
      <c r="AE131" s="3"/>
      <c r="AF131" s="6">
        <f>SUM(AM131:BC131)</f>
      </c>
      <c r="AG131" s="5">
        <f>IF(SUM(AM131:AO131)&gt;0.7*AF131,1,0)</f>
      </c>
      <c r="AH131" s="5">
        <f>IF(AN131&gt;0.4*AF131,1,0)</f>
      </c>
      <c r="AI131" s="5">
        <f>IF(SUM(AP131:AQ131)&gt;0.3*AF131,1,0)</f>
      </c>
      <c r="AJ131" s="5">
        <f>IF(AQ131&gt;0.2*AF131,1,0)</f>
      </c>
      <c r="AK131" s="5">
        <f>IF(SUM(AR131:BC131)&gt;0.3*AF131,1,0)</f>
      </c>
      <c r="AL131" s="3"/>
      <c r="AM131" s="6">
        <f>(F131/100)*AM$41</f>
      </c>
      <c r="AN131" s="6">
        <f>(G131/100)*AN$41</f>
      </c>
      <c r="AO131" s="6">
        <f>(H131/1000000)*AO$41</f>
      </c>
      <c r="AP131" s="6">
        <f>(I131/100)*AP$41</f>
      </c>
      <c r="AQ131" s="6">
        <f>(J131/1000000)*AQ$41</f>
      </c>
      <c r="AR131" s="6">
        <f>(K131/100)*AR$41</f>
      </c>
      <c r="AS131" s="6">
        <f>(L131/100)*AS$41</f>
      </c>
      <c r="AT131" s="6">
        <f>(M131/100)*AT$41</f>
      </c>
      <c r="AU131" s="6">
        <f>(N131/100)*AU$41</f>
      </c>
      <c r="AV131" s="6">
        <f>(O131/1000000)*AV$41</f>
      </c>
      <c r="AW131" s="6">
        <f>(P131/100)*AW$41</f>
      </c>
      <c r="AX131" s="6">
        <f>(Q131/100)*AX$41</f>
      </c>
      <c r="AY131" s="6">
        <f>(R131/100)*AY$41</f>
      </c>
      <c r="AZ131" s="6">
        <f>(S131/100)*AZ$41</f>
      </c>
      <c r="BA131" s="6">
        <f>(T131/100)*BA$41</f>
      </c>
      <c r="BB131" s="6">
        <f>(U131/100)*BB$41</f>
      </c>
      <c r="BC131" s="6"/>
      <c r="BD131" s="3"/>
      <c r="BE131" s="3"/>
      <c r="BF131" s="7">
        <f>AF131*E131</f>
      </c>
      <c r="BG131" s="6"/>
      <c r="BH131" s="3"/>
      <c r="BI131" s="6"/>
    </row>
    <row x14ac:dyDescent="0.25" r="132" customHeight="1" ht="12.75">
      <c r="A132" s="5" t="s">
        <v>502</v>
      </c>
      <c r="B132" s="3" t="s">
        <v>855</v>
      </c>
      <c r="C132" s="43" t="s">
        <v>1014</v>
      </c>
      <c r="D132" s="34"/>
      <c r="E132" s="6">
        <v>2.23</v>
      </c>
      <c r="F132" s="7">
        <v>0.4845291479820628</v>
      </c>
      <c r="G132" s="7">
        <v>6.1986098654708535</v>
      </c>
      <c r="H132" s="31">
        <v>203.0493273542601</v>
      </c>
      <c r="I132" s="6"/>
      <c r="J132" s="6"/>
      <c r="K132" s="7"/>
      <c r="L132" s="6"/>
      <c r="M132" s="6"/>
      <c r="N132" s="23"/>
      <c r="O132" s="5"/>
      <c r="P132" s="6"/>
      <c r="Q132" s="6"/>
      <c r="R132" s="6"/>
      <c r="S132" s="6"/>
      <c r="T132" s="6"/>
      <c r="U132" s="6"/>
      <c r="V132" s="5"/>
      <c r="W132" s="6"/>
      <c r="X132" s="6">
        <f>E132*F132/100</f>
      </c>
      <c r="Y132" s="6">
        <f>E132*G132/100</f>
      </c>
      <c r="Z132" s="7">
        <f>E132*H132</f>
      </c>
      <c r="AA132" s="7">
        <f>E132*J132</f>
      </c>
      <c r="AB132" s="6">
        <f>E132*I132/100</f>
      </c>
      <c r="AC132" s="15">
        <f>X132+Y132+AB132</f>
      </c>
      <c r="AD132" s="6">
        <f>F132+G132+I132</f>
      </c>
      <c r="AE132" s="3"/>
      <c r="AF132" s="6">
        <f>SUM(AM132:BC132)</f>
      </c>
      <c r="AG132" s="5">
        <f>IF(SUM(AM132:AO132)&gt;0.7*AF132,1,0)</f>
      </c>
      <c r="AH132" s="5">
        <f>IF(AN132&gt;0.4*AF132,1,0)</f>
      </c>
      <c r="AI132" s="5">
        <f>IF(SUM(AP132:AQ132)&gt;0.3*AF132,1,0)</f>
      </c>
      <c r="AJ132" s="5">
        <f>IF(AQ132&gt;0.2*AF132,1,0)</f>
      </c>
      <c r="AK132" s="5">
        <f>IF(SUM(AR132:BC132)&gt;0.3*AF132,1,0)</f>
      </c>
      <c r="AL132" s="3"/>
      <c r="AM132" s="6">
        <f>(F132/100)*AM$41</f>
      </c>
      <c r="AN132" s="6">
        <f>(G132/100)*AN$41</f>
      </c>
      <c r="AO132" s="6">
        <f>(H132/1000000)*AO$41</f>
      </c>
      <c r="AP132" s="6">
        <f>(I132/100)*AP$41</f>
      </c>
      <c r="AQ132" s="6">
        <f>(J132/1000000)*AQ$41</f>
      </c>
      <c r="AR132" s="6">
        <f>(K132/100)*AR$41</f>
      </c>
      <c r="AS132" s="6">
        <f>(L132/100)*AS$41</f>
      </c>
      <c r="AT132" s="6">
        <f>(M132/100)*AT$41</f>
      </c>
      <c r="AU132" s="6">
        <f>(N132/100)*AU$41</f>
      </c>
      <c r="AV132" s="6">
        <f>(O132/1000000)*AV$41</f>
      </c>
      <c r="AW132" s="6">
        <f>(P132/100)*AW$41</f>
      </c>
      <c r="AX132" s="6">
        <f>(Q132/100)*AX$41</f>
      </c>
      <c r="AY132" s="6">
        <f>(R132/100)*AY$41</f>
      </c>
      <c r="AZ132" s="6">
        <f>(S132/100)*AZ$41</f>
      </c>
      <c r="BA132" s="6">
        <f>(T132/100)*BA$41</f>
      </c>
      <c r="BB132" s="6">
        <f>(U132/100)*BB$41</f>
      </c>
      <c r="BC132" s="6"/>
      <c r="BD132" s="3"/>
      <c r="BE132" s="3"/>
      <c r="BF132" s="7">
        <f>AF132*E132</f>
      </c>
      <c r="BG132" s="6"/>
      <c r="BH132" s="3"/>
      <c r="BI132" s="6"/>
    </row>
    <row x14ac:dyDescent="0.25" r="133" customHeight="1" ht="12.75">
      <c r="A133" s="5" t="s">
        <v>782</v>
      </c>
      <c r="B133" s="3" t="s">
        <v>855</v>
      </c>
      <c r="C133" s="43" t="s">
        <v>1014</v>
      </c>
      <c r="D133" s="34" t="s">
        <v>929</v>
      </c>
      <c r="E133" s="6">
        <v>5.640000000000001</v>
      </c>
      <c r="F133" s="6">
        <v>1.3011347517730496</v>
      </c>
      <c r="G133" s="6">
        <v>0.9768439716312056</v>
      </c>
      <c r="H133" s="7">
        <v>53.34091134751773</v>
      </c>
      <c r="I133" s="6"/>
      <c r="J133" s="6"/>
      <c r="K133" s="7"/>
      <c r="L133" s="6"/>
      <c r="M133" s="6"/>
      <c r="N133" s="23"/>
      <c r="O133" s="5"/>
      <c r="P133" s="6"/>
      <c r="Q133" s="6"/>
      <c r="R133" s="6"/>
      <c r="S133" s="6"/>
      <c r="T133" s="6"/>
      <c r="U133" s="6"/>
      <c r="V133" s="5"/>
      <c r="W133" s="6"/>
      <c r="X133" s="6">
        <f>E133*F133/100</f>
      </c>
      <c r="Y133" s="6">
        <f>E133*G133/100</f>
      </c>
      <c r="Z133" s="7">
        <f>E133*H133</f>
      </c>
      <c r="AA133" s="7">
        <f>E133*J133</f>
      </c>
      <c r="AB133" s="6">
        <f>E133*I133/100</f>
      </c>
      <c r="AC133" s="15">
        <f>X133+Y133+AB133</f>
      </c>
      <c r="AD133" s="6">
        <f>F133+G133+I133</f>
      </c>
      <c r="AE133" s="3"/>
      <c r="AF133" s="6">
        <f>SUM(AM133:BC133)</f>
      </c>
      <c r="AG133" s="5">
        <f>IF(SUM(AM133:AO133)&gt;0.7*AF133,1,0)</f>
      </c>
      <c r="AH133" s="5">
        <f>IF(AN133&gt;0.4*AF133,1,0)</f>
      </c>
      <c r="AI133" s="5">
        <f>IF(SUM(AP133:AQ133)&gt;0.3*AF133,1,0)</f>
      </c>
      <c r="AJ133" s="5">
        <f>IF(AQ133&gt;0.2*AF133,1,0)</f>
      </c>
      <c r="AK133" s="5">
        <f>IF(SUM(AR133:BC133)&gt;0.3*AF133,1,0)</f>
      </c>
      <c r="AL133" s="3"/>
      <c r="AM133" s="6">
        <f>(F133/100)*AM$41</f>
      </c>
      <c r="AN133" s="6">
        <f>(G133/100)*AN$41</f>
      </c>
      <c r="AO133" s="6">
        <f>(H133/1000000)*AO$41</f>
      </c>
      <c r="AP133" s="6">
        <f>(I133/100)*AP$41</f>
      </c>
      <c r="AQ133" s="6">
        <f>(J133/1000000)*AQ$41</f>
      </c>
      <c r="AR133" s="6">
        <f>(K133/100)*AR$41</f>
      </c>
      <c r="AS133" s="6">
        <f>(L133/100)*AS$41</f>
      </c>
      <c r="AT133" s="6">
        <f>(M133/100)*AT$41</f>
      </c>
      <c r="AU133" s="6">
        <f>(N133/100)*AU$41</f>
      </c>
      <c r="AV133" s="6">
        <f>(O133/1000000)*AV$41</f>
      </c>
      <c r="AW133" s="6">
        <f>(P133/100)*AW$41</f>
      </c>
      <c r="AX133" s="6">
        <f>(Q133/100)*AX$41</f>
      </c>
      <c r="AY133" s="6">
        <f>(R133/100)*AY$41</f>
      </c>
      <c r="AZ133" s="6">
        <f>(S133/100)*AZ$41</f>
      </c>
      <c r="BA133" s="6">
        <f>(T133/100)*BA$41</f>
      </c>
      <c r="BB133" s="6">
        <f>(U133/100)*BB$41</f>
      </c>
      <c r="BC133" s="6"/>
      <c r="BD133" s="3"/>
      <c r="BE133" s="3"/>
      <c r="BF133" s="7">
        <f>AF133*E133</f>
      </c>
      <c r="BG133" s="6"/>
      <c r="BH133" s="3"/>
      <c r="BI133" s="6"/>
    </row>
    <row x14ac:dyDescent="0.25" r="134" customHeight="1" ht="12.75">
      <c r="A134" s="5" t="s">
        <v>609</v>
      </c>
      <c r="B134" s="3" t="s">
        <v>855</v>
      </c>
      <c r="C134" s="43" t="s">
        <v>1014</v>
      </c>
      <c r="D134" s="34" t="s">
        <v>929</v>
      </c>
      <c r="E134" s="6">
        <v>44.25</v>
      </c>
      <c r="F134" s="6">
        <v>0.11</v>
      </c>
      <c r="G134" s="6">
        <v>0.17</v>
      </c>
      <c r="H134" s="5">
        <v>10</v>
      </c>
      <c r="I134" s="6"/>
      <c r="J134" s="6">
        <v>0.68</v>
      </c>
      <c r="K134" s="7"/>
      <c r="L134" s="6"/>
      <c r="M134" s="6"/>
      <c r="N134" s="23"/>
      <c r="O134" s="5"/>
      <c r="P134" s="6"/>
      <c r="Q134" s="6"/>
      <c r="R134" s="6"/>
      <c r="S134" s="6"/>
      <c r="T134" s="6"/>
      <c r="U134" s="6"/>
      <c r="V134" s="5"/>
      <c r="W134" s="6"/>
      <c r="X134" s="6">
        <f>E134*F134/100</f>
      </c>
      <c r="Y134" s="6">
        <f>E134*G134/100</f>
      </c>
      <c r="Z134" s="7">
        <f>E134*H134</f>
      </c>
      <c r="AA134" s="7">
        <f>E134*J134</f>
      </c>
      <c r="AB134" s="6">
        <f>E134*I134/100</f>
      </c>
      <c r="AC134" s="15">
        <f>X134+Y134+AB134</f>
      </c>
      <c r="AD134" s="6">
        <f>F134+G134+I134</f>
      </c>
      <c r="AE134" s="3"/>
      <c r="AF134" s="6">
        <f>SUM(AM134:BC134)</f>
      </c>
      <c r="AG134" s="5">
        <f>IF(SUM(AM134:AO134)&gt;0.7*AF134,1,0)</f>
      </c>
      <c r="AH134" s="5">
        <f>IF(AN134&gt;0.4*AF134,1,0)</f>
      </c>
      <c r="AI134" s="5">
        <f>IF(SUM(AP134:AQ134)&gt;0.3*AF134,1,0)</f>
      </c>
      <c r="AJ134" s="5">
        <f>IF(AQ134&gt;0.2*AF134,1,0)</f>
      </c>
      <c r="AK134" s="5">
        <f>IF(SUM(AR134:BC134)&gt;0.3*AF134,1,0)</f>
      </c>
      <c r="AL134" s="3"/>
      <c r="AM134" s="6">
        <f>(F134/100)*AM$41</f>
      </c>
      <c r="AN134" s="6">
        <f>(G134/100)*AN$41</f>
      </c>
      <c r="AO134" s="6">
        <f>(H134/1000000)*AO$41</f>
      </c>
      <c r="AP134" s="6">
        <f>(I134/100)*AP$41</f>
      </c>
      <c r="AQ134" s="6">
        <f>(J134/1000000)*AQ$41</f>
      </c>
      <c r="AR134" s="6">
        <f>(K134/100)*AR$41</f>
      </c>
      <c r="AS134" s="6">
        <f>(L134/100)*AS$41</f>
      </c>
      <c r="AT134" s="6">
        <f>(M134/100)*AT$41</f>
      </c>
      <c r="AU134" s="6">
        <f>(N134/100)*AU$41</f>
      </c>
      <c r="AV134" s="6">
        <f>(O134/1000000)*AV$41</f>
      </c>
      <c r="AW134" s="6">
        <f>(P134/100)*AW$41</f>
      </c>
      <c r="AX134" s="6">
        <f>(Q134/100)*AX$41</f>
      </c>
      <c r="AY134" s="6">
        <f>(R134/100)*AY$41</f>
      </c>
      <c r="AZ134" s="6">
        <f>(S134/100)*AZ$41</f>
      </c>
      <c r="BA134" s="6">
        <f>(T134/100)*BA$41</f>
      </c>
      <c r="BB134" s="6">
        <f>(U134/100)*BB$41</f>
      </c>
      <c r="BC134" s="6"/>
      <c r="BD134" s="3"/>
      <c r="BE134" s="3"/>
      <c r="BF134" s="7">
        <f>AF134*E134</f>
      </c>
      <c r="BG134" s="6"/>
      <c r="BH134" s="3"/>
      <c r="BI134" s="6"/>
    </row>
    <row x14ac:dyDescent="0.25" r="135" customHeight="1" ht="12.75">
      <c r="A135" s="5" t="s">
        <v>770</v>
      </c>
      <c r="B135" s="3" t="s">
        <v>855</v>
      </c>
      <c r="C135" s="43" t="s">
        <v>1014</v>
      </c>
      <c r="D135" s="34"/>
      <c r="E135" s="6">
        <v>0.255</v>
      </c>
      <c r="F135" s="6">
        <v>1.61</v>
      </c>
      <c r="G135" s="6">
        <v>2.67</v>
      </c>
      <c r="H135" s="7"/>
      <c r="I135" s="6"/>
      <c r="J135" s="6"/>
      <c r="K135" s="7"/>
      <c r="L135" s="6"/>
      <c r="M135" s="6"/>
      <c r="N135" s="23"/>
      <c r="O135" s="5"/>
      <c r="P135" s="6"/>
      <c r="Q135" s="6"/>
      <c r="R135" s="6"/>
      <c r="S135" s="6"/>
      <c r="T135" s="6"/>
      <c r="U135" s="6"/>
      <c r="V135" s="5"/>
      <c r="W135" s="6"/>
      <c r="X135" s="6">
        <f>E135*F135/100</f>
      </c>
      <c r="Y135" s="6">
        <f>E135*G135/100</f>
      </c>
      <c r="Z135" s="7">
        <f>E135*H135</f>
      </c>
      <c r="AA135" s="7">
        <f>E135*J135</f>
      </c>
      <c r="AB135" s="6">
        <f>E135*I135/100</f>
      </c>
      <c r="AC135" s="24">
        <f>X135+Y135+AB135</f>
      </c>
      <c r="AD135" s="6">
        <f>F135+G135+I135</f>
      </c>
      <c r="AE135" s="3"/>
      <c r="AF135" s="6">
        <f>SUM(AM135:BC135)</f>
      </c>
      <c r="AG135" s="5">
        <f>IF(SUM(AM135:AO135)&gt;0.7*AF135,1,0)</f>
      </c>
      <c r="AH135" s="5">
        <f>IF(AN135&gt;0.4*AF135,1,0)</f>
      </c>
      <c r="AI135" s="5">
        <f>IF(SUM(AP135:AQ135)&gt;0.3*AF135,1,0)</f>
      </c>
      <c r="AJ135" s="5">
        <f>IF(AQ135&gt;0.2*AF135,1,0)</f>
      </c>
      <c r="AK135" s="5">
        <f>IF(SUM(AR135:BC135)&gt;0.3*AF135,1,0)</f>
      </c>
      <c r="AL135" s="3"/>
      <c r="AM135" s="6">
        <f>(F135/100)*AM$41</f>
      </c>
      <c r="AN135" s="6">
        <f>(G135/100)*AN$41</f>
      </c>
      <c r="AO135" s="6">
        <f>(H135/1000000)*AO$41</f>
      </c>
      <c r="AP135" s="6">
        <f>(I135/100)*AP$41</f>
      </c>
      <c r="AQ135" s="6">
        <f>(J135/1000000)*AQ$41</f>
      </c>
      <c r="AR135" s="6">
        <f>(K135/100)*AR$41</f>
      </c>
      <c r="AS135" s="6">
        <f>(L135/100)*AS$41</f>
      </c>
      <c r="AT135" s="6">
        <f>(M135/100)*AT$41</f>
      </c>
      <c r="AU135" s="6">
        <f>(N135/100)*AU$41</f>
      </c>
      <c r="AV135" s="6">
        <f>(O135/1000000)*AV$41</f>
      </c>
      <c r="AW135" s="6">
        <f>(P135/100)*AW$41</f>
      </c>
      <c r="AX135" s="6">
        <f>(Q135/100)*AX$41</f>
      </c>
      <c r="AY135" s="6">
        <f>(R135/100)*AY$41</f>
      </c>
      <c r="AZ135" s="6">
        <f>(S135/100)*AZ$41</f>
      </c>
      <c r="BA135" s="6">
        <f>(T135/100)*BA$41</f>
      </c>
      <c r="BB135" s="6">
        <f>(U135/100)*BB$41</f>
      </c>
      <c r="BC135" s="6"/>
      <c r="BD135" s="3"/>
      <c r="BE135" s="3"/>
      <c r="BF135" s="7">
        <f>AF135*E135</f>
      </c>
      <c r="BG135" s="6"/>
      <c r="BH135" s="3"/>
      <c r="BI135" s="6"/>
    </row>
    <row x14ac:dyDescent="0.25" r="136" customHeight="1" ht="12.75">
      <c r="A136" s="5" t="s">
        <v>791</v>
      </c>
      <c r="B136" s="3" t="s">
        <v>855</v>
      </c>
      <c r="C136" s="43" t="s">
        <v>1014</v>
      </c>
      <c r="D136" s="34"/>
      <c r="E136" s="6">
        <v>4.53</v>
      </c>
      <c r="F136" s="6">
        <v>0.5408167770419426</v>
      </c>
      <c r="G136" s="6">
        <v>0.9127373068432671</v>
      </c>
      <c r="H136" s="7">
        <v>28.8539293598234</v>
      </c>
      <c r="I136" s="6">
        <v>0.1688962472406181</v>
      </c>
      <c r="J136" s="6">
        <v>1.015121412803532</v>
      </c>
      <c r="K136" s="7"/>
      <c r="L136" s="6"/>
      <c r="M136" s="6"/>
      <c r="N136" s="23"/>
      <c r="O136" s="5"/>
      <c r="P136" s="6"/>
      <c r="Q136" s="6"/>
      <c r="R136" s="6"/>
      <c r="S136" s="6"/>
      <c r="T136" s="6"/>
      <c r="U136" s="6"/>
      <c r="V136" s="5"/>
      <c r="W136" s="6"/>
      <c r="X136" s="6">
        <f>E136*F136/100</f>
      </c>
      <c r="Y136" s="6">
        <f>E136*G136/100</f>
      </c>
      <c r="Z136" s="7">
        <f>E136*H136</f>
      </c>
      <c r="AA136" s="7">
        <f>E136*J136</f>
      </c>
      <c r="AB136" s="6">
        <f>E136*I136/100</f>
      </c>
      <c r="AC136" s="15">
        <f>X136+Y136+AB136</f>
      </c>
      <c r="AD136" s="6">
        <f>F136+G136+I136</f>
      </c>
      <c r="AE136" s="3"/>
      <c r="AF136" s="6">
        <f>SUM(AM136:BC136)</f>
      </c>
      <c r="AG136" s="5">
        <f>IF(SUM(AM136:AO136)&gt;0.7*AF136,1,0)</f>
      </c>
      <c r="AH136" s="5">
        <f>IF(AN136&gt;0.4*AF136,1,0)</f>
      </c>
      <c r="AI136" s="5">
        <f>IF(SUM(AP136:AQ136)&gt;0.3*AF136,1,0)</f>
      </c>
      <c r="AJ136" s="5">
        <f>IF(AQ136&gt;0.2*AF136,1,0)</f>
      </c>
      <c r="AK136" s="5">
        <f>IF(SUM(AR136:BC136)&gt;0.3*AF136,1,0)</f>
      </c>
      <c r="AL136" s="3"/>
      <c r="AM136" s="6">
        <f>(F136/100)*AM$41</f>
      </c>
      <c r="AN136" s="6">
        <f>(G136/100)*AN$41</f>
      </c>
      <c r="AO136" s="6">
        <f>(H136/1000000)*AO$41</f>
      </c>
      <c r="AP136" s="6">
        <f>(I136/100)*AP$41</f>
      </c>
      <c r="AQ136" s="6">
        <f>(J136/1000000)*AQ$41</f>
      </c>
      <c r="AR136" s="6">
        <f>(K136/100)*AR$41</f>
      </c>
      <c r="AS136" s="6">
        <f>(L136/100)*AS$41</f>
      </c>
      <c r="AT136" s="6">
        <f>(M136/100)*AT$41</f>
      </c>
      <c r="AU136" s="6">
        <f>(N136/100)*AU$41</f>
      </c>
      <c r="AV136" s="6">
        <f>(O136/1000000)*AV$41</f>
      </c>
      <c r="AW136" s="6">
        <f>(P136/100)*AW$41</f>
      </c>
      <c r="AX136" s="6">
        <f>(Q136/100)*AX$41</f>
      </c>
      <c r="AY136" s="6">
        <f>(R136/100)*AY$41</f>
      </c>
      <c r="AZ136" s="6">
        <f>(S136/100)*AZ$41</f>
      </c>
      <c r="BA136" s="6">
        <f>(T136/100)*BA$41</f>
      </c>
      <c r="BB136" s="6">
        <f>(U136/100)*BB$41</f>
      </c>
      <c r="BC136" s="6"/>
      <c r="BD136" s="3"/>
      <c r="BE136" s="3"/>
      <c r="BF136" s="7">
        <f>AF136*E136</f>
      </c>
      <c r="BG136" s="6"/>
      <c r="BH136" s="3"/>
      <c r="BI136" s="6"/>
    </row>
    <row x14ac:dyDescent="0.25" r="137" customHeight="1" ht="12.75">
      <c r="A137" s="5" t="s">
        <v>779</v>
      </c>
      <c r="B137" s="3" t="s">
        <v>855</v>
      </c>
      <c r="C137" s="43" t="s">
        <v>1014</v>
      </c>
      <c r="D137" s="34" t="s">
        <v>929</v>
      </c>
      <c r="E137" s="6">
        <v>6.79</v>
      </c>
      <c r="F137" s="6"/>
      <c r="G137" s="6">
        <v>0.23</v>
      </c>
      <c r="H137" s="7">
        <v>27.368000000000002</v>
      </c>
      <c r="I137" s="6">
        <v>0.75</v>
      </c>
      <c r="J137" s="6"/>
      <c r="K137" s="7"/>
      <c r="L137" s="6"/>
      <c r="M137" s="6"/>
      <c r="N137" s="23"/>
      <c r="O137" s="5"/>
      <c r="P137" s="6"/>
      <c r="Q137" s="6"/>
      <c r="R137" s="6"/>
      <c r="S137" s="6"/>
      <c r="T137" s="6"/>
      <c r="U137" s="6"/>
      <c r="V137" s="5"/>
      <c r="W137" s="6"/>
      <c r="X137" s="6">
        <f>E137*F137/100</f>
      </c>
      <c r="Y137" s="6">
        <f>E137*G137/100</f>
      </c>
      <c r="Z137" s="7">
        <f>E137*H137</f>
      </c>
      <c r="AA137" s="7">
        <f>E137*J137</f>
      </c>
      <c r="AB137" s="6">
        <f>E137*I137/100</f>
      </c>
      <c r="AC137" s="15">
        <f>X137+Y137+AB137</f>
      </c>
      <c r="AD137" s="6">
        <f>F137+G137+I137</f>
      </c>
      <c r="AE137" s="3"/>
      <c r="AF137" s="6">
        <f>SUM(AM137:BC137)</f>
      </c>
      <c r="AG137" s="5">
        <f>IF(SUM(AM137:AO137)&gt;0.7*AF137,1,0)</f>
      </c>
      <c r="AH137" s="5">
        <f>IF(AN137&gt;0.4*AF137,1,0)</f>
      </c>
      <c r="AI137" s="5">
        <f>IF(SUM(AP137:AQ137)&gt;0.3*AF137,1,0)</f>
      </c>
      <c r="AJ137" s="5">
        <f>IF(AQ137&gt;0.2*AF137,1,0)</f>
      </c>
      <c r="AK137" s="5">
        <f>IF(SUM(AR137:BC137)&gt;0.3*AF137,1,0)</f>
      </c>
      <c r="AL137" s="3"/>
      <c r="AM137" s="6">
        <f>(F137/100)*AM$41</f>
      </c>
      <c r="AN137" s="6">
        <f>(G137/100)*AN$41</f>
      </c>
      <c r="AO137" s="6">
        <f>(H137/1000000)*AO$41</f>
      </c>
      <c r="AP137" s="6">
        <f>(I137/100)*AP$41</f>
      </c>
      <c r="AQ137" s="6">
        <f>(J137/1000000)*AQ$41</f>
      </c>
      <c r="AR137" s="6">
        <f>(K137/100)*AR$41</f>
      </c>
      <c r="AS137" s="6">
        <f>(L137/100)*AS$41</f>
      </c>
      <c r="AT137" s="6">
        <f>(M137/100)*AT$41</f>
      </c>
      <c r="AU137" s="6">
        <f>(N137/100)*AU$41</f>
      </c>
      <c r="AV137" s="6">
        <f>(O137/1000000)*AV$41</f>
      </c>
      <c r="AW137" s="6">
        <f>(P137/100)*AW$41</f>
      </c>
      <c r="AX137" s="6">
        <f>(Q137/100)*AX$41</f>
      </c>
      <c r="AY137" s="6">
        <f>(R137/100)*AY$41</f>
      </c>
      <c r="AZ137" s="6">
        <f>(S137/100)*AZ$41</f>
      </c>
      <c r="BA137" s="6">
        <f>(T137/100)*BA$41</f>
      </c>
      <c r="BB137" s="6">
        <f>(U137/100)*BB$41</f>
      </c>
      <c r="BC137" s="6"/>
      <c r="BD137" s="3"/>
      <c r="BE137" s="3"/>
      <c r="BF137" s="7">
        <f>AF137*E137</f>
      </c>
      <c r="BG137" s="6"/>
      <c r="BH137" s="3"/>
      <c r="BI137" s="6"/>
    </row>
    <row x14ac:dyDescent="0.25" r="138" customHeight="1" ht="12.75">
      <c r="A138" s="5" t="s">
        <v>321</v>
      </c>
      <c r="B138" s="3" t="s">
        <v>855</v>
      </c>
      <c r="C138" s="43" t="s">
        <v>1014</v>
      </c>
      <c r="D138" s="34" t="s">
        <v>929</v>
      </c>
      <c r="E138" s="6">
        <v>1.1740000000000002</v>
      </c>
      <c r="F138" s="7">
        <v>2.393015332197615</v>
      </c>
      <c r="G138" s="7">
        <v>2.393015332197615</v>
      </c>
      <c r="H138" s="31">
        <v>363.77172061328787</v>
      </c>
      <c r="I138" s="6">
        <v>0.3479727427597956</v>
      </c>
      <c r="J138" s="6"/>
      <c r="K138" s="7"/>
      <c r="L138" s="6"/>
      <c r="M138" s="6"/>
      <c r="N138" s="23"/>
      <c r="O138" s="5"/>
      <c r="P138" s="6"/>
      <c r="Q138" s="6"/>
      <c r="R138" s="6"/>
      <c r="S138" s="6"/>
      <c r="T138" s="6"/>
      <c r="U138" s="6"/>
      <c r="V138" s="5"/>
      <c r="W138" s="6"/>
      <c r="X138" s="6">
        <f>E138*F138/100</f>
      </c>
      <c r="Y138" s="6">
        <f>E138*G138/100</f>
      </c>
      <c r="Z138" s="7">
        <f>E138*H138</f>
      </c>
      <c r="AA138" s="7">
        <f>E138*J138</f>
      </c>
      <c r="AB138" s="6">
        <f>E138*I138/100</f>
      </c>
      <c r="AC138" s="15">
        <f>X138+Y138+AB138</f>
      </c>
      <c r="AD138" s="6">
        <f>F138+G138+I138</f>
      </c>
      <c r="AE138" s="3"/>
      <c r="AF138" s="6">
        <f>SUM(AM138:BC138)</f>
      </c>
      <c r="AG138" s="5">
        <f>IF(SUM(AM138:AO138)&gt;0.7*AF138,1,0)</f>
      </c>
      <c r="AH138" s="5">
        <f>IF(AN138&gt;0.4*AF138,1,0)</f>
      </c>
      <c r="AI138" s="5">
        <f>IF(SUM(AP138:AQ138)&gt;0.3*AF138,1,0)</f>
      </c>
      <c r="AJ138" s="5">
        <f>IF(AQ138&gt;0.2*AF138,1,0)</f>
      </c>
      <c r="AK138" s="5">
        <f>IF(SUM(AR138:BC138)&gt;0.3*AF138,1,0)</f>
      </c>
      <c r="AL138" s="3"/>
      <c r="AM138" s="6">
        <f>(F138/100)*AM$41</f>
      </c>
      <c r="AN138" s="6">
        <f>(G138/100)*AN$41</f>
      </c>
      <c r="AO138" s="6">
        <f>(H138/1000000)*AO$41</f>
      </c>
      <c r="AP138" s="6">
        <f>(I138/100)*AP$41</f>
      </c>
      <c r="AQ138" s="6">
        <f>(J138/1000000)*AQ$41</f>
      </c>
      <c r="AR138" s="6">
        <f>(K138/100)*AR$41</f>
      </c>
      <c r="AS138" s="6">
        <f>(L138/100)*AS$41</f>
      </c>
      <c r="AT138" s="6">
        <f>(M138/100)*AT$41</f>
      </c>
      <c r="AU138" s="6">
        <f>(N138/100)*AU$41</f>
      </c>
      <c r="AV138" s="6">
        <f>(O138/1000000)*AV$41</f>
      </c>
      <c r="AW138" s="6">
        <f>(P138/100)*AW$41</f>
      </c>
      <c r="AX138" s="6">
        <f>(Q138/100)*AX$41</f>
      </c>
      <c r="AY138" s="6">
        <f>(R138/100)*AY$41</f>
      </c>
      <c r="AZ138" s="6">
        <f>(S138/100)*AZ$41</f>
      </c>
      <c r="BA138" s="6">
        <f>(T138/100)*BA$41</f>
      </c>
      <c r="BB138" s="6">
        <f>(U138/100)*BB$41</f>
      </c>
      <c r="BC138" s="6"/>
      <c r="BD138" s="3"/>
      <c r="BE138" s="3"/>
      <c r="BF138" s="7">
        <f>AF138*E138</f>
      </c>
      <c r="BG138" s="6"/>
      <c r="BH138" s="3"/>
      <c r="BI138" s="6"/>
    </row>
    <row x14ac:dyDescent="0.25" r="139" customHeight="1" ht="12.75">
      <c r="A139" s="5" t="s">
        <v>591</v>
      </c>
      <c r="B139" s="3" t="s">
        <v>855</v>
      </c>
      <c r="C139" s="43" t="s">
        <v>1014</v>
      </c>
      <c r="D139" s="34" t="s">
        <v>929</v>
      </c>
      <c r="E139" s="6">
        <v>0.3</v>
      </c>
      <c r="F139" s="6">
        <v>0.54</v>
      </c>
      <c r="G139" s="6">
        <v>1.12</v>
      </c>
      <c r="H139" s="7">
        <v>329.349</v>
      </c>
      <c r="I139" s="6"/>
      <c r="J139" s="6"/>
      <c r="K139" s="7"/>
      <c r="L139" s="6"/>
      <c r="M139" s="6"/>
      <c r="N139" s="23"/>
      <c r="O139" s="5"/>
      <c r="P139" s="6"/>
      <c r="Q139" s="6"/>
      <c r="R139" s="6"/>
      <c r="S139" s="6"/>
      <c r="T139" s="6"/>
      <c r="U139" s="6"/>
      <c r="V139" s="5"/>
      <c r="W139" s="6"/>
      <c r="X139" s="6">
        <f>E139*F139/100</f>
      </c>
      <c r="Y139" s="6">
        <f>E139*G139/100</f>
      </c>
      <c r="Z139" s="7">
        <f>E139*H139</f>
      </c>
      <c r="AA139" s="7">
        <f>E139*J139</f>
      </c>
      <c r="AB139" s="6">
        <f>E139*I139/100</f>
      </c>
      <c r="AC139" s="15">
        <f>X139+Y139+AB139</f>
      </c>
      <c r="AD139" s="6">
        <f>F139+G139+I139</f>
      </c>
      <c r="AE139" s="3"/>
      <c r="AF139" s="6">
        <f>SUM(AM139:BC139)</f>
      </c>
      <c r="AG139" s="5">
        <f>IF(SUM(AM139:AO139)&gt;0.7*AF139,1,0)</f>
      </c>
      <c r="AH139" s="5">
        <f>IF(AN139&gt;0.4*AF139,1,0)</f>
      </c>
      <c r="AI139" s="5">
        <f>IF(SUM(AP139:AQ139)&gt;0.3*AF139,1,0)</f>
      </c>
      <c r="AJ139" s="5">
        <f>IF(AQ139&gt;0.2*AF139,1,0)</f>
      </c>
      <c r="AK139" s="5">
        <f>IF(SUM(AR139:BC139)&gt;0.3*AF139,1,0)</f>
      </c>
      <c r="AL139" s="3"/>
      <c r="AM139" s="6">
        <f>(F139/100)*AM$41</f>
      </c>
      <c r="AN139" s="6">
        <f>(G139/100)*AN$41</f>
      </c>
      <c r="AO139" s="6">
        <f>(H139/1000000)*AO$41</f>
      </c>
      <c r="AP139" s="6">
        <f>(I139/100)*AP$41</f>
      </c>
      <c r="AQ139" s="6">
        <f>(J139/1000000)*AQ$41</f>
      </c>
      <c r="AR139" s="6">
        <f>(K139/100)*AR$41</f>
      </c>
      <c r="AS139" s="6">
        <f>(L139/100)*AS$41</f>
      </c>
      <c r="AT139" s="6">
        <f>(M139/100)*AT$41</f>
      </c>
      <c r="AU139" s="6">
        <f>(N139/100)*AU$41</f>
      </c>
      <c r="AV139" s="6">
        <f>(O139/1000000)*AV$41</f>
      </c>
      <c r="AW139" s="6">
        <f>(P139/100)*AW$41</f>
      </c>
      <c r="AX139" s="6">
        <f>(Q139/100)*AX$41</f>
      </c>
      <c r="AY139" s="6">
        <f>(R139/100)*AY$41</f>
      </c>
      <c r="AZ139" s="6">
        <f>(S139/100)*AZ$41</f>
      </c>
      <c r="BA139" s="6">
        <f>(T139/100)*BA$41</f>
      </c>
      <c r="BB139" s="6">
        <f>(U139/100)*BB$41</f>
      </c>
      <c r="BC139" s="6"/>
      <c r="BD139" s="3"/>
      <c r="BE139" s="3"/>
      <c r="BF139" s="7">
        <f>AF139*E139</f>
      </c>
      <c r="BG139" s="6"/>
      <c r="BH139" s="3"/>
      <c r="BI139" s="6"/>
    </row>
    <row x14ac:dyDescent="0.25" r="140" customHeight="1" ht="12.75">
      <c r="A140" s="5" t="s">
        <v>522</v>
      </c>
      <c r="B140" s="3" t="s">
        <v>855</v>
      </c>
      <c r="C140" s="43" t="s">
        <v>946</v>
      </c>
      <c r="D140" s="34" t="s">
        <v>947</v>
      </c>
      <c r="E140" s="6">
        <v>17.06</v>
      </c>
      <c r="F140" s="6">
        <v>0.2686694021101993</v>
      </c>
      <c r="G140" s="6">
        <v>1.3503751465416178</v>
      </c>
      <c r="H140" s="31">
        <v>46.06828839390388</v>
      </c>
      <c r="I140" s="6">
        <v>1.3178663540445488</v>
      </c>
      <c r="J140" s="6"/>
      <c r="K140" s="7"/>
      <c r="L140" s="6"/>
      <c r="M140" s="6"/>
      <c r="N140" s="23"/>
      <c r="O140" s="5"/>
      <c r="P140" s="6"/>
      <c r="Q140" s="6"/>
      <c r="R140" s="6"/>
      <c r="S140" s="6"/>
      <c r="T140" s="6"/>
      <c r="U140" s="6"/>
      <c r="V140" s="5"/>
      <c r="W140" s="6"/>
      <c r="X140" s="6">
        <f>E140*F140/100</f>
      </c>
      <c r="Y140" s="6">
        <f>E140*G140/100</f>
      </c>
      <c r="Z140" s="7">
        <f>E140*H140</f>
      </c>
      <c r="AA140" s="7">
        <f>E140*J140</f>
      </c>
      <c r="AB140" s="6">
        <f>E140*I140/100</f>
      </c>
      <c r="AC140" s="15">
        <f>X140+Y140+AB140</f>
      </c>
      <c r="AD140" s="6">
        <f>F140+G140+I140</f>
      </c>
      <c r="AE140" s="3"/>
      <c r="AF140" s="6">
        <f>SUM(AM140:BC140)</f>
      </c>
      <c r="AG140" s="5">
        <f>IF(SUM(AM140:AO140)&gt;0.7*AF140,1,0)</f>
      </c>
      <c r="AH140" s="5">
        <f>IF(AN140&gt;0.4*AF140,1,0)</f>
      </c>
      <c r="AI140" s="5">
        <f>IF(SUM(AP140:AQ140)&gt;0.3*AF140,1,0)</f>
      </c>
      <c r="AJ140" s="5">
        <f>IF(AQ140&gt;0.2*AF140,1,0)</f>
      </c>
      <c r="AK140" s="5">
        <f>IF(SUM(AR140:BC140)&gt;0.3*AF140,1,0)</f>
      </c>
      <c r="AL140" s="3"/>
      <c r="AM140" s="6">
        <f>(F140/100)*AM$41</f>
      </c>
      <c r="AN140" s="6">
        <f>(G140/100)*AN$41</f>
      </c>
      <c r="AO140" s="6">
        <f>(H140/1000000)*AO$41</f>
      </c>
      <c r="AP140" s="6">
        <f>(I140/100)*AP$41</f>
      </c>
      <c r="AQ140" s="6">
        <f>(J140/1000000)*AQ$41</f>
      </c>
      <c r="AR140" s="6">
        <f>(K140/100)*AR$41</f>
      </c>
      <c r="AS140" s="6">
        <f>(L140/100)*AS$41</f>
      </c>
      <c r="AT140" s="6">
        <f>(M140/100)*AT$41</f>
      </c>
      <c r="AU140" s="6">
        <f>(N140/100)*AU$41</f>
      </c>
      <c r="AV140" s="6">
        <f>(O140/1000000)*AV$41</f>
      </c>
      <c r="AW140" s="6">
        <f>(P140/100)*AW$41</f>
      </c>
      <c r="AX140" s="6">
        <f>(Q140/100)*AX$41</f>
      </c>
      <c r="AY140" s="6">
        <f>(R140/100)*AY$41</f>
      </c>
      <c r="AZ140" s="6">
        <f>(S140/100)*AZ$41</f>
      </c>
      <c r="BA140" s="6">
        <f>(T140/100)*BA$41</f>
      </c>
      <c r="BB140" s="6">
        <f>(U140/100)*BB$41</f>
      </c>
      <c r="BC140" s="6"/>
      <c r="BD140" s="3"/>
      <c r="BE140" s="3"/>
      <c r="BF140" s="7">
        <f>AF140*E140</f>
      </c>
      <c r="BG140" s="6"/>
      <c r="BH140" s="3"/>
      <c r="BI140" s="6"/>
    </row>
    <row x14ac:dyDescent="0.25" r="141" customHeight="1" ht="12.75">
      <c r="A141" s="5" t="s">
        <v>252</v>
      </c>
      <c r="B141" s="3" t="s">
        <v>855</v>
      </c>
      <c r="C141" s="43" t="s">
        <v>939</v>
      </c>
      <c r="D141" s="34" t="s">
        <v>940</v>
      </c>
      <c r="E141" s="6">
        <v>48.765</v>
      </c>
      <c r="F141" s="6">
        <v>0.957</v>
      </c>
      <c r="G141" s="6">
        <v>2.882</v>
      </c>
      <c r="H141" s="7"/>
      <c r="I141" s="6">
        <v>0.487</v>
      </c>
      <c r="J141" s="6"/>
      <c r="K141" s="7"/>
      <c r="L141" s="6"/>
      <c r="M141" s="6"/>
      <c r="N141" s="23"/>
      <c r="O141" s="5"/>
      <c r="P141" s="6"/>
      <c r="Q141" s="6"/>
      <c r="R141" s="6"/>
      <c r="S141" s="6"/>
      <c r="T141" s="6"/>
      <c r="U141" s="6"/>
      <c r="V141" s="5"/>
      <c r="W141" s="6"/>
      <c r="X141" s="6">
        <f>E141*F141/100</f>
      </c>
      <c r="Y141" s="6">
        <f>E141*G141/100</f>
      </c>
      <c r="Z141" s="7">
        <f>E141*H141</f>
      </c>
      <c r="AA141" s="7">
        <f>E141*J141</f>
      </c>
      <c r="AB141" s="6">
        <f>E141*I141/100</f>
      </c>
      <c r="AC141" s="15">
        <f>X141+Y141+AB141</f>
      </c>
      <c r="AD141" s="6">
        <f>F141+G141+I141</f>
      </c>
      <c r="AE141" s="3"/>
      <c r="AF141" s="6">
        <f>SUM(AM141:BC141)</f>
      </c>
      <c r="AG141" s="5">
        <f>IF(SUM(AM141:AO141)&gt;0.7*AF141,1,0)</f>
      </c>
      <c r="AH141" s="5">
        <f>IF(AN141&gt;0.4*AF141,1,0)</f>
      </c>
      <c r="AI141" s="5">
        <f>IF(SUM(AP141:AQ141)&gt;0.3*AF141,1,0)</f>
      </c>
      <c r="AJ141" s="5">
        <f>IF(AQ141&gt;0.2*AF141,1,0)</f>
      </c>
      <c r="AK141" s="5">
        <f>IF(SUM(AR141:BC141)&gt;0.3*AF141,1,0)</f>
      </c>
      <c r="AL141" s="3"/>
      <c r="AM141" s="6">
        <f>(F141/100)*AM$41</f>
      </c>
      <c r="AN141" s="6">
        <f>(G141/100)*AN$41</f>
      </c>
      <c r="AO141" s="6">
        <f>(H141/1000000)*AO$41</f>
      </c>
      <c r="AP141" s="6">
        <f>(I141/100)*AP$41</f>
      </c>
      <c r="AQ141" s="6">
        <f>(J141/1000000)*AQ$41</f>
      </c>
      <c r="AR141" s="6">
        <f>(K141/100)*AR$41</f>
      </c>
      <c r="AS141" s="6">
        <f>(L141/100)*AS$41</f>
      </c>
      <c r="AT141" s="6">
        <f>(M141/100)*AT$41</f>
      </c>
      <c r="AU141" s="6">
        <f>(N141/100)*AU$41</f>
      </c>
      <c r="AV141" s="6">
        <f>(O141/1000000)*AV$41</f>
      </c>
      <c r="AW141" s="6">
        <f>(P141/100)*AW$41</f>
      </c>
      <c r="AX141" s="6">
        <f>(Q141/100)*AX$41</f>
      </c>
      <c r="AY141" s="6">
        <f>(R141/100)*AY$41</f>
      </c>
      <c r="AZ141" s="6">
        <f>(S141/100)*AZ$41</f>
      </c>
      <c r="BA141" s="6">
        <f>(T141/100)*BA$41</f>
      </c>
      <c r="BB141" s="6">
        <f>(U141/100)*BB$41</f>
      </c>
      <c r="BC141" s="6"/>
      <c r="BD141" s="3"/>
      <c r="BE141" s="3"/>
      <c r="BF141" s="7">
        <f>AF141*E141</f>
      </c>
      <c r="BG141" s="6"/>
      <c r="BH141" s="3"/>
      <c r="BI141" s="6"/>
    </row>
    <row x14ac:dyDescent="0.25" r="142" customHeight="1" ht="12.75">
      <c r="A142" s="5" t="s">
        <v>58</v>
      </c>
      <c r="B142" s="38" t="s">
        <v>859</v>
      </c>
      <c r="C142" s="43" t="s">
        <v>856</v>
      </c>
      <c r="D142" s="34" t="s">
        <v>928</v>
      </c>
      <c r="E142" s="5">
        <v>961</v>
      </c>
      <c r="F142" s="7">
        <v>0.5</v>
      </c>
      <c r="G142" s="7">
        <v>0.4</v>
      </c>
      <c r="H142" s="31">
        <v>52</v>
      </c>
      <c r="I142" s="7"/>
      <c r="J142" s="6"/>
      <c r="K142" s="7"/>
      <c r="L142" s="6"/>
      <c r="M142" s="6"/>
      <c r="N142" s="23"/>
      <c r="O142" s="5"/>
      <c r="P142" s="6"/>
      <c r="Q142" s="6"/>
      <c r="R142" s="6"/>
      <c r="S142" s="6"/>
      <c r="T142" s="6"/>
      <c r="U142" s="6"/>
      <c r="V142" s="5"/>
      <c r="W142" s="6"/>
      <c r="X142" s="6">
        <f>E142*F142/100</f>
      </c>
      <c r="Y142" s="6">
        <f>E142*G142/100</f>
      </c>
      <c r="Z142" s="7">
        <f>E142*H142</f>
      </c>
      <c r="AA142" s="7">
        <f>E142*J142</f>
      </c>
      <c r="AB142" s="6">
        <f>E142*I142/100</f>
      </c>
      <c r="AC142" s="15">
        <f>X142+Y142+AB142</f>
      </c>
      <c r="AD142" s="6">
        <f>F142+G142+I142</f>
      </c>
      <c r="AE142" s="3"/>
      <c r="AF142" s="6">
        <f>SUM(AM142:BC142)</f>
      </c>
      <c r="AG142" s="5">
        <f>IF(SUM(AM142:AO142)&gt;0.7*AF142,1,0)</f>
      </c>
      <c r="AH142" s="5">
        <f>IF(AN142&gt;0.4*AF142,1,0)</f>
      </c>
      <c r="AI142" s="5">
        <f>IF(SUM(AP142:AQ142)&gt;0.3*AF142,1,0)</f>
      </c>
      <c r="AJ142" s="5">
        <f>IF(AQ142&gt;0.2*AF142,1,0)</f>
      </c>
      <c r="AK142" s="5">
        <f>IF(SUM(AR142:BC142)&gt;0.3*AF142,1,0)</f>
      </c>
      <c r="AL142" s="3"/>
      <c r="AM142" s="6">
        <f>(F142/100)*AM$41</f>
      </c>
      <c r="AN142" s="6">
        <f>(G142/100)*AN$41</f>
      </c>
      <c r="AO142" s="6">
        <f>(H142/1000000)*AO$41</f>
      </c>
      <c r="AP142" s="6">
        <f>(I142/100)*AP$41</f>
      </c>
      <c r="AQ142" s="6">
        <f>(J142/1000000)*AQ$41</f>
      </c>
      <c r="AR142" s="6">
        <f>(K142/100)*AR$41</f>
      </c>
      <c r="AS142" s="6">
        <f>(L142/100)*AS$41</f>
      </c>
      <c r="AT142" s="6">
        <f>(M142/100)*AT$41</f>
      </c>
      <c r="AU142" s="6">
        <f>(N142/100)*AU$41</f>
      </c>
      <c r="AV142" s="6">
        <f>(O142/1000000)*AV$41</f>
      </c>
      <c r="AW142" s="6">
        <f>(P142/100)*AW$41</f>
      </c>
      <c r="AX142" s="6">
        <f>(Q142/100)*AX$41</f>
      </c>
      <c r="AY142" s="6">
        <f>(R142/100)*AY$41</f>
      </c>
      <c r="AZ142" s="6">
        <f>(S142/100)*AZ$41</f>
      </c>
      <c r="BA142" s="6">
        <f>(T142/100)*BA$41</f>
      </c>
      <c r="BB142" s="6">
        <f>(U142/100)*BB$41</f>
      </c>
      <c r="BC142" s="6"/>
      <c r="BD142" s="3"/>
      <c r="BE142" s="3"/>
      <c r="BF142" s="7">
        <f>AF142*E142</f>
      </c>
      <c r="BG142" s="6"/>
      <c r="BH142" s="3"/>
      <c r="BI142" s="6"/>
    </row>
    <row x14ac:dyDescent="0.25" r="143" customHeight="1" ht="12.75">
      <c r="A143" s="5" t="s">
        <v>403</v>
      </c>
      <c r="B143" s="38" t="s">
        <v>859</v>
      </c>
      <c r="C143" s="43" t="s">
        <v>856</v>
      </c>
      <c r="D143" s="34" t="s">
        <v>928</v>
      </c>
      <c r="E143" s="5">
        <v>20</v>
      </c>
      <c r="F143" s="6">
        <v>1.5</v>
      </c>
      <c r="G143" s="5">
        <v>2</v>
      </c>
      <c r="H143" s="5">
        <v>30</v>
      </c>
      <c r="I143" s="5">
        <v>1</v>
      </c>
      <c r="J143" s="5">
        <v>1</v>
      </c>
      <c r="K143" s="7"/>
      <c r="L143" s="6"/>
      <c r="M143" s="6"/>
      <c r="N143" s="23"/>
      <c r="O143" s="5"/>
      <c r="P143" s="6"/>
      <c r="Q143" s="6"/>
      <c r="R143" s="6"/>
      <c r="S143" s="6"/>
      <c r="T143" s="6"/>
      <c r="U143" s="6"/>
      <c r="V143" s="5"/>
      <c r="W143" s="6"/>
      <c r="X143" s="6">
        <f>E143*F143/100</f>
      </c>
      <c r="Y143" s="6">
        <f>E143*G143/100</f>
      </c>
      <c r="Z143" s="7">
        <f>E143*H143</f>
      </c>
      <c r="AA143" s="7">
        <f>E143*J143</f>
      </c>
      <c r="AB143" s="6">
        <f>E143*I143/100</f>
      </c>
      <c r="AC143" s="15">
        <f>X143+Y143+AB143</f>
      </c>
      <c r="AD143" s="6">
        <f>F143+G143+I143</f>
      </c>
      <c r="AE143" s="3"/>
      <c r="AF143" s="6">
        <f>SUM(AM143:BC143)</f>
      </c>
      <c r="AG143" s="5">
        <f>IF(SUM(AM143:AO143)&gt;0.7*AF143,1,0)</f>
      </c>
      <c r="AH143" s="5">
        <f>IF(AN143&gt;0.4*AF143,1,0)</f>
      </c>
      <c r="AI143" s="5">
        <f>IF(SUM(AP143:AQ143)&gt;0.3*AF143,1,0)</f>
      </c>
      <c r="AJ143" s="5">
        <f>IF(AQ143&gt;0.2*AF143,1,0)</f>
      </c>
      <c r="AK143" s="5">
        <f>IF(SUM(AR143:BC143)&gt;0.3*AF143,1,0)</f>
      </c>
      <c r="AL143" s="3"/>
      <c r="AM143" s="6">
        <f>(F143/100)*AM$41</f>
      </c>
      <c r="AN143" s="6">
        <f>(G143/100)*AN$41</f>
      </c>
      <c r="AO143" s="6">
        <f>(H143/1000000)*AO$41</f>
      </c>
      <c r="AP143" s="6">
        <f>(I143/100)*AP$41</f>
      </c>
      <c r="AQ143" s="6">
        <f>(J143/1000000)*AQ$41</f>
      </c>
      <c r="AR143" s="6">
        <f>(K143/100)*AR$41</f>
      </c>
      <c r="AS143" s="6">
        <f>(L143/100)*AS$41</f>
      </c>
      <c r="AT143" s="6">
        <f>(M143/100)*AT$41</f>
      </c>
      <c r="AU143" s="6">
        <f>(N143/100)*AU$41</f>
      </c>
      <c r="AV143" s="6">
        <f>(O143/1000000)*AV$41</f>
      </c>
      <c r="AW143" s="6">
        <f>(P143/100)*AW$41</f>
      </c>
      <c r="AX143" s="6">
        <f>(Q143/100)*AX$41</f>
      </c>
      <c r="AY143" s="6">
        <f>(R143/100)*AY$41</f>
      </c>
      <c r="AZ143" s="6">
        <f>(S143/100)*AZ$41</f>
      </c>
      <c r="BA143" s="6">
        <f>(T143/100)*BA$41</f>
      </c>
      <c r="BB143" s="6">
        <f>(U143/100)*BB$41</f>
      </c>
      <c r="BC143" s="6"/>
      <c r="BD143" s="3"/>
      <c r="BE143" s="3"/>
      <c r="BF143" s="7">
        <f>AF143*E143</f>
      </c>
      <c r="BG143" s="6"/>
      <c r="BH143" s="3"/>
      <c r="BI143" s="6"/>
    </row>
    <row x14ac:dyDescent="0.25" r="144" customHeight="1" ht="12.75">
      <c r="A144" s="5" t="s">
        <v>532</v>
      </c>
      <c r="B144" s="38" t="s">
        <v>859</v>
      </c>
      <c r="C144" s="43" t="s">
        <v>856</v>
      </c>
      <c r="D144" s="34"/>
      <c r="E144" s="6">
        <v>11.4</v>
      </c>
      <c r="F144" s="7">
        <v>2.3</v>
      </c>
      <c r="G144" s="7">
        <v>3.3</v>
      </c>
      <c r="H144" s="31"/>
      <c r="I144" s="7"/>
      <c r="J144" s="6"/>
      <c r="K144" s="7"/>
      <c r="L144" s="6"/>
      <c r="M144" s="6"/>
      <c r="N144" s="23"/>
      <c r="O144" s="5"/>
      <c r="P144" s="6"/>
      <c r="Q144" s="6"/>
      <c r="R144" s="6"/>
      <c r="S144" s="6"/>
      <c r="T144" s="6"/>
      <c r="U144" s="6"/>
      <c r="V144" s="5"/>
      <c r="W144" s="6"/>
      <c r="X144" s="6">
        <f>E144*F144/100</f>
      </c>
      <c r="Y144" s="6">
        <f>E144*G144/100</f>
      </c>
      <c r="Z144" s="7">
        <f>E144*H144</f>
      </c>
      <c r="AA144" s="7">
        <f>E144*J144</f>
      </c>
      <c r="AB144" s="6">
        <f>E144*I144/100</f>
      </c>
      <c r="AC144" s="15">
        <f>X144+Y144+AB144</f>
      </c>
      <c r="AD144" s="6">
        <f>F144+G144+I144</f>
      </c>
      <c r="AE144" s="3"/>
      <c r="AF144" s="6">
        <f>SUM(AM144:BC144)</f>
      </c>
      <c r="AG144" s="5">
        <f>IF(SUM(AM144:AO144)&gt;0.7*AF144,1,0)</f>
      </c>
      <c r="AH144" s="5">
        <f>IF(AN144&gt;0.4*AF144,1,0)</f>
      </c>
      <c r="AI144" s="5">
        <f>IF(SUM(AP144:AQ144)&gt;0.3*AF144,1,0)</f>
      </c>
      <c r="AJ144" s="5">
        <f>IF(AQ144&gt;0.2*AF144,1,0)</f>
      </c>
      <c r="AK144" s="5">
        <f>IF(SUM(AR144:BC144)&gt;0.3*AF144,1,0)</f>
      </c>
      <c r="AL144" s="3"/>
      <c r="AM144" s="6">
        <f>(F144/100)*AM$41</f>
      </c>
      <c r="AN144" s="6">
        <f>(G144/100)*AN$41</f>
      </c>
      <c r="AO144" s="6">
        <f>(H144/1000000)*AO$41</f>
      </c>
      <c r="AP144" s="6">
        <f>(I144/100)*AP$41</f>
      </c>
      <c r="AQ144" s="6">
        <f>(J144/1000000)*AQ$41</f>
      </c>
      <c r="AR144" s="6">
        <f>(K144/100)*AR$41</f>
      </c>
      <c r="AS144" s="6">
        <f>(L144/100)*AS$41</f>
      </c>
      <c r="AT144" s="6">
        <f>(M144/100)*AT$41</f>
      </c>
      <c r="AU144" s="6">
        <f>(N144/100)*AU$41</f>
      </c>
      <c r="AV144" s="6">
        <f>(O144/1000000)*AV$41</f>
      </c>
      <c r="AW144" s="6">
        <f>(P144/100)*AW$41</f>
      </c>
      <c r="AX144" s="6">
        <f>(Q144/100)*AX$41</f>
      </c>
      <c r="AY144" s="6">
        <f>(R144/100)*AY$41</f>
      </c>
      <c r="AZ144" s="6">
        <f>(S144/100)*AZ$41</f>
      </c>
      <c r="BA144" s="6">
        <f>(T144/100)*BA$41</f>
      </c>
      <c r="BB144" s="6">
        <f>(U144/100)*BB$41</f>
      </c>
      <c r="BC144" s="6"/>
      <c r="BD144" s="3"/>
      <c r="BE144" s="3"/>
      <c r="BF144" s="7">
        <f>AF144*E144</f>
      </c>
      <c r="BG144" s="6"/>
      <c r="BH144" s="3"/>
      <c r="BI144" s="6"/>
    </row>
    <row x14ac:dyDescent="0.25" r="145" customHeight="1" ht="12.75">
      <c r="A145" s="5" t="s">
        <v>412</v>
      </c>
      <c r="B145" s="38" t="s">
        <v>859</v>
      </c>
      <c r="C145" s="43" t="s">
        <v>856</v>
      </c>
      <c r="D145" s="34" t="s">
        <v>928</v>
      </c>
      <c r="E145" s="6">
        <v>15.4</v>
      </c>
      <c r="F145" s="6">
        <v>1.1</v>
      </c>
      <c r="G145" s="6">
        <v>1.21</v>
      </c>
      <c r="H145" s="6">
        <v>92.1</v>
      </c>
      <c r="I145" s="6">
        <v>0.8</v>
      </c>
      <c r="J145" s="6">
        <v>2.31</v>
      </c>
      <c r="K145" s="7"/>
      <c r="L145" s="6"/>
      <c r="M145" s="6"/>
      <c r="N145" s="23"/>
      <c r="O145" s="5"/>
      <c r="P145" s="6"/>
      <c r="Q145" s="6"/>
      <c r="R145" s="6"/>
      <c r="S145" s="6"/>
      <c r="T145" s="6"/>
      <c r="U145" s="6"/>
      <c r="V145" s="5"/>
      <c r="W145" s="6"/>
      <c r="X145" s="6">
        <f>E145*F145/100</f>
      </c>
      <c r="Y145" s="6">
        <f>E145*G145/100</f>
      </c>
      <c r="Z145" s="7">
        <f>E145*H145</f>
      </c>
      <c r="AA145" s="7">
        <f>E145*J145</f>
      </c>
      <c r="AB145" s="6">
        <f>E145*I145/100</f>
      </c>
      <c r="AC145" s="15">
        <f>X145+Y145+AB145</f>
      </c>
      <c r="AD145" s="6">
        <f>F145+G145+I145</f>
      </c>
      <c r="AE145" s="3"/>
      <c r="AF145" s="6">
        <f>SUM(AM145:BC145)</f>
      </c>
      <c r="AG145" s="5">
        <f>IF(SUM(AM145:AO145)&gt;0.7*AF145,1,0)</f>
      </c>
      <c r="AH145" s="5">
        <f>IF(AN145&gt;0.4*AF145,1,0)</f>
      </c>
      <c r="AI145" s="5">
        <f>IF(SUM(AP145:AQ145)&gt;0.3*AF145,1,0)</f>
      </c>
      <c r="AJ145" s="5">
        <f>IF(AQ145&gt;0.2*AF145,1,0)</f>
      </c>
      <c r="AK145" s="5">
        <f>IF(SUM(AR145:BC145)&gt;0.3*AF145,1,0)</f>
      </c>
      <c r="AL145" s="3"/>
      <c r="AM145" s="6">
        <f>(F145/100)*AM$41</f>
      </c>
      <c r="AN145" s="6">
        <f>(G145/100)*AN$41</f>
      </c>
      <c r="AO145" s="6">
        <f>(H145/1000000)*AO$41</f>
      </c>
      <c r="AP145" s="6">
        <f>(I145/100)*AP$41</f>
      </c>
      <c r="AQ145" s="6">
        <f>(J145/1000000)*AQ$41</f>
      </c>
      <c r="AR145" s="6">
        <f>(K145/100)*AR$41</f>
      </c>
      <c r="AS145" s="6">
        <f>(L145/100)*AS$41</f>
      </c>
      <c r="AT145" s="6">
        <f>(M145/100)*AT$41</f>
      </c>
      <c r="AU145" s="6">
        <f>(N145/100)*AU$41</f>
      </c>
      <c r="AV145" s="6">
        <f>(O145/1000000)*AV$41</f>
      </c>
      <c r="AW145" s="6">
        <f>(P145/100)*AW$41</f>
      </c>
      <c r="AX145" s="6">
        <f>(Q145/100)*AX$41</f>
      </c>
      <c r="AY145" s="6">
        <f>(R145/100)*AY$41</f>
      </c>
      <c r="AZ145" s="6">
        <f>(S145/100)*AZ$41</f>
      </c>
      <c r="BA145" s="6">
        <f>(T145/100)*BA$41</f>
      </c>
      <c r="BB145" s="6">
        <f>(U145/100)*BB$41</f>
      </c>
      <c r="BC145" s="6"/>
      <c r="BD145" s="3"/>
      <c r="BE145" s="3"/>
      <c r="BF145" s="7">
        <f>AF145*E145</f>
      </c>
      <c r="BG145" s="6"/>
      <c r="BH145" s="3"/>
      <c r="BI145" s="6"/>
    </row>
    <row x14ac:dyDescent="0.25" r="146" customHeight="1" ht="12.75">
      <c r="A146" s="5" t="s">
        <v>430</v>
      </c>
      <c r="B146" s="38" t="s">
        <v>859</v>
      </c>
      <c r="C146" s="43" t="s">
        <v>856</v>
      </c>
      <c r="D146" s="34"/>
      <c r="E146" s="7">
        <v>5</v>
      </c>
      <c r="F146" s="6">
        <v>3.3</v>
      </c>
      <c r="G146" s="6">
        <v>5.2</v>
      </c>
      <c r="H146" s="5">
        <v>125</v>
      </c>
      <c r="I146" s="6"/>
      <c r="J146" s="6">
        <v>0.4</v>
      </c>
      <c r="K146" s="7"/>
      <c r="L146" s="6"/>
      <c r="M146" s="6"/>
      <c r="N146" s="23"/>
      <c r="O146" s="5"/>
      <c r="P146" s="6"/>
      <c r="Q146" s="6"/>
      <c r="R146" s="6"/>
      <c r="S146" s="6"/>
      <c r="T146" s="6"/>
      <c r="U146" s="6"/>
      <c r="V146" s="5"/>
      <c r="W146" s="6"/>
      <c r="X146" s="6">
        <f>E146*F146/100</f>
      </c>
      <c r="Y146" s="6">
        <f>E146*G146/100</f>
      </c>
      <c r="Z146" s="7">
        <f>E146*H146</f>
      </c>
      <c r="AA146" s="7">
        <f>E146*J146</f>
      </c>
      <c r="AB146" s="6">
        <f>E146*I146/100</f>
      </c>
      <c r="AC146" s="15">
        <f>X146+Y146+AB146</f>
      </c>
      <c r="AD146" s="6">
        <f>F146+G146+I146</f>
      </c>
      <c r="AE146" s="3"/>
      <c r="AF146" s="6">
        <f>SUM(AM146:BC146)</f>
      </c>
      <c r="AG146" s="5">
        <f>IF(SUM(AM146:AO146)&gt;0.7*AF146,1,0)</f>
      </c>
      <c r="AH146" s="5">
        <f>IF(AN146&gt;0.4*AF146,1,0)</f>
      </c>
      <c r="AI146" s="5">
        <f>IF(SUM(AP146:AQ146)&gt;0.3*AF146,1,0)</f>
      </c>
      <c r="AJ146" s="5">
        <f>IF(AQ146&gt;0.2*AF146,1,0)</f>
      </c>
      <c r="AK146" s="5">
        <f>IF(SUM(AR146:BC146)&gt;0.3*AF146,1,0)</f>
      </c>
      <c r="AL146" s="3"/>
      <c r="AM146" s="6">
        <f>(F146/100)*AM$41</f>
      </c>
      <c r="AN146" s="6">
        <f>(G146/100)*AN$41</f>
      </c>
      <c r="AO146" s="6">
        <f>(H146/1000000)*AO$41</f>
      </c>
      <c r="AP146" s="6">
        <f>(I146/100)*AP$41</f>
      </c>
      <c r="AQ146" s="6">
        <f>(J146/1000000)*AQ$41</f>
      </c>
      <c r="AR146" s="6">
        <f>(K146/100)*AR$41</f>
      </c>
      <c r="AS146" s="6">
        <f>(L146/100)*AS$41</f>
      </c>
      <c r="AT146" s="6">
        <f>(M146/100)*AT$41</f>
      </c>
      <c r="AU146" s="6">
        <f>(N146/100)*AU$41</f>
      </c>
      <c r="AV146" s="6">
        <f>(O146/1000000)*AV$41</f>
      </c>
      <c r="AW146" s="6">
        <f>(P146/100)*AW$41</f>
      </c>
      <c r="AX146" s="6">
        <f>(Q146/100)*AX$41</f>
      </c>
      <c r="AY146" s="6">
        <f>(R146/100)*AY$41</f>
      </c>
      <c r="AZ146" s="6">
        <f>(S146/100)*AZ$41</f>
      </c>
      <c r="BA146" s="6">
        <f>(T146/100)*BA$41</f>
      </c>
      <c r="BB146" s="6">
        <f>(U146/100)*BB$41</f>
      </c>
      <c r="BC146" s="6"/>
      <c r="BD146" s="3"/>
      <c r="BE146" s="3"/>
      <c r="BF146" s="7">
        <f>AF146*E146</f>
      </c>
      <c r="BG146" s="6"/>
      <c r="BH146" s="3"/>
      <c r="BI146" s="6"/>
    </row>
    <row x14ac:dyDescent="0.25" r="147" customHeight="1" ht="12.75">
      <c r="A147" s="5" t="s">
        <v>605</v>
      </c>
      <c r="B147" s="38" t="s">
        <v>859</v>
      </c>
      <c r="C147" s="43" t="s">
        <v>856</v>
      </c>
      <c r="D147" s="34"/>
      <c r="E147" s="6">
        <v>6.5</v>
      </c>
      <c r="F147" s="6">
        <v>4.07</v>
      </c>
      <c r="G147" s="6">
        <v>2.12</v>
      </c>
      <c r="H147" s="5">
        <v>130</v>
      </c>
      <c r="I147" s="6">
        <v>0.26</v>
      </c>
      <c r="J147" s="6"/>
      <c r="K147" s="7"/>
      <c r="L147" s="6"/>
      <c r="M147" s="6"/>
      <c r="N147" s="23"/>
      <c r="O147" s="5"/>
      <c r="P147" s="6"/>
      <c r="Q147" s="6"/>
      <c r="R147" s="6"/>
      <c r="S147" s="6"/>
      <c r="T147" s="6"/>
      <c r="U147" s="6"/>
      <c r="V147" s="5"/>
      <c r="W147" s="6"/>
      <c r="X147" s="6">
        <f>E147*F147/100</f>
      </c>
      <c r="Y147" s="6">
        <f>E147*G147/100</f>
      </c>
      <c r="Z147" s="7">
        <f>E147*H147</f>
      </c>
      <c r="AA147" s="7">
        <f>E147*J147</f>
      </c>
      <c r="AB147" s="6">
        <f>E147*I147/100</f>
      </c>
      <c r="AC147" s="15">
        <f>X147+Y147+AB147</f>
      </c>
      <c r="AD147" s="6">
        <f>F147+G147+I147</f>
      </c>
      <c r="AE147" s="3"/>
      <c r="AF147" s="6">
        <f>SUM(AM147:BC147)</f>
      </c>
      <c r="AG147" s="5">
        <f>IF(SUM(AM147:AO147)&gt;0.7*AF147,1,0)</f>
      </c>
      <c r="AH147" s="5">
        <f>IF(AN147&gt;0.4*AF147,1,0)</f>
      </c>
      <c r="AI147" s="5">
        <f>IF(SUM(AP147:AQ147)&gt;0.3*AF147,1,0)</f>
      </c>
      <c r="AJ147" s="5">
        <f>IF(AQ147&gt;0.2*AF147,1,0)</f>
      </c>
      <c r="AK147" s="5">
        <f>IF(SUM(AR147:BC147)&gt;0.3*AF147,1,0)</f>
      </c>
      <c r="AL147" s="3"/>
      <c r="AM147" s="6">
        <f>(F147/100)*AM$41</f>
      </c>
      <c r="AN147" s="6">
        <f>(G147/100)*AN$41</f>
      </c>
      <c r="AO147" s="6">
        <f>(H147/1000000)*AO$41</f>
      </c>
      <c r="AP147" s="6">
        <f>(I147/100)*AP$41</f>
      </c>
      <c r="AQ147" s="6">
        <f>(J147/1000000)*AQ$41</f>
      </c>
      <c r="AR147" s="6">
        <f>(K147/100)*AR$41</f>
      </c>
      <c r="AS147" s="6">
        <f>(L147/100)*AS$41</f>
      </c>
      <c r="AT147" s="6">
        <f>(M147/100)*AT$41</f>
      </c>
      <c r="AU147" s="6">
        <f>(N147/100)*AU$41</f>
      </c>
      <c r="AV147" s="6">
        <f>(O147/1000000)*AV$41</f>
      </c>
      <c r="AW147" s="6">
        <f>(P147/100)*AW$41</f>
      </c>
      <c r="AX147" s="6">
        <f>(Q147/100)*AX$41</f>
      </c>
      <c r="AY147" s="6">
        <f>(R147/100)*AY$41</f>
      </c>
      <c r="AZ147" s="6">
        <f>(S147/100)*AZ$41</f>
      </c>
      <c r="BA147" s="6">
        <f>(T147/100)*BA$41</f>
      </c>
      <c r="BB147" s="6">
        <f>(U147/100)*BB$41</f>
      </c>
      <c r="BC147" s="6"/>
      <c r="BD147" s="3"/>
      <c r="BE147" s="3"/>
      <c r="BF147" s="7">
        <f>AF147*E147</f>
      </c>
      <c r="BG147" s="6"/>
      <c r="BH147" s="3"/>
      <c r="BI147" s="6"/>
    </row>
    <row x14ac:dyDescent="0.25" r="148" customHeight="1" ht="12.75">
      <c r="A148" s="5" t="s">
        <v>583</v>
      </c>
      <c r="B148" s="38" t="s">
        <v>859</v>
      </c>
      <c r="C148" s="43" t="s">
        <v>856</v>
      </c>
      <c r="D148" s="34" t="s">
        <v>928</v>
      </c>
      <c r="E148" s="6">
        <v>9.3</v>
      </c>
      <c r="F148" s="6">
        <v>1.4</v>
      </c>
      <c r="G148" s="6">
        <v>2.3</v>
      </c>
      <c r="H148" s="5">
        <v>36</v>
      </c>
      <c r="I148" s="6"/>
      <c r="J148" s="5">
        <v>3</v>
      </c>
      <c r="K148" s="7"/>
      <c r="L148" s="6"/>
      <c r="M148" s="6"/>
      <c r="N148" s="23"/>
      <c r="O148" s="5"/>
      <c r="P148" s="6"/>
      <c r="Q148" s="6"/>
      <c r="R148" s="6"/>
      <c r="S148" s="6"/>
      <c r="T148" s="6"/>
      <c r="U148" s="6"/>
      <c r="V148" s="5"/>
      <c r="W148" s="6"/>
      <c r="X148" s="6">
        <f>E148*F148/100</f>
      </c>
      <c r="Y148" s="6">
        <f>E148*G148/100</f>
      </c>
      <c r="Z148" s="7">
        <f>E148*H148</f>
      </c>
      <c r="AA148" s="7">
        <f>E148*J148</f>
      </c>
      <c r="AB148" s="6">
        <f>E148*I148/100</f>
      </c>
      <c r="AC148" s="15">
        <f>X148+Y148+AB148</f>
      </c>
      <c r="AD148" s="6">
        <f>F148+G148+I148</f>
      </c>
      <c r="AE148" s="3"/>
      <c r="AF148" s="6">
        <f>SUM(AM148:BC148)</f>
      </c>
      <c r="AG148" s="5">
        <f>IF(SUM(AM148:AO148)&gt;0.7*AF148,1,0)</f>
      </c>
      <c r="AH148" s="5">
        <f>IF(AN148&gt;0.4*AF148,1,0)</f>
      </c>
      <c r="AI148" s="5">
        <f>IF(SUM(AP148:AQ148)&gt;0.3*AF148,1,0)</f>
      </c>
      <c r="AJ148" s="5">
        <f>IF(AQ148&gt;0.2*AF148,1,0)</f>
      </c>
      <c r="AK148" s="5">
        <f>IF(SUM(AR148:BC148)&gt;0.3*AF148,1,0)</f>
      </c>
      <c r="AL148" s="3"/>
      <c r="AM148" s="6">
        <f>(F148/100)*AM$41</f>
      </c>
      <c r="AN148" s="6">
        <f>(G148/100)*AN$41</f>
      </c>
      <c r="AO148" s="6">
        <f>(H148/1000000)*AO$41</f>
      </c>
      <c r="AP148" s="6">
        <f>(I148/100)*AP$41</f>
      </c>
      <c r="AQ148" s="6">
        <f>(J148/1000000)*AQ$41</f>
      </c>
      <c r="AR148" s="6">
        <f>(K148/100)*AR$41</f>
      </c>
      <c r="AS148" s="6">
        <f>(L148/100)*AS$41</f>
      </c>
      <c r="AT148" s="6">
        <f>(M148/100)*AT$41</f>
      </c>
      <c r="AU148" s="6">
        <f>(N148/100)*AU$41</f>
      </c>
      <c r="AV148" s="6">
        <f>(O148/1000000)*AV$41</f>
      </c>
      <c r="AW148" s="6">
        <f>(P148/100)*AW$41</f>
      </c>
      <c r="AX148" s="6">
        <f>(Q148/100)*AX$41</f>
      </c>
      <c r="AY148" s="6">
        <f>(R148/100)*AY$41</f>
      </c>
      <c r="AZ148" s="6">
        <f>(S148/100)*AZ$41</f>
      </c>
      <c r="BA148" s="6">
        <f>(T148/100)*BA$41</f>
      </c>
      <c r="BB148" s="6">
        <f>(U148/100)*BB$41</f>
      </c>
      <c r="BC148" s="6"/>
      <c r="BD148" s="3"/>
      <c r="BE148" s="3"/>
      <c r="BF148" s="7">
        <f>AF148*E148</f>
      </c>
      <c r="BG148" s="6"/>
      <c r="BH148" s="3"/>
      <c r="BI148" s="6"/>
    </row>
    <row x14ac:dyDescent="0.25" r="149" customHeight="1" ht="12.75">
      <c r="A149" s="5" t="s">
        <v>280</v>
      </c>
      <c r="B149" s="38" t="s">
        <v>859</v>
      </c>
      <c r="C149" s="43" t="s">
        <v>856</v>
      </c>
      <c r="D149" s="34" t="s">
        <v>955</v>
      </c>
      <c r="E149" s="23">
        <v>3.83897</v>
      </c>
      <c r="F149" s="6">
        <v>0.86</v>
      </c>
      <c r="G149" s="6">
        <v>3.9</v>
      </c>
      <c r="H149" s="5">
        <v>203</v>
      </c>
      <c r="I149" s="6"/>
      <c r="J149" s="6">
        <v>3.6</v>
      </c>
      <c r="K149" s="7"/>
      <c r="L149" s="6"/>
      <c r="M149" s="6"/>
      <c r="N149" s="23"/>
      <c r="O149" s="5"/>
      <c r="P149" s="6"/>
      <c r="Q149" s="6"/>
      <c r="R149" s="6"/>
      <c r="S149" s="6"/>
      <c r="T149" s="6"/>
      <c r="U149" s="6"/>
      <c r="V149" s="5"/>
      <c r="W149" s="6"/>
      <c r="X149" s="6">
        <f>E149*F149/100</f>
      </c>
      <c r="Y149" s="6">
        <f>E149*G149/100</f>
      </c>
      <c r="Z149" s="7">
        <f>E149*H149</f>
      </c>
      <c r="AA149" s="7">
        <f>E149*J149</f>
      </c>
      <c r="AB149" s="6">
        <f>E149*I149/100</f>
      </c>
      <c r="AC149" s="15">
        <f>X149+Y149+AB149</f>
      </c>
      <c r="AD149" s="6">
        <f>F149+G149+I149</f>
      </c>
      <c r="AE149" s="3"/>
      <c r="AF149" s="6">
        <f>SUM(AM149:BC149)</f>
      </c>
      <c r="AG149" s="5">
        <f>IF(SUM(AM149:AO149)&gt;0.7*AF149,1,0)</f>
      </c>
      <c r="AH149" s="5">
        <f>IF(AN149&gt;0.4*AF149,1,0)</f>
      </c>
      <c r="AI149" s="5">
        <f>IF(SUM(AP149:AQ149)&gt;0.3*AF149,1,0)</f>
      </c>
      <c r="AJ149" s="5">
        <f>IF(AQ149&gt;0.2*AF149,1,0)</f>
      </c>
      <c r="AK149" s="5">
        <f>IF(SUM(AR149:BC149)&gt;0.3*AF149,1,0)</f>
      </c>
      <c r="AL149" s="3"/>
      <c r="AM149" s="6">
        <f>(F149/100)*AM$41</f>
      </c>
      <c r="AN149" s="6">
        <f>(G149/100)*AN$41</f>
      </c>
      <c r="AO149" s="6">
        <f>(H149/1000000)*AO$41</f>
      </c>
      <c r="AP149" s="6">
        <f>(I149/100)*AP$41</f>
      </c>
      <c r="AQ149" s="6">
        <f>(J149/1000000)*AQ$41</f>
      </c>
      <c r="AR149" s="6">
        <f>(K149/100)*AR$41</f>
      </c>
      <c r="AS149" s="6">
        <f>(L149/100)*AS$41</f>
      </c>
      <c r="AT149" s="6">
        <f>(M149/100)*AT$41</f>
      </c>
      <c r="AU149" s="6">
        <f>(N149/100)*AU$41</f>
      </c>
      <c r="AV149" s="6">
        <f>(O149/1000000)*AV$41</f>
      </c>
      <c r="AW149" s="6">
        <f>(P149/100)*AW$41</f>
      </c>
      <c r="AX149" s="6">
        <f>(Q149/100)*AX$41</f>
      </c>
      <c r="AY149" s="6">
        <f>(R149/100)*AY$41</f>
      </c>
      <c r="AZ149" s="6">
        <f>(S149/100)*AZ$41</f>
      </c>
      <c r="BA149" s="6">
        <f>(T149/100)*BA$41</f>
      </c>
      <c r="BB149" s="6">
        <f>(U149/100)*BB$41</f>
      </c>
      <c r="BC149" s="6"/>
      <c r="BD149" s="3"/>
      <c r="BE149" s="3"/>
      <c r="BF149" s="7">
        <f>AF149*E149</f>
      </c>
      <c r="BG149" s="6"/>
      <c r="BH149" s="3"/>
      <c r="BI149" s="6"/>
    </row>
    <row x14ac:dyDescent="0.25" r="150" customHeight="1" ht="12.75">
      <c r="A150" s="5" t="s">
        <v>711</v>
      </c>
      <c r="B150" s="38" t="s">
        <v>859</v>
      </c>
      <c r="C150" s="43" t="s">
        <v>856</v>
      </c>
      <c r="D150" s="34" t="s">
        <v>952</v>
      </c>
      <c r="E150" s="7">
        <v>2</v>
      </c>
      <c r="F150" s="6">
        <v>2.2</v>
      </c>
      <c r="G150" s="6">
        <v>2.3</v>
      </c>
      <c r="H150" s="5">
        <v>137</v>
      </c>
      <c r="I150" s="6"/>
      <c r="J150" s="6">
        <v>0.2</v>
      </c>
      <c r="K150" s="7"/>
      <c r="L150" s="6"/>
      <c r="M150" s="6"/>
      <c r="N150" s="23"/>
      <c r="O150" s="5"/>
      <c r="P150" s="6"/>
      <c r="Q150" s="6"/>
      <c r="R150" s="6"/>
      <c r="S150" s="6"/>
      <c r="T150" s="6"/>
      <c r="U150" s="6"/>
      <c r="V150" s="5"/>
      <c r="W150" s="6"/>
      <c r="X150" s="6">
        <f>E150*F150/100</f>
      </c>
      <c r="Y150" s="6">
        <f>E150*G150/100</f>
      </c>
      <c r="Z150" s="7">
        <f>E150*H150</f>
      </c>
      <c r="AA150" s="7">
        <f>E150*J150</f>
      </c>
      <c r="AB150" s="6">
        <f>E150*I150/100</f>
      </c>
      <c r="AC150" s="15">
        <f>X150+Y150+AB150</f>
      </c>
      <c r="AD150" s="6">
        <f>F150+G150+I150</f>
      </c>
      <c r="AE150" s="3"/>
      <c r="AF150" s="6">
        <f>SUM(AM150:BC150)</f>
      </c>
      <c r="AG150" s="5">
        <f>IF(SUM(AM150:AO150)&gt;0.7*AF150,1,0)</f>
      </c>
      <c r="AH150" s="5">
        <f>IF(AN150&gt;0.4*AF150,1,0)</f>
      </c>
      <c r="AI150" s="5">
        <f>IF(SUM(AP150:AQ150)&gt;0.3*AF150,1,0)</f>
      </c>
      <c r="AJ150" s="5">
        <f>IF(AQ150&gt;0.2*AF150,1,0)</f>
      </c>
      <c r="AK150" s="5">
        <f>IF(SUM(AR150:BC150)&gt;0.3*AF150,1,0)</f>
      </c>
      <c r="AL150" s="3"/>
      <c r="AM150" s="6">
        <f>(F150/100)*AM$41</f>
      </c>
      <c r="AN150" s="6">
        <f>(G150/100)*AN$41</f>
      </c>
      <c r="AO150" s="6">
        <f>(H150/1000000)*AO$41</f>
      </c>
      <c r="AP150" s="6">
        <f>(I150/100)*AP$41</f>
      </c>
      <c r="AQ150" s="6">
        <f>(J150/1000000)*AQ$41</f>
      </c>
      <c r="AR150" s="6">
        <f>(K150/100)*AR$41</f>
      </c>
      <c r="AS150" s="6">
        <f>(L150/100)*AS$41</f>
      </c>
      <c r="AT150" s="6">
        <f>(M150/100)*AT$41</f>
      </c>
      <c r="AU150" s="6">
        <f>(N150/100)*AU$41</f>
      </c>
      <c r="AV150" s="6">
        <f>(O150/1000000)*AV$41</f>
      </c>
      <c r="AW150" s="6">
        <f>(P150/100)*AW$41</f>
      </c>
      <c r="AX150" s="6">
        <f>(Q150/100)*AX$41</f>
      </c>
      <c r="AY150" s="6">
        <f>(R150/100)*AY$41</f>
      </c>
      <c r="AZ150" s="6">
        <f>(S150/100)*AZ$41</f>
      </c>
      <c r="BA150" s="6">
        <f>(T150/100)*BA$41</f>
      </c>
      <c r="BB150" s="6">
        <f>(U150/100)*BB$41</f>
      </c>
      <c r="BC150" s="6"/>
      <c r="BD150" s="3"/>
      <c r="BE150" s="3"/>
      <c r="BF150" s="7">
        <f>AF150*E150</f>
      </c>
      <c r="BG150" s="6"/>
      <c r="BH150" s="3"/>
      <c r="BI150" s="6"/>
    </row>
    <row x14ac:dyDescent="0.25" r="151" customHeight="1" ht="12.75">
      <c r="A151" s="5" t="s">
        <v>74</v>
      </c>
      <c r="B151" s="38" t="s">
        <v>859</v>
      </c>
      <c r="C151" s="43" t="s">
        <v>856</v>
      </c>
      <c r="D151" s="34"/>
      <c r="E151" s="23">
        <v>0.8264</v>
      </c>
      <c r="F151" s="5">
        <v>5</v>
      </c>
      <c r="G151" s="5">
        <v>5</v>
      </c>
      <c r="H151" s="6">
        <v>668.5</v>
      </c>
      <c r="I151" s="6"/>
      <c r="J151" s="6"/>
      <c r="K151" s="7"/>
      <c r="L151" s="6"/>
      <c r="M151" s="6"/>
      <c r="N151" s="23"/>
      <c r="O151" s="5"/>
      <c r="P151" s="6"/>
      <c r="Q151" s="6"/>
      <c r="R151" s="6"/>
      <c r="S151" s="6"/>
      <c r="T151" s="6"/>
      <c r="U151" s="6"/>
      <c r="V151" s="5"/>
      <c r="W151" s="6"/>
      <c r="X151" s="6">
        <f>E151*F151/100</f>
      </c>
      <c r="Y151" s="6">
        <f>E151*G151/100</f>
      </c>
      <c r="Z151" s="7">
        <f>E151*H151</f>
      </c>
      <c r="AA151" s="7">
        <f>E151*J151</f>
      </c>
      <c r="AB151" s="6">
        <f>E151*I151/100</f>
      </c>
      <c r="AC151" s="15">
        <f>X151+Y151+AB151</f>
      </c>
      <c r="AD151" s="6">
        <f>F151+G151+I151</f>
      </c>
      <c r="AE151" s="3"/>
      <c r="AF151" s="6">
        <f>SUM(AM151:BC151)</f>
      </c>
      <c r="AG151" s="5">
        <f>IF(SUM(AM151:AO151)&gt;0.7*AF151,1,0)</f>
      </c>
      <c r="AH151" s="5">
        <f>IF(AN151&gt;0.4*AF151,1,0)</f>
      </c>
      <c r="AI151" s="5">
        <f>IF(SUM(AP151:AQ151)&gt;0.3*AF151,1,0)</f>
      </c>
      <c r="AJ151" s="5">
        <f>IF(AQ151&gt;0.2*AF151,1,0)</f>
      </c>
      <c r="AK151" s="5">
        <f>IF(SUM(AR151:BC151)&gt;0.3*AF151,1,0)</f>
      </c>
      <c r="AL151" s="3"/>
      <c r="AM151" s="6">
        <f>(F151/100)*AM$41</f>
      </c>
      <c r="AN151" s="6">
        <f>(G151/100)*AN$41</f>
      </c>
      <c r="AO151" s="6">
        <f>(H151/1000000)*AO$41</f>
      </c>
      <c r="AP151" s="6">
        <f>(I151/100)*AP$41</f>
      </c>
      <c r="AQ151" s="6">
        <f>(J151/1000000)*AQ$41</f>
      </c>
      <c r="AR151" s="6">
        <f>(K151/100)*AR$41</f>
      </c>
      <c r="AS151" s="6">
        <f>(L151/100)*AS$41</f>
      </c>
      <c r="AT151" s="6">
        <f>(M151/100)*AT$41</f>
      </c>
      <c r="AU151" s="6">
        <f>(N151/100)*AU$41</f>
      </c>
      <c r="AV151" s="6">
        <f>(O151/1000000)*AV$41</f>
      </c>
      <c r="AW151" s="6">
        <f>(P151/100)*AW$41</f>
      </c>
      <c r="AX151" s="6">
        <f>(Q151/100)*AX$41</f>
      </c>
      <c r="AY151" s="6">
        <f>(R151/100)*AY$41</f>
      </c>
      <c r="AZ151" s="6">
        <f>(S151/100)*AZ$41</f>
      </c>
      <c r="BA151" s="6">
        <f>(T151/100)*BA$41</f>
      </c>
      <c r="BB151" s="6">
        <f>(U151/100)*BB$41</f>
      </c>
      <c r="BC151" s="6"/>
      <c r="BD151" s="3"/>
      <c r="BE151" s="3"/>
      <c r="BF151" s="7">
        <f>AF151*E151</f>
      </c>
      <c r="BG151" s="6"/>
      <c r="BH151" s="3"/>
      <c r="BI151" s="6"/>
    </row>
    <row x14ac:dyDescent="0.25" r="152" customHeight="1" ht="12.75">
      <c r="A152" s="5" t="s">
        <v>561</v>
      </c>
      <c r="B152" s="38" t="s">
        <v>859</v>
      </c>
      <c r="C152" s="43" t="s">
        <v>856</v>
      </c>
      <c r="D152" s="34"/>
      <c r="E152" s="6">
        <v>1.3</v>
      </c>
      <c r="F152" s="6">
        <v>3.12</v>
      </c>
      <c r="G152" s="6">
        <v>3.12</v>
      </c>
      <c r="H152" s="6">
        <v>36.3</v>
      </c>
      <c r="I152" s="6">
        <v>0.11</v>
      </c>
      <c r="J152" s="6">
        <v>2.2</v>
      </c>
      <c r="K152" s="7"/>
      <c r="L152" s="6"/>
      <c r="M152" s="6"/>
      <c r="N152" s="23"/>
      <c r="O152" s="5"/>
      <c r="P152" s="6"/>
      <c r="Q152" s="6"/>
      <c r="R152" s="6"/>
      <c r="S152" s="6"/>
      <c r="T152" s="6"/>
      <c r="U152" s="6"/>
      <c r="V152" s="5"/>
      <c r="W152" s="6"/>
      <c r="X152" s="6">
        <f>E152*F152/100</f>
      </c>
      <c r="Y152" s="6">
        <f>E152*G152/100</f>
      </c>
      <c r="Z152" s="7">
        <f>E152*H152</f>
      </c>
      <c r="AA152" s="7">
        <f>E152*J152</f>
      </c>
      <c r="AB152" s="6">
        <f>E152*I152/100</f>
      </c>
      <c r="AC152" s="15">
        <f>X152+Y152+AB152</f>
      </c>
      <c r="AD152" s="6">
        <f>F152+G152+I152</f>
      </c>
      <c r="AE152" s="3"/>
      <c r="AF152" s="6">
        <f>SUM(AM152:BC152)</f>
      </c>
      <c r="AG152" s="5">
        <f>IF(SUM(AM152:AO152)&gt;0.7*AF152,1,0)</f>
      </c>
      <c r="AH152" s="5">
        <f>IF(AN152&gt;0.4*AF152,1,0)</f>
      </c>
      <c r="AI152" s="5">
        <f>IF(SUM(AP152:AQ152)&gt;0.3*AF152,1,0)</f>
      </c>
      <c r="AJ152" s="5">
        <f>IF(AQ152&gt;0.2*AF152,1,0)</f>
      </c>
      <c r="AK152" s="5">
        <f>IF(SUM(AR152:BC152)&gt;0.3*AF152,1,0)</f>
      </c>
      <c r="AL152" s="3"/>
      <c r="AM152" s="6">
        <f>(F152/100)*AM$41</f>
      </c>
      <c r="AN152" s="6">
        <f>(G152/100)*AN$41</f>
      </c>
      <c r="AO152" s="6">
        <f>(H152/1000000)*AO$41</f>
      </c>
      <c r="AP152" s="6">
        <f>(I152/100)*AP$41</f>
      </c>
      <c r="AQ152" s="6">
        <f>(J152/1000000)*AQ$41</f>
      </c>
      <c r="AR152" s="6">
        <f>(K152/100)*AR$41</f>
      </c>
      <c r="AS152" s="6">
        <f>(L152/100)*AS$41</f>
      </c>
      <c r="AT152" s="6">
        <f>(M152/100)*AT$41</f>
      </c>
      <c r="AU152" s="6">
        <f>(N152/100)*AU$41</f>
      </c>
      <c r="AV152" s="6">
        <f>(O152/1000000)*AV$41</f>
      </c>
      <c r="AW152" s="6">
        <f>(P152/100)*AW$41</f>
      </c>
      <c r="AX152" s="6">
        <f>(Q152/100)*AX$41</f>
      </c>
      <c r="AY152" s="6">
        <f>(R152/100)*AY$41</f>
      </c>
      <c r="AZ152" s="6">
        <f>(S152/100)*AZ$41</f>
      </c>
      <c r="BA152" s="6">
        <f>(T152/100)*BA$41</f>
      </c>
      <c r="BB152" s="6">
        <f>(U152/100)*BB$41</f>
      </c>
      <c r="BC152" s="6"/>
      <c r="BD152" s="3"/>
      <c r="BE152" s="3"/>
      <c r="BF152" s="7">
        <f>AF152*E152</f>
      </c>
      <c r="BG152" s="6"/>
      <c r="BH152" s="3"/>
      <c r="BI152" s="6"/>
    </row>
    <row x14ac:dyDescent="0.25" r="153" customHeight="1" ht="12.75">
      <c r="A153" s="5" t="s">
        <v>714</v>
      </c>
      <c r="B153" s="38" t="s">
        <v>859</v>
      </c>
      <c r="C153" s="43" t="s">
        <v>856</v>
      </c>
      <c r="D153" s="34"/>
      <c r="E153" s="23">
        <v>1.506239</v>
      </c>
      <c r="F153" s="6">
        <v>0.15</v>
      </c>
      <c r="G153" s="6">
        <v>3.57</v>
      </c>
      <c r="H153" s="6">
        <v>41.13</v>
      </c>
      <c r="I153" s="6">
        <v>0.63</v>
      </c>
      <c r="J153" s="6">
        <v>0.82</v>
      </c>
      <c r="K153" s="7"/>
      <c r="L153" s="6"/>
      <c r="M153" s="6"/>
      <c r="N153" s="23"/>
      <c r="O153" s="5"/>
      <c r="P153" s="6"/>
      <c r="Q153" s="6"/>
      <c r="R153" s="6"/>
      <c r="S153" s="6"/>
      <c r="T153" s="6"/>
      <c r="U153" s="6"/>
      <c r="V153" s="5"/>
      <c r="W153" s="6"/>
      <c r="X153" s="6">
        <f>E153*F153/100</f>
      </c>
      <c r="Y153" s="6">
        <f>E153*G153/100</f>
      </c>
      <c r="Z153" s="7">
        <f>E153*H153</f>
      </c>
      <c r="AA153" s="7">
        <f>E153*J153</f>
      </c>
      <c r="AB153" s="6">
        <f>E153*I153/100</f>
      </c>
      <c r="AC153" s="15">
        <f>X153+Y153+AB153</f>
      </c>
      <c r="AD153" s="6">
        <f>F153+G153+I153</f>
      </c>
      <c r="AE153" s="3"/>
      <c r="AF153" s="6">
        <f>SUM(AM153:BC153)</f>
      </c>
      <c r="AG153" s="5">
        <f>IF(SUM(AM153:AO153)&gt;0.7*AF153,1,0)</f>
      </c>
      <c r="AH153" s="5">
        <f>IF(AN153&gt;0.4*AF153,1,0)</f>
      </c>
      <c r="AI153" s="5">
        <f>IF(SUM(AP153:AQ153)&gt;0.3*AF153,1,0)</f>
      </c>
      <c r="AJ153" s="5">
        <f>IF(AQ153&gt;0.2*AF153,1,0)</f>
      </c>
      <c r="AK153" s="5">
        <f>IF(SUM(AR153:BC153)&gt;0.3*AF153,1,0)</f>
      </c>
      <c r="AL153" s="3"/>
      <c r="AM153" s="6">
        <f>(F153/100)*AM$41</f>
      </c>
      <c r="AN153" s="6">
        <f>(G153/100)*AN$41</f>
      </c>
      <c r="AO153" s="6">
        <f>(H153/1000000)*AO$41</f>
      </c>
      <c r="AP153" s="6">
        <f>(I153/100)*AP$41</f>
      </c>
      <c r="AQ153" s="6">
        <f>(J153/1000000)*AQ$41</f>
      </c>
      <c r="AR153" s="6">
        <f>(K153/100)*AR$41</f>
      </c>
      <c r="AS153" s="6">
        <f>(L153/100)*AS$41</f>
      </c>
      <c r="AT153" s="6">
        <f>(M153/100)*AT$41</f>
      </c>
      <c r="AU153" s="6">
        <f>(N153/100)*AU$41</f>
      </c>
      <c r="AV153" s="6">
        <f>(O153/1000000)*AV$41</f>
      </c>
      <c r="AW153" s="6">
        <f>(P153/100)*AW$41</f>
      </c>
      <c r="AX153" s="6">
        <f>(Q153/100)*AX$41</f>
      </c>
      <c r="AY153" s="6">
        <f>(R153/100)*AY$41</f>
      </c>
      <c r="AZ153" s="6">
        <f>(S153/100)*AZ$41</f>
      </c>
      <c r="BA153" s="6">
        <f>(T153/100)*BA$41</f>
      </c>
      <c r="BB153" s="6">
        <f>(U153/100)*BB$41</f>
      </c>
      <c r="BC153" s="6"/>
      <c r="BD153" s="3"/>
      <c r="BE153" s="3"/>
      <c r="BF153" s="7">
        <f>AF153*E153</f>
      </c>
      <c r="BG153" s="6"/>
      <c r="BH153" s="3"/>
      <c r="BI153" s="6"/>
    </row>
    <row x14ac:dyDescent="0.25" r="154" customHeight="1" ht="12.75">
      <c r="A154" s="5" t="s">
        <v>772</v>
      </c>
      <c r="B154" s="38" t="s">
        <v>859</v>
      </c>
      <c r="C154" s="43" t="s">
        <v>856</v>
      </c>
      <c r="D154" s="49" t="s">
        <v>925</v>
      </c>
      <c r="E154" s="23">
        <v>2.4952389999999998</v>
      </c>
      <c r="F154" s="6"/>
      <c r="G154" s="6">
        <v>0.8890759301213232</v>
      </c>
      <c r="H154" s="6">
        <v>2.5380186346878997</v>
      </c>
      <c r="I154" s="6">
        <v>1.6527907106293225</v>
      </c>
      <c r="J154" s="6">
        <v>0.49782864086366085</v>
      </c>
      <c r="K154" s="7"/>
      <c r="L154" s="6"/>
      <c r="M154" s="6"/>
      <c r="N154" s="23"/>
      <c r="O154" s="5"/>
      <c r="P154" s="6"/>
      <c r="Q154" s="6"/>
      <c r="R154" s="6"/>
      <c r="S154" s="6"/>
      <c r="T154" s="6"/>
      <c r="U154" s="6"/>
      <c r="V154" s="5"/>
      <c r="W154" s="6"/>
      <c r="X154" s="6">
        <f>E154*F154/100</f>
      </c>
      <c r="Y154" s="6">
        <f>E154*G154/100</f>
      </c>
      <c r="Z154" s="7">
        <f>E154*H154</f>
      </c>
      <c r="AA154" s="7">
        <f>E154*J154</f>
      </c>
      <c r="AB154" s="6">
        <f>E154*I154/100</f>
      </c>
      <c r="AC154" s="15">
        <f>X154+Y154+AB154</f>
      </c>
      <c r="AD154" s="6">
        <f>F154+G154+I154</f>
      </c>
      <c r="AE154" s="3"/>
      <c r="AF154" s="6">
        <f>SUM(AM154:BC154)</f>
      </c>
      <c r="AG154" s="5">
        <f>IF(SUM(AM154:AO154)&gt;0.7*AF154,1,0)</f>
      </c>
      <c r="AH154" s="5">
        <f>IF(AN154&gt;0.4*AF154,1,0)</f>
      </c>
      <c r="AI154" s="5">
        <f>IF(SUM(AP154:AQ154)&gt;0.3*AF154,1,0)</f>
      </c>
      <c r="AJ154" s="5">
        <f>IF(AQ154&gt;0.2*AF154,1,0)</f>
      </c>
      <c r="AK154" s="5">
        <f>IF(SUM(AR154:BC154)&gt;0.3*AF154,1,0)</f>
      </c>
      <c r="AL154" s="3"/>
      <c r="AM154" s="6">
        <f>(F154/100)*AM$41</f>
      </c>
      <c r="AN154" s="6">
        <f>(G154/100)*AN$41</f>
      </c>
      <c r="AO154" s="6">
        <f>(H154/1000000)*AO$41</f>
      </c>
      <c r="AP154" s="6">
        <f>(I154/100)*AP$41</f>
      </c>
      <c r="AQ154" s="6">
        <f>(J154/1000000)*AQ$41</f>
      </c>
      <c r="AR154" s="6">
        <f>(K154/100)*AR$41</f>
      </c>
      <c r="AS154" s="6">
        <f>(L154/100)*AS$41</f>
      </c>
      <c r="AT154" s="6">
        <f>(M154/100)*AT$41</f>
      </c>
      <c r="AU154" s="6">
        <f>(N154/100)*AU$41</f>
      </c>
      <c r="AV154" s="6">
        <f>(O154/1000000)*AV$41</f>
      </c>
      <c r="AW154" s="6">
        <f>(P154/100)*AW$41</f>
      </c>
      <c r="AX154" s="6">
        <f>(Q154/100)*AX$41</f>
      </c>
      <c r="AY154" s="6">
        <f>(R154/100)*AY$41</f>
      </c>
      <c r="AZ154" s="6">
        <f>(S154/100)*AZ$41</f>
      </c>
      <c r="BA154" s="6">
        <f>(T154/100)*BA$41</f>
      </c>
      <c r="BB154" s="6">
        <f>(U154/100)*BB$41</f>
      </c>
      <c r="BC154" s="6"/>
      <c r="BD154" s="3"/>
      <c r="BE154" s="3"/>
      <c r="BF154" s="7">
        <f>AF154*E154</f>
      </c>
      <c r="BG154" s="6"/>
      <c r="BH154" s="3"/>
      <c r="BI154" s="6"/>
    </row>
    <row x14ac:dyDescent="0.25" r="155" customHeight="1" ht="12.75">
      <c r="A155" s="5" t="s">
        <v>241</v>
      </c>
      <c r="B155" s="38" t="s">
        <v>859</v>
      </c>
      <c r="C155" s="43" t="s">
        <v>856</v>
      </c>
      <c r="D155" s="34"/>
      <c r="E155" s="23">
        <v>0.84224448</v>
      </c>
      <c r="F155" s="6">
        <v>0.8366077337354587</v>
      </c>
      <c r="G155" s="6">
        <v>5.486940801378717</v>
      </c>
      <c r="H155" s="7">
        <v>191.27404178653688</v>
      </c>
      <c r="I155" s="6">
        <v>0.2730386686772943</v>
      </c>
      <c r="J155" s="6">
        <v>3.4849936108812485</v>
      </c>
      <c r="K155" s="7"/>
      <c r="L155" s="6"/>
      <c r="M155" s="6"/>
      <c r="N155" s="23"/>
      <c r="O155" s="5"/>
      <c r="P155" s="6"/>
      <c r="Q155" s="6"/>
      <c r="R155" s="6"/>
      <c r="S155" s="6"/>
      <c r="T155" s="6"/>
      <c r="U155" s="6"/>
      <c r="V155" s="5"/>
      <c r="W155" s="6"/>
      <c r="X155" s="6">
        <f>E155*F155/100</f>
      </c>
      <c r="Y155" s="6">
        <f>E155*G155/100</f>
      </c>
      <c r="Z155" s="7">
        <f>E155*H155</f>
      </c>
      <c r="AA155" s="7">
        <f>E155*J155</f>
      </c>
      <c r="AB155" s="6">
        <f>E155*I155/100</f>
      </c>
      <c r="AC155" s="15">
        <f>X155+Y155+AB155</f>
      </c>
      <c r="AD155" s="6">
        <f>F155+G155+I155</f>
      </c>
      <c r="AE155" s="3"/>
      <c r="AF155" s="6">
        <f>SUM(AM155:BC155)</f>
      </c>
      <c r="AG155" s="5">
        <f>IF(SUM(AM155:AO155)&gt;0.7*AF155,1,0)</f>
      </c>
      <c r="AH155" s="5">
        <f>IF(AN155&gt;0.4*AF155,1,0)</f>
      </c>
      <c r="AI155" s="5">
        <f>IF(SUM(AP155:AQ155)&gt;0.3*AF155,1,0)</f>
      </c>
      <c r="AJ155" s="5">
        <f>IF(AQ155&gt;0.2*AF155,1,0)</f>
      </c>
      <c r="AK155" s="5">
        <f>IF(SUM(AR155:BC155)&gt;0.3*AF155,1,0)</f>
      </c>
      <c r="AL155" s="3"/>
      <c r="AM155" s="6">
        <f>(F155/100)*AM$41</f>
      </c>
      <c r="AN155" s="6">
        <f>(G155/100)*AN$41</f>
      </c>
      <c r="AO155" s="6">
        <f>(H155/1000000)*AO$41</f>
      </c>
      <c r="AP155" s="6">
        <f>(I155/100)*AP$41</f>
      </c>
      <c r="AQ155" s="6">
        <f>(J155/1000000)*AQ$41</f>
      </c>
      <c r="AR155" s="6">
        <f>(K155/100)*AR$41</f>
      </c>
      <c r="AS155" s="6">
        <f>(L155/100)*AS$41</f>
      </c>
      <c r="AT155" s="6">
        <f>(M155/100)*AT$41</f>
      </c>
      <c r="AU155" s="6">
        <f>(N155/100)*AU$41</f>
      </c>
      <c r="AV155" s="6">
        <f>(O155/1000000)*AV$41</f>
      </c>
      <c r="AW155" s="6">
        <f>(P155/100)*AW$41</f>
      </c>
      <c r="AX155" s="6">
        <f>(Q155/100)*AX$41</f>
      </c>
      <c r="AY155" s="6">
        <f>(R155/100)*AY$41</f>
      </c>
      <c r="AZ155" s="6">
        <f>(S155/100)*AZ$41</f>
      </c>
      <c r="BA155" s="6">
        <f>(T155/100)*BA$41</f>
      </c>
      <c r="BB155" s="6">
        <f>(U155/100)*BB$41</f>
      </c>
      <c r="BC155" s="6"/>
      <c r="BD155" s="3"/>
      <c r="BE155" s="3"/>
      <c r="BF155" s="7">
        <f>AF155*E155</f>
      </c>
      <c r="BG155" s="6"/>
      <c r="BH155" s="3"/>
      <c r="BI155" s="6"/>
    </row>
    <row x14ac:dyDescent="0.25" r="156" customHeight="1" ht="12.75">
      <c r="A156" s="5" t="s">
        <v>521</v>
      </c>
      <c r="B156" s="38" t="s">
        <v>859</v>
      </c>
      <c r="C156" s="43" t="s">
        <v>856</v>
      </c>
      <c r="D156" s="34" t="s">
        <v>928</v>
      </c>
      <c r="E156" s="23">
        <v>0.688712</v>
      </c>
      <c r="F156" s="6">
        <v>1.82</v>
      </c>
      <c r="G156" s="6">
        <v>5.51</v>
      </c>
      <c r="H156" s="6">
        <v>58.6</v>
      </c>
      <c r="I156" s="6"/>
      <c r="J156" s="6">
        <v>0.99</v>
      </c>
      <c r="K156" s="7"/>
      <c r="L156" s="6"/>
      <c r="M156" s="6"/>
      <c r="N156" s="23"/>
      <c r="O156" s="5"/>
      <c r="P156" s="6"/>
      <c r="Q156" s="6"/>
      <c r="R156" s="6"/>
      <c r="S156" s="6"/>
      <c r="T156" s="6"/>
      <c r="U156" s="6"/>
      <c r="V156" s="5"/>
      <c r="W156" s="6"/>
      <c r="X156" s="6">
        <f>E156*F156/100</f>
      </c>
      <c r="Y156" s="6">
        <f>E156*G156/100</f>
      </c>
      <c r="Z156" s="7">
        <f>E156*H156</f>
      </c>
      <c r="AA156" s="7">
        <f>E156*J156</f>
      </c>
      <c r="AB156" s="6">
        <f>E156*I156/100</f>
      </c>
      <c r="AC156" s="15">
        <f>X156+Y156+AB156</f>
      </c>
      <c r="AD156" s="6">
        <f>F156+G156+I156</f>
      </c>
      <c r="AE156" s="3"/>
      <c r="AF156" s="6">
        <f>SUM(AM156:BC156)</f>
      </c>
      <c r="AG156" s="5">
        <f>IF(SUM(AM156:AO156)&gt;0.7*AF156,1,0)</f>
      </c>
      <c r="AH156" s="5">
        <f>IF(AN156&gt;0.4*AF156,1,0)</f>
      </c>
      <c r="AI156" s="5">
        <f>IF(SUM(AP156:AQ156)&gt;0.3*AF156,1,0)</f>
      </c>
      <c r="AJ156" s="5">
        <f>IF(AQ156&gt;0.2*AF156,1,0)</f>
      </c>
      <c r="AK156" s="5">
        <f>IF(SUM(AR156:BC156)&gt;0.3*AF156,1,0)</f>
      </c>
      <c r="AL156" s="3"/>
      <c r="AM156" s="6">
        <f>(F156/100)*AM$41</f>
      </c>
      <c r="AN156" s="6">
        <f>(G156/100)*AN$41</f>
      </c>
      <c r="AO156" s="6">
        <f>(H156/1000000)*AO$41</f>
      </c>
      <c r="AP156" s="6">
        <f>(I156/100)*AP$41</f>
      </c>
      <c r="AQ156" s="6">
        <f>(J156/1000000)*AQ$41</f>
      </c>
      <c r="AR156" s="6">
        <f>(K156/100)*AR$41</f>
      </c>
      <c r="AS156" s="6">
        <f>(L156/100)*AS$41</f>
      </c>
      <c r="AT156" s="6">
        <f>(M156/100)*AT$41</f>
      </c>
      <c r="AU156" s="6">
        <f>(N156/100)*AU$41</f>
      </c>
      <c r="AV156" s="6">
        <f>(O156/1000000)*AV$41</f>
      </c>
      <c r="AW156" s="6">
        <f>(P156/100)*AW$41</f>
      </c>
      <c r="AX156" s="6">
        <f>(Q156/100)*AX$41</f>
      </c>
      <c r="AY156" s="6">
        <f>(R156/100)*AY$41</f>
      </c>
      <c r="AZ156" s="6">
        <f>(S156/100)*AZ$41</f>
      </c>
      <c r="BA156" s="6">
        <f>(T156/100)*BA$41</f>
      </c>
      <c r="BB156" s="6">
        <f>(U156/100)*BB$41</f>
      </c>
      <c r="BC156" s="6"/>
      <c r="BD156" s="3"/>
      <c r="BE156" s="3"/>
      <c r="BF156" s="7">
        <f>AF156*E156</f>
      </c>
      <c r="BG156" s="6"/>
      <c r="BH156" s="3"/>
      <c r="BI156" s="6"/>
    </row>
    <row x14ac:dyDescent="0.25" r="157" customHeight="1" ht="12.75">
      <c r="A157" s="5" t="s">
        <v>138</v>
      </c>
      <c r="B157" s="38" t="s">
        <v>859</v>
      </c>
      <c r="C157" s="43" t="s">
        <v>856</v>
      </c>
      <c r="D157" s="34"/>
      <c r="E157" s="23">
        <v>0.5776</v>
      </c>
      <c r="F157" s="6">
        <v>1.49</v>
      </c>
      <c r="G157" s="6">
        <v>6.53</v>
      </c>
      <c r="H157" s="5">
        <v>257</v>
      </c>
      <c r="I157" s="6">
        <v>0.49</v>
      </c>
      <c r="J157" s="6">
        <v>3.7</v>
      </c>
      <c r="K157" s="7"/>
      <c r="L157" s="6"/>
      <c r="M157" s="6"/>
      <c r="N157" s="23"/>
      <c r="O157" s="5"/>
      <c r="P157" s="6"/>
      <c r="Q157" s="6"/>
      <c r="R157" s="6"/>
      <c r="S157" s="6"/>
      <c r="T157" s="6"/>
      <c r="U157" s="6"/>
      <c r="V157" s="5"/>
      <c r="W157" s="6"/>
      <c r="X157" s="6">
        <f>E157*F157/100</f>
      </c>
      <c r="Y157" s="6">
        <f>E157*G157/100</f>
      </c>
      <c r="Z157" s="7">
        <f>E157*H157</f>
      </c>
      <c r="AA157" s="7">
        <f>E157*J157</f>
      </c>
      <c r="AB157" s="6">
        <f>E157*I157/100</f>
      </c>
      <c r="AC157" s="15">
        <f>X157+Y157+AB157</f>
      </c>
      <c r="AD157" s="6">
        <f>F157+G157+I157</f>
      </c>
      <c r="AE157" s="3"/>
      <c r="AF157" s="6">
        <f>SUM(AM157:BC157)</f>
      </c>
      <c r="AG157" s="5">
        <f>IF(SUM(AM157:AO157)&gt;0.7*AF157,1,0)</f>
      </c>
      <c r="AH157" s="5">
        <f>IF(AN157&gt;0.4*AF157,1,0)</f>
      </c>
      <c r="AI157" s="5">
        <f>IF(SUM(AP157:AQ157)&gt;0.3*AF157,1,0)</f>
      </c>
      <c r="AJ157" s="5">
        <f>IF(AQ157&gt;0.2*AF157,1,0)</f>
      </c>
      <c r="AK157" s="5">
        <f>IF(SUM(AR157:BC157)&gt;0.3*AF157,1,0)</f>
      </c>
      <c r="AL157" s="3"/>
      <c r="AM157" s="6">
        <f>(F157/100)*AM$41</f>
      </c>
      <c r="AN157" s="6">
        <f>(G157/100)*AN$41</f>
      </c>
      <c r="AO157" s="6">
        <f>(H157/1000000)*AO$41</f>
      </c>
      <c r="AP157" s="6">
        <f>(I157/100)*AP$41</f>
      </c>
      <c r="AQ157" s="6">
        <f>(J157/1000000)*AQ$41</f>
      </c>
      <c r="AR157" s="6">
        <f>(K157/100)*AR$41</f>
      </c>
      <c r="AS157" s="6">
        <f>(L157/100)*AS$41</f>
      </c>
      <c r="AT157" s="6">
        <f>(M157/100)*AT$41</f>
      </c>
      <c r="AU157" s="6">
        <f>(N157/100)*AU$41</f>
      </c>
      <c r="AV157" s="6">
        <f>(O157/1000000)*AV$41</f>
      </c>
      <c r="AW157" s="6">
        <f>(P157/100)*AW$41</f>
      </c>
      <c r="AX157" s="6">
        <f>(Q157/100)*AX$41</f>
      </c>
      <c r="AY157" s="6">
        <f>(R157/100)*AY$41</f>
      </c>
      <c r="AZ157" s="6">
        <f>(S157/100)*AZ$41</f>
      </c>
      <c r="BA157" s="6">
        <f>(T157/100)*BA$41</f>
      </c>
      <c r="BB157" s="6">
        <f>(U157/100)*BB$41</f>
      </c>
      <c r="BC157" s="6"/>
      <c r="BD157" s="3"/>
      <c r="BE157" s="3"/>
      <c r="BF157" s="7">
        <f>AF157*E157</f>
      </c>
      <c r="BG157" s="6"/>
      <c r="BH157" s="3"/>
      <c r="BI157" s="6"/>
    </row>
    <row x14ac:dyDescent="0.25" r="158" customHeight="1" ht="12.75">
      <c r="A158" s="5" t="s">
        <v>564</v>
      </c>
      <c r="B158" s="38" t="s">
        <v>859</v>
      </c>
      <c r="C158" s="43" t="s">
        <v>856</v>
      </c>
      <c r="D158" s="34"/>
      <c r="E158" s="23">
        <v>0.590703</v>
      </c>
      <c r="F158" s="6">
        <v>2.66</v>
      </c>
      <c r="G158" s="6">
        <v>1.26</v>
      </c>
      <c r="H158" s="6">
        <v>71.6</v>
      </c>
      <c r="I158" s="6">
        <v>1.1</v>
      </c>
      <c r="J158" s="6">
        <v>1.19</v>
      </c>
      <c r="K158" s="7"/>
      <c r="L158" s="6"/>
      <c r="M158" s="6"/>
      <c r="N158" s="23"/>
      <c r="O158" s="5"/>
      <c r="P158" s="6"/>
      <c r="Q158" s="6"/>
      <c r="R158" s="6"/>
      <c r="S158" s="6"/>
      <c r="T158" s="6"/>
      <c r="U158" s="6"/>
      <c r="V158" s="5"/>
      <c r="W158" s="6"/>
      <c r="X158" s="6">
        <f>E158*F158/100</f>
      </c>
      <c r="Y158" s="6">
        <f>E158*G158/100</f>
      </c>
      <c r="Z158" s="7">
        <f>E158*H158</f>
      </c>
      <c r="AA158" s="7">
        <f>E158*J158</f>
      </c>
      <c r="AB158" s="6">
        <f>E158*I158/100</f>
      </c>
      <c r="AC158" s="15">
        <f>X158+Y158+AB158</f>
      </c>
      <c r="AD158" s="6">
        <f>F158+G158+I158</f>
      </c>
      <c r="AE158" s="3"/>
      <c r="AF158" s="6">
        <f>SUM(AM158:BC158)</f>
      </c>
      <c r="AG158" s="5">
        <f>IF(SUM(AM158:AO158)&gt;0.7*AF158,1,0)</f>
      </c>
      <c r="AH158" s="5">
        <f>IF(AN158&gt;0.4*AF158,1,0)</f>
      </c>
      <c r="AI158" s="5">
        <f>IF(SUM(AP158:AQ158)&gt;0.3*AF158,1,0)</f>
      </c>
      <c r="AJ158" s="5">
        <f>IF(AQ158&gt;0.2*AF158,1,0)</f>
      </c>
      <c r="AK158" s="5">
        <f>IF(SUM(AR158:BC158)&gt;0.3*AF158,1,0)</f>
      </c>
      <c r="AL158" s="3"/>
      <c r="AM158" s="6">
        <f>(F158/100)*AM$41</f>
      </c>
      <c r="AN158" s="6">
        <f>(G158/100)*AN$41</f>
      </c>
      <c r="AO158" s="6">
        <f>(H158/1000000)*AO$41</f>
      </c>
      <c r="AP158" s="6">
        <f>(I158/100)*AP$41</f>
      </c>
      <c r="AQ158" s="6">
        <f>(J158/1000000)*AQ$41</f>
      </c>
      <c r="AR158" s="6">
        <f>(K158/100)*AR$41</f>
      </c>
      <c r="AS158" s="6">
        <f>(L158/100)*AS$41</f>
      </c>
      <c r="AT158" s="6">
        <f>(M158/100)*AT$41</f>
      </c>
      <c r="AU158" s="6">
        <f>(N158/100)*AU$41</f>
      </c>
      <c r="AV158" s="6">
        <f>(O158/1000000)*AV$41</f>
      </c>
      <c r="AW158" s="6">
        <f>(P158/100)*AW$41</f>
      </c>
      <c r="AX158" s="6">
        <f>(Q158/100)*AX$41</f>
      </c>
      <c r="AY158" s="6">
        <f>(R158/100)*AY$41</f>
      </c>
      <c r="AZ158" s="6">
        <f>(S158/100)*AZ$41</f>
      </c>
      <c r="BA158" s="6">
        <f>(T158/100)*BA$41</f>
      </c>
      <c r="BB158" s="6">
        <f>(U158/100)*BB$41</f>
      </c>
      <c r="BC158" s="6"/>
      <c r="BD158" s="3"/>
      <c r="BE158" s="3"/>
      <c r="BF158" s="7">
        <f>AF158*E158</f>
      </c>
      <c r="BG158" s="6"/>
      <c r="BH158" s="3"/>
      <c r="BI158" s="6"/>
    </row>
    <row x14ac:dyDescent="0.25" r="159" customHeight="1" ht="12.75">
      <c r="A159" s="5" t="s">
        <v>313</v>
      </c>
      <c r="B159" s="38" t="s">
        <v>859</v>
      </c>
      <c r="C159" s="43" t="s">
        <v>856</v>
      </c>
      <c r="D159" s="34"/>
      <c r="E159" s="23">
        <v>0.273944</v>
      </c>
      <c r="F159" s="6">
        <v>5.4</v>
      </c>
      <c r="G159" s="7">
        <v>4.8</v>
      </c>
      <c r="H159" s="6">
        <v>233.1</v>
      </c>
      <c r="I159" s="6"/>
      <c r="J159" s="6"/>
      <c r="K159" s="7"/>
      <c r="L159" s="6"/>
      <c r="M159" s="6"/>
      <c r="N159" s="23"/>
      <c r="O159" s="5"/>
      <c r="P159" s="6"/>
      <c r="Q159" s="6"/>
      <c r="R159" s="6"/>
      <c r="S159" s="6"/>
      <c r="T159" s="6"/>
      <c r="U159" s="6"/>
      <c r="V159" s="5"/>
      <c r="W159" s="6"/>
      <c r="X159" s="6">
        <f>E159*F159/100</f>
      </c>
      <c r="Y159" s="6">
        <f>E159*G159/100</f>
      </c>
      <c r="Z159" s="7">
        <f>E159*H159</f>
      </c>
      <c r="AA159" s="7">
        <f>E159*J159</f>
      </c>
      <c r="AB159" s="6">
        <f>E159*I159/100</f>
      </c>
      <c r="AC159" s="15">
        <f>X159+Y159+AB159</f>
      </c>
      <c r="AD159" s="6">
        <f>F159+G159+I159</f>
      </c>
      <c r="AE159" s="3"/>
      <c r="AF159" s="6">
        <f>SUM(AM159:BC159)</f>
      </c>
      <c r="AG159" s="5">
        <f>IF(SUM(AM159:AO159)&gt;0.7*AF159,1,0)</f>
      </c>
      <c r="AH159" s="5">
        <f>IF(AN159&gt;0.4*AF159,1,0)</f>
      </c>
      <c r="AI159" s="5">
        <f>IF(SUM(AP159:AQ159)&gt;0.3*AF159,1,0)</f>
      </c>
      <c r="AJ159" s="5">
        <f>IF(AQ159&gt;0.2*AF159,1,0)</f>
      </c>
      <c r="AK159" s="5">
        <f>IF(SUM(AR159:BC159)&gt;0.3*AF159,1,0)</f>
      </c>
      <c r="AL159" s="3"/>
      <c r="AM159" s="6">
        <f>(F159/100)*AM$41</f>
      </c>
      <c r="AN159" s="6">
        <f>(G159/100)*AN$41</f>
      </c>
      <c r="AO159" s="6">
        <f>(H159/1000000)*AO$41</f>
      </c>
      <c r="AP159" s="6">
        <f>(I159/100)*AP$41</f>
      </c>
      <c r="AQ159" s="6">
        <f>(J159/1000000)*AQ$41</f>
      </c>
      <c r="AR159" s="6">
        <f>(K159/100)*AR$41</f>
      </c>
      <c r="AS159" s="6">
        <f>(L159/100)*AS$41</f>
      </c>
      <c r="AT159" s="6">
        <f>(M159/100)*AT$41</f>
      </c>
      <c r="AU159" s="6">
        <f>(N159/100)*AU$41</f>
      </c>
      <c r="AV159" s="6">
        <f>(O159/1000000)*AV$41</f>
      </c>
      <c r="AW159" s="6">
        <f>(P159/100)*AW$41</f>
      </c>
      <c r="AX159" s="6">
        <f>(Q159/100)*AX$41</f>
      </c>
      <c r="AY159" s="6">
        <f>(R159/100)*AY$41</f>
      </c>
      <c r="AZ159" s="6">
        <f>(S159/100)*AZ$41</f>
      </c>
      <c r="BA159" s="6">
        <f>(T159/100)*BA$41</f>
      </c>
      <c r="BB159" s="6">
        <f>(U159/100)*BB$41</f>
      </c>
      <c r="BC159" s="6"/>
      <c r="BD159" s="3"/>
      <c r="BE159" s="3"/>
      <c r="BF159" s="7">
        <f>AF159*E159</f>
      </c>
      <c r="BG159" s="6"/>
      <c r="BH159" s="3"/>
      <c r="BI159" s="6"/>
    </row>
    <row x14ac:dyDescent="0.25" r="160" customHeight="1" ht="12.75">
      <c r="A160" s="5" t="s">
        <v>145</v>
      </c>
      <c r="B160" s="38" t="s">
        <v>859</v>
      </c>
      <c r="C160" s="43" t="s">
        <v>856</v>
      </c>
      <c r="D160" s="34"/>
      <c r="E160" s="23">
        <v>0.352659</v>
      </c>
      <c r="F160" s="6">
        <v>3.18</v>
      </c>
      <c r="G160" s="6">
        <v>3.47</v>
      </c>
      <c r="H160" s="7">
        <v>606.16</v>
      </c>
      <c r="I160" s="6"/>
      <c r="J160" s="6"/>
      <c r="K160" s="7"/>
      <c r="L160" s="6"/>
      <c r="M160" s="6"/>
      <c r="N160" s="23"/>
      <c r="O160" s="5"/>
      <c r="P160" s="6"/>
      <c r="Q160" s="6"/>
      <c r="R160" s="6"/>
      <c r="S160" s="6"/>
      <c r="T160" s="6"/>
      <c r="U160" s="6"/>
      <c r="V160" s="5"/>
      <c r="W160" s="6"/>
      <c r="X160" s="6">
        <f>E160*F160/100</f>
      </c>
      <c r="Y160" s="6">
        <f>E160*G160/100</f>
      </c>
      <c r="Z160" s="7">
        <f>E160*H160</f>
      </c>
      <c r="AA160" s="7">
        <f>E160*J160</f>
      </c>
      <c r="AB160" s="6">
        <f>E160*I160/100</f>
      </c>
      <c r="AC160" s="15">
        <f>X160+Y160+AB160</f>
      </c>
      <c r="AD160" s="6">
        <f>F160+G160+I160</f>
      </c>
      <c r="AE160" s="3"/>
      <c r="AF160" s="6">
        <f>SUM(AM160:BC160)</f>
      </c>
      <c r="AG160" s="5">
        <f>IF(SUM(AM160:AO160)&gt;0.7*AF160,1,0)</f>
      </c>
      <c r="AH160" s="5">
        <f>IF(AN160&gt;0.4*AF160,1,0)</f>
      </c>
      <c r="AI160" s="5">
        <f>IF(SUM(AP160:AQ160)&gt;0.3*AF160,1,0)</f>
      </c>
      <c r="AJ160" s="5">
        <f>IF(AQ160&gt;0.2*AF160,1,0)</f>
      </c>
      <c r="AK160" s="5">
        <f>IF(SUM(AR160:BC160)&gt;0.3*AF160,1,0)</f>
      </c>
      <c r="AL160" s="3"/>
      <c r="AM160" s="6">
        <f>(F160/100)*AM$41</f>
      </c>
      <c r="AN160" s="6">
        <f>(G160/100)*AN$41</f>
      </c>
      <c r="AO160" s="6">
        <f>(H160/1000000)*AO$41</f>
      </c>
      <c r="AP160" s="6">
        <f>(I160/100)*AP$41</f>
      </c>
      <c r="AQ160" s="6">
        <f>(J160/1000000)*AQ$41</f>
      </c>
      <c r="AR160" s="6">
        <f>(K160/100)*AR$41</f>
      </c>
      <c r="AS160" s="6">
        <f>(L160/100)*AS$41</f>
      </c>
      <c r="AT160" s="6">
        <f>(M160/100)*AT$41</f>
      </c>
      <c r="AU160" s="6">
        <f>(N160/100)*AU$41</f>
      </c>
      <c r="AV160" s="6">
        <f>(O160/1000000)*AV$41</f>
      </c>
      <c r="AW160" s="6">
        <f>(P160/100)*AW$41</f>
      </c>
      <c r="AX160" s="6">
        <f>(Q160/100)*AX$41</f>
      </c>
      <c r="AY160" s="6">
        <f>(R160/100)*AY$41</f>
      </c>
      <c r="AZ160" s="6">
        <f>(S160/100)*AZ$41</f>
      </c>
      <c r="BA160" s="6">
        <f>(T160/100)*BA$41</f>
      </c>
      <c r="BB160" s="6">
        <f>(U160/100)*BB$41</f>
      </c>
      <c r="BC160" s="6"/>
      <c r="BD160" s="3"/>
      <c r="BE160" s="3"/>
      <c r="BF160" s="7">
        <f>AF160*E160</f>
      </c>
      <c r="BG160" s="6"/>
      <c r="BH160" s="3"/>
      <c r="BI160" s="6"/>
    </row>
    <row x14ac:dyDescent="0.25" r="161" customHeight="1" ht="12.75">
      <c r="A161" s="5" t="s">
        <v>614</v>
      </c>
      <c r="B161" s="38" t="s">
        <v>859</v>
      </c>
      <c r="C161" s="43" t="s">
        <v>856</v>
      </c>
      <c r="D161" s="34"/>
      <c r="E161" s="23">
        <v>0.359492</v>
      </c>
      <c r="F161" s="7">
        <v>4.834540212299578</v>
      </c>
      <c r="G161" s="6"/>
      <c r="H161" s="7">
        <v>44.947629766448216</v>
      </c>
      <c r="I161" s="7">
        <v>1.518696382673328</v>
      </c>
      <c r="J161" s="6"/>
      <c r="K161" s="7"/>
      <c r="L161" s="6"/>
      <c r="M161" s="6"/>
      <c r="N161" s="23"/>
      <c r="O161" s="5"/>
      <c r="P161" s="6"/>
      <c r="Q161" s="6"/>
      <c r="R161" s="6"/>
      <c r="S161" s="6"/>
      <c r="T161" s="6"/>
      <c r="U161" s="6"/>
      <c r="V161" s="5"/>
      <c r="W161" s="6"/>
      <c r="X161" s="6">
        <f>E161*F161/100</f>
      </c>
      <c r="Y161" s="6">
        <f>E161*G161/100</f>
      </c>
      <c r="Z161" s="7">
        <f>E161*H161</f>
      </c>
      <c r="AA161" s="7">
        <f>E161*J161</f>
      </c>
      <c r="AB161" s="6">
        <f>E161*I161/100</f>
      </c>
      <c r="AC161" s="15">
        <f>X161+Y161+AB161</f>
      </c>
      <c r="AD161" s="6">
        <f>F161+G161+I161</f>
      </c>
      <c r="AE161" s="3"/>
      <c r="AF161" s="6">
        <f>SUM(AM161:BC161)</f>
      </c>
      <c r="AG161" s="5">
        <f>IF(SUM(AM161:AO161)&gt;0.7*AF161,1,0)</f>
      </c>
      <c r="AH161" s="5">
        <f>IF(AN161&gt;0.4*AF161,1,0)</f>
      </c>
      <c r="AI161" s="5">
        <f>IF(SUM(AP161:AQ161)&gt;0.3*AF161,1,0)</f>
      </c>
      <c r="AJ161" s="5">
        <f>IF(AQ161&gt;0.2*AF161,1,0)</f>
      </c>
      <c r="AK161" s="5">
        <f>IF(SUM(AR161:BC161)&gt;0.3*AF161,1,0)</f>
      </c>
      <c r="AL161" s="3"/>
      <c r="AM161" s="6">
        <f>(F161/100)*AM$41</f>
      </c>
      <c r="AN161" s="6">
        <f>(G161/100)*AN$41</f>
      </c>
      <c r="AO161" s="6">
        <f>(H161/1000000)*AO$41</f>
      </c>
      <c r="AP161" s="6">
        <f>(I161/100)*AP$41</f>
      </c>
      <c r="AQ161" s="6">
        <f>(J161/1000000)*AQ$41</f>
      </c>
      <c r="AR161" s="6">
        <f>(K161/100)*AR$41</f>
      </c>
      <c r="AS161" s="6">
        <f>(L161/100)*AS$41</f>
      </c>
      <c r="AT161" s="6">
        <f>(M161/100)*AT$41</f>
      </c>
      <c r="AU161" s="6">
        <f>(N161/100)*AU$41</f>
      </c>
      <c r="AV161" s="6">
        <f>(O161/1000000)*AV$41</f>
      </c>
      <c r="AW161" s="6">
        <f>(P161/100)*AW$41</f>
      </c>
      <c r="AX161" s="6">
        <f>(Q161/100)*AX$41</f>
      </c>
      <c r="AY161" s="6">
        <f>(R161/100)*AY$41</f>
      </c>
      <c r="AZ161" s="6">
        <f>(S161/100)*AZ$41</f>
      </c>
      <c r="BA161" s="6">
        <f>(T161/100)*BA$41</f>
      </c>
      <c r="BB161" s="6">
        <f>(U161/100)*BB$41</f>
      </c>
      <c r="BC161" s="6"/>
      <c r="BD161" s="3"/>
      <c r="BE161" s="3"/>
      <c r="BF161" s="7">
        <f>AF161*E161</f>
      </c>
      <c r="BG161" s="6"/>
      <c r="BH161" s="3"/>
      <c r="BI161" s="6"/>
    </row>
    <row x14ac:dyDescent="0.25" r="162" customHeight="1" ht="12.75">
      <c r="A162" s="5" t="s">
        <v>103</v>
      </c>
      <c r="B162" s="38" t="s">
        <v>859</v>
      </c>
      <c r="C162" s="43" t="s">
        <v>856</v>
      </c>
      <c r="D162" s="34"/>
      <c r="E162" s="23">
        <v>0.120639</v>
      </c>
      <c r="F162" s="6">
        <v>3.5342738252140684</v>
      </c>
      <c r="G162" s="6">
        <v>13.616475020515754</v>
      </c>
      <c r="H162" s="31">
        <v>325.931189333466</v>
      </c>
      <c r="I162" s="6"/>
      <c r="J162" s="6"/>
      <c r="K162" s="7"/>
      <c r="L162" s="6"/>
      <c r="M162" s="6"/>
      <c r="N162" s="23"/>
      <c r="O162" s="5"/>
      <c r="P162" s="6"/>
      <c r="Q162" s="6"/>
      <c r="R162" s="6"/>
      <c r="S162" s="6"/>
      <c r="T162" s="6"/>
      <c r="U162" s="6"/>
      <c r="V162" s="5"/>
      <c r="W162" s="6"/>
      <c r="X162" s="6">
        <f>E162*F162/100</f>
      </c>
      <c r="Y162" s="6">
        <f>E162*G162/100</f>
      </c>
      <c r="Z162" s="7">
        <f>E162*H162</f>
      </c>
      <c r="AA162" s="7">
        <f>E162*J162</f>
      </c>
      <c r="AB162" s="6">
        <f>E162*I162/100</f>
      </c>
      <c r="AC162" s="15">
        <f>X162+Y162+AB162</f>
      </c>
      <c r="AD162" s="6">
        <f>F162+G162+I162</f>
      </c>
      <c r="AE162" s="3"/>
      <c r="AF162" s="6">
        <f>SUM(AM162:BC162)</f>
      </c>
      <c r="AG162" s="5">
        <f>IF(SUM(AM162:AO162)&gt;0.7*AF162,1,0)</f>
      </c>
      <c r="AH162" s="5">
        <f>IF(AN162&gt;0.4*AF162,1,0)</f>
      </c>
      <c r="AI162" s="5">
        <f>IF(SUM(AP162:AQ162)&gt;0.3*AF162,1,0)</f>
      </c>
      <c r="AJ162" s="5">
        <f>IF(AQ162&gt;0.2*AF162,1,0)</f>
      </c>
      <c r="AK162" s="5">
        <f>IF(SUM(AR162:BC162)&gt;0.3*AF162,1,0)</f>
      </c>
      <c r="AL162" s="3"/>
      <c r="AM162" s="6">
        <f>(F162/100)*AM$41</f>
      </c>
      <c r="AN162" s="6">
        <f>(G162/100)*AN$41</f>
      </c>
      <c r="AO162" s="6">
        <f>(H162/1000000)*AO$41</f>
      </c>
      <c r="AP162" s="6">
        <f>(I162/100)*AP$41</f>
      </c>
      <c r="AQ162" s="6">
        <f>(J162/1000000)*AQ$41</f>
      </c>
      <c r="AR162" s="6">
        <f>(K162/100)*AR$41</f>
      </c>
      <c r="AS162" s="6">
        <f>(L162/100)*AS$41</f>
      </c>
      <c r="AT162" s="6">
        <f>(M162/100)*AT$41</f>
      </c>
      <c r="AU162" s="6">
        <f>(N162/100)*AU$41</f>
      </c>
      <c r="AV162" s="6">
        <f>(O162/1000000)*AV$41</f>
      </c>
      <c r="AW162" s="6">
        <f>(P162/100)*AW$41</f>
      </c>
      <c r="AX162" s="6">
        <f>(Q162/100)*AX$41</f>
      </c>
      <c r="AY162" s="6">
        <f>(R162/100)*AY$41</f>
      </c>
      <c r="AZ162" s="6">
        <f>(S162/100)*AZ$41</f>
      </c>
      <c r="BA162" s="6">
        <f>(T162/100)*BA$41</f>
      </c>
      <c r="BB162" s="6">
        <f>(U162/100)*BB$41</f>
      </c>
      <c r="BC162" s="6"/>
      <c r="BD162" s="3"/>
      <c r="BE162" s="3"/>
      <c r="BF162" s="7">
        <f>AF162*E162</f>
      </c>
      <c r="BG162" s="6"/>
      <c r="BH162" s="3"/>
      <c r="BI162" s="6"/>
    </row>
    <row x14ac:dyDescent="0.25" r="163" customHeight="1" ht="12.75">
      <c r="A163" s="5" t="s">
        <v>221</v>
      </c>
      <c r="B163" s="38" t="s">
        <v>859</v>
      </c>
      <c r="C163" s="43" t="s">
        <v>856</v>
      </c>
      <c r="D163" s="34"/>
      <c r="E163" s="23">
        <v>0.21682200000000001</v>
      </c>
      <c r="F163" s="6">
        <v>2.85</v>
      </c>
      <c r="G163" s="6">
        <v>4.63</v>
      </c>
      <c r="H163" s="6">
        <v>411.3</v>
      </c>
      <c r="I163" s="6"/>
      <c r="J163" s="6">
        <v>0.47</v>
      </c>
      <c r="K163" s="7"/>
      <c r="L163" s="6"/>
      <c r="M163" s="6"/>
      <c r="N163" s="23"/>
      <c r="O163" s="5"/>
      <c r="P163" s="6"/>
      <c r="Q163" s="6"/>
      <c r="R163" s="6"/>
      <c r="S163" s="6"/>
      <c r="T163" s="6"/>
      <c r="U163" s="6"/>
      <c r="V163" s="5"/>
      <c r="W163" s="6"/>
      <c r="X163" s="6">
        <f>E163*F163/100</f>
      </c>
      <c r="Y163" s="6">
        <f>E163*G163/100</f>
      </c>
      <c r="Z163" s="7">
        <f>E163*H163</f>
      </c>
      <c r="AA163" s="7">
        <f>E163*J163</f>
      </c>
      <c r="AB163" s="6">
        <f>E163*I163/100</f>
      </c>
      <c r="AC163" s="15">
        <f>X163+Y163+AB163</f>
      </c>
      <c r="AD163" s="6">
        <f>F163+G163+I163</f>
      </c>
      <c r="AE163" s="3"/>
      <c r="AF163" s="6">
        <f>SUM(AM163:BC163)</f>
      </c>
      <c r="AG163" s="5">
        <f>IF(SUM(AM163:AO163)&gt;0.7*AF163,1,0)</f>
      </c>
      <c r="AH163" s="5">
        <f>IF(AN163&gt;0.4*AF163,1,0)</f>
      </c>
      <c r="AI163" s="5">
        <f>IF(SUM(AP163:AQ163)&gt;0.3*AF163,1,0)</f>
      </c>
      <c r="AJ163" s="5">
        <f>IF(AQ163&gt;0.2*AF163,1,0)</f>
      </c>
      <c r="AK163" s="5">
        <f>IF(SUM(AR163:BC163)&gt;0.3*AF163,1,0)</f>
      </c>
      <c r="AL163" s="3"/>
      <c r="AM163" s="6">
        <f>(F163/100)*AM$41</f>
      </c>
      <c r="AN163" s="6">
        <f>(G163/100)*AN$41</f>
      </c>
      <c r="AO163" s="6">
        <f>(H163/1000000)*AO$41</f>
      </c>
      <c r="AP163" s="6">
        <f>(I163/100)*AP$41</f>
      </c>
      <c r="AQ163" s="6">
        <f>(J163/1000000)*AQ$41</f>
      </c>
      <c r="AR163" s="6">
        <f>(K163/100)*AR$41</f>
      </c>
      <c r="AS163" s="6">
        <f>(L163/100)*AS$41</f>
      </c>
      <c r="AT163" s="6">
        <f>(M163/100)*AT$41</f>
      </c>
      <c r="AU163" s="6">
        <f>(N163/100)*AU$41</f>
      </c>
      <c r="AV163" s="6">
        <f>(O163/1000000)*AV$41</f>
      </c>
      <c r="AW163" s="6">
        <f>(P163/100)*AW$41</f>
      </c>
      <c r="AX163" s="6">
        <f>(Q163/100)*AX$41</f>
      </c>
      <c r="AY163" s="6">
        <f>(R163/100)*AY$41</f>
      </c>
      <c r="AZ163" s="6">
        <f>(S163/100)*AZ$41</f>
      </c>
      <c r="BA163" s="6">
        <f>(T163/100)*BA$41</f>
      </c>
      <c r="BB163" s="6">
        <f>(U163/100)*BB$41</f>
      </c>
      <c r="BC163" s="6"/>
      <c r="BD163" s="3"/>
      <c r="BE163" s="3"/>
      <c r="BF163" s="7">
        <f>AF163*E163</f>
      </c>
      <c r="BG163" s="6"/>
      <c r="BH163" s="3"/>
      <c r="BI163" s="6"/>
    </row>
    <row x14ac:dyDescent="0.25" r="164" customHeight="1" ht="12.75">
      <c r="A164" s="5" t="s">
        <v>152</v>
      </c>
      <c r="B164" s="38" t="s">
        <v>859</v>
      </c>
      <c r="C164" s="43" t="s">
        <v>856</v>
      </c>
      <c r="D164" s="34"/>
      <c r="E164" s="6">
        <v>0.312</v>
      </c>
      <c r="F164" s="6">
        <v>2.5</v>
      </c>
      <c r="G164" s="6">
        <v>2.5</v>
      </c>
      <c r="H164" s="6">
        <v>390.8</v>
      </c>
      <c r="I164" s="6"/>
      <c r="J164" s="6">
        <v>3.81</v>
      </c>
      <c r="K164" s="7"/>
      <c r="L164" s="6"/>
      <c r="M164" s="6"/>
      <c r="N164" s="23"/>
      <c r="O164" s="5"/>
      <c r="P164" s="6"/>
      <c r="Q164" s="6"/>
      <c r="R164" s="6"/>
      <c r="S164" s="6"/>
      <c r="T164" s="6"/>
      <c r="U164" s="6"/>
      <c r="V164" s="5"/>
      <c r="W164" s="6"/>
      <c r="X164" s="6">
        <f>E164*F164/100</f>
      </c>
      <c r="Y164" s="6">
        <f>E164*G164/100</f>
      </c>
      <c r="Z164" s="7">
        <f>E164*H164</f>
      </c>
      <c r="AA164" s="7">
        <f>E164*J164</f>
      </c>
      <c r="AB164" s="6">
        <f>E164*I164/100</f>
      </c>
      <c r="AC164" s="15">
        <f>X164+Y164+AB164</f>
      </c>
      <c r="AD164" s="6">
        <f>F164+G164+I164</f>
      </c>
      <c r="AE164" s="3"/>
      <c r="AF164" s="6">
        <f>SUM(AM164:BC164)</f>
      </c>
      <c r="AG164" s="5">
        <f>IF(SUM(AM164:AO164)&gt;0.7*AF164,1,0)</f>
      </c>
      <c r="AH164" s="5">
        <f>IF(AN164&gt;0.4*AF164,1,0)</f>
      </c>
      <c r="AI164" s="5">
        <f>IF(SUM(AP164:AQ164)&gt;0.3*AF164,1,0)</f>
      </c>
      <c r="AJ164" s="5">
        <f>IF(AQ164&gt;0.2*AF164,1,0)</f>
      </c>
      <c r="AK164" s="5">
        <f>IF(SUM(AR164:BC164)&gt;0.3*AF164,1,0)</f>
      </c>
      <c r="AL164" s="3"/>
      <c r="AM164" s="6">
        <f>(F164/100)*AM$41</f>
      </c>
      <c r="AN164" s="6">
        <f>(G164/100)*AN$41</f>
      </c>
      <c r="AO164" s="6">
        <f>(H164/1000000)*AO$41</f>
      </c>
      <c r="AP164" s="6">
        <f>(I164/100)*AP$41</f>
      </c>
      <c r="AQ164" s="6">
        <f>(J164/1000000)*AQ$41</f>
      </c>
      <c r="AR164" s="6">
        <f>(K164/100)*AR$41</f>
      </c>
      <c r="AS164" s="6">
        <f>(L164/100)*AS$41</f>
      </c>
      <c r="AT164" s="6">
        <f>(M164/100)*AT$41</f>
      </c>
      <c r="AU164" s="6">
        <f>(N164/100)*AU$41</f>
      </c>
      <c r="AV164" s="6">
        <f>(O164/1000000)*AV$41</f>
      </c>
      <c r="AW164" s="6">
        <f>(P164/100)*AW$41</f>
      </c>
      <c r="AX164" s="6">
        <f>(Q164/100)*AX$41</f>
      </c>
      <c r="AY164" s="6">
        <f>(R164/100)*AY$41</f>
      </c>
      <c r="AZ164" s="6">
        <f>(S164/100)*AZ$41</f>
      </c>
      <c r="BA164" s="6">
        <f>(T164/100)*BA$41</f>
      </c>
      <c r="BB164" s="6">
        <f>(U164/100)*BB$41</f>
      </c>
      <c r="BC164" s="6"/>
      <c r="BD164" s="3"/>
      <c r="BE164" s="3"/>
      <c r="BF164" s="7">
        <f>AF164*E164</f>
      </c>
      <c r="BG164" s="6"/>
      <c r="BH164" s="3"/>
      <c r="BI164" s="6"/>
    </row>
    <row x14ac:dyDescent="0.25" r="165" customHeight="1" ht="12.75">
      <c r="A165" s="5" t="s">
        <v>746</v>
      </c>
      <c r="B165" s="38" t="s">
        <v>859</v>
      </c>
      <c r="C165" s="43" t="s">
        <v>856</v>
      </c>
      <c r="D165" s="34" t="s">
        <v>929</v>
      </c>
      <c r="E165" s="23">
        <v>0.317485</v>
      </c>
      <c r="F165" s="6"/>
      <c r="G165" s="6">
        <v>4.23</v>
      </c>
      <c r="H165" s="7">
        <v>30.16</v>
      </c>
      <c r="I165" s="6">
        <v>0.38</v>
      </c>
      <c r="J165" s="6"/>
      <c r="K165" s="7"/>
      <c r="L165" s="6"/>
      <c r="M165" s="6"/>
      <c r="N165" s="23"/>
      <c r="O165" s="5"/>
      <c r="P165" s="6"/>
      <c r="Q165" s="6"/>
      <c r="R165" s="6"/>
      <c r="S165" s="6"/>
      <c r="T165" s="6"/>
      <c r="U165" s="6"/>
      <c r="V165" s="5"/>
      <c r="W165" s="6"/>
      <c r="X165" s="6">
        <f>E165*F165/100</f>
      </c>
      <c r="Y165" s="6">
        <f>E165*G165/100</f>
      </c>
      <c r="Z165" s="7">
        <f>E165*H165</f>
      </c>
      <c r="AA165" s="7">
        <f>E165*J165</f>
      </c>
      <c r="AB165" s="6">
        <f>E165*I165/100</f>
      </c>
      <c r="AC165" s="15">
        <f>X165+Y165+AB165</f>
      </c>
      <c r="AD165" s="6">
        <f>F165+G165+I165</f>
      </c>
      <c r="AE165" s="3"/>
      <c r="AF165" s="6">
        <f>SUM(AM165:BC165)</f>
      </c>
      <c r="AG165" s="5">
        <f>IF(SUM(AM165:AO165)&gt;0.7*AF165,1,0)</f>
      </c>
      <c r="AH165" s="5">
        <f>IF(AN165&gt;0.4*AF165,1,0)</f>
      </c>
      <c r="AI165" s="5">
        <f>IF(SUM(AP165:AQ165)&gt;0.3*AF165,1,0)</f>
      </c>
      <c r="AJ165" s="5">
        <f>IF(AQ165&gt;0.2*AF165,1,0)</f>
      </c>
      <c r="AK165" s="5">
        <f>IF(SUM(AR165:BC165)&gt;0.3*AF165,1,0)</f>
      </c>
      <c r="AL165" s="3"/>
      <c r="AM165" s="6">
        <f>(F165/100)*AM$41</f>
      </c>
      <c r="AN165" s="6">
        <f>(G165/100)*AN$41</f>
      </c>
      <c r="AO165" s="6">
        <f>(H165/1000000)*AO$41</f>
      </c>
      <c r="AP165" s="6">
        <f>(I165/100)*AP$41</f>
      </c>
      <c r="AQ165" s="6">
        <f>(J165/1000000)*AQ$41</f>
      </c>
      <c r="AR165" s="6">
        <f>(K165/100)*AR$41</f>
      </c>
      <c r="AS165" s="6">
        <f>(L165/100)*AS$41</f>
      </c>
      <c r="AT165" s="6">
        <f>(M165/100)*AT$41</f>
      </c>
      <c r="AU165" s="6">
        <f>(N165/100)*AU$41</f>
      </c>
      <c r="AV165" s="6">
        <f>(O165/1000000)*AV$41</f>
      </c>
      <c r="AW165" s="6">
        <f>(P165/100)*AW$41</f>
      </c>
      <c r="AX165" s="6">
        <f>(Q165/100)*AX$41</f>
      </c>
      <c r="AY165" s="6">
        <f>(R165/100)*AY$41</f>
      </c>
      <c r="AZ165" s="6">
        <f>(S165/100)*AZ$41</f>
      </c>
      <c r="BA165" s="6">
        <f>(T165/100)*BA$41</f>
      </c>
      <c r="BB165" s="6">
        <f>(U165/100)*BB$41</f>
      </c>
      <c r="BC165" s="6"/>
      <c r="BD165" s="3"/>
      <c r="BE165" s="3"/>
      <c r="BF165" s="7">
        <f>AF165*E165</f>
      </c>
      <c r="BG165" s="6"/>
      <c r="BH165" s="3"/>
      <c r="BI165" s="6"/>
    </row>
    <row x14ac:dyDescent="0.25" r="166" customHeight="1" ht="12.75">
      <c r="A166" s="5" t="s">
        <v>253</v>
      </c>
      <c r="B166" s="38" t="s">
        <v>859</v>
      </c>
      <c r="C166" s="43" t="s">
        <v>856</v>
      </c>
      <c r="D166" s="34" t="s">
        <v>931</v>
      </c>
      <c r="E166" s="23">
        <v>0.196</v>
      </c>
      <c r="F166" s="7">
        <v>2.31</v>
      </c>
      <c r="G166" s="7">
        <v>4.69</v>
      </c>
      <c r="H166" s="5">
        <v>411</v>
      </c>
      <c r="I166" s="6"/>
      <c r="J166" s="6"/>
      <c r="K166" s="7"/>
      <c r="L166" s="6"/>
      <c r="M166" s="6"/>
      <c r="N166" s="23"/>
      <c r="O166" s="5"/>
      <c r="P166" s="6"/>
      <c r="Q166" s="6"/>
      <c r="R166" s="6"/>
      <c r="S166" s="6"/>
      <c r="T166" s="6"/>
      <c r="U166" s="6"/>
      <c r="V166" s="5"/>
      <c r="W166" s="6"/>
      <c r="X166" s="6">
        <f>E166*F166/100</f>
      </c>
      <c r="Y166" s="6">
        <f>E166*G166/100</f>
      </c>
      <c r="Z166" s="7">
        <f>E166*H166</f>
      </c>
      <c r="AA166" s="7">
        <f>E166*J166</f>
      </c>
      <c r="AB166" s="6">
        <f>E166*I166/100</f>
      </c>
      <c r="AC166" s="15">
        <f>X166+Y166+AB166</f>
      </c>
      <c r="AD166" s="6">
        <f>F166+G166+I166</f>
      </c>
      <c r="AE166" s="3"/>
      <c r="AF166" s="6">
        <f>SUM(AM166:BC166)</f>
      </c>
      <c r="AG166" s="5">
        <f>IF(SUM(AM166:AO166)&gt;0.7*AF166,1,0)</f>
      </c>
      <c r="AH166" s="5">
        <f>IF(AN166&gt;0.4*AF166,1,0)</f>
      </c>
      <c r="AI166" s="5">
        <f>IF(SUM(AP166:AQ166)&gt;0.3*AF166,1,0)</f>
      </c>
      <c r="AJ166" s="5">
        <f>IF(AQ166&gt;0.2*AF166,1,0)</f>
      </c>
      <c r="AK166" s="5">
        <f>IF(SUM(AR166:BC166)&gt;0.3*AF166,1,0)</f>
      </c>
      <c r="AL166" s="3"/>
      <c r="AM166" s="6">
        <f>(F166/100)*AM$41</f>
      </c>
      <c r="AN166" s="6">
        <f>(G166/100)*AN$41</f>
      </c>
      <c r="AO166" s="6">
        <f>(H166/1000000)*AO$41</f>
      </c>
      <c r="AP166" s="6">
        <f>(I166/100)*AP$41</f>
      </c>
      <c r="AQ166" s="6">
        <f>(J166/1000000)*AQ$41</f>
      </c>
      <c r="AR166" s="6">
        <f>(K166/100)*AR$41</f>
      </c>
      <c r="AS166" s="6">
        <f>(L166/100)*AS$41</f>
      </c>
      <c r="AT166" s="6">
        <f>(M166/100)*AT$41</f>
      </c>
      <c r="AU166" s="6">
        <f>(N166/100)*AU$41</f>
      </c>
      <c r="AV166" s="6">
        <f>(O166/1000000)*AV$41</f>
      </c>
      <c r="AW166" s="6">
        <f>(P166/100)*AW$41</f>
      </c>
      <c r="AX166" s="6">
        <f>(Q166/100)*AX$41</f>
      </c>
      <c r="AY166" s="6">
        <f>(R166/100)*AY$41</f>
      </c>
      <c r="AZ166" s="6">
        <f>(S166/100)*AZ$41</f>
      </c>
      <c r="BA166" s="6">
        <f>(T166/100)*BA$41</f>
      </c>
      <c r="BB166" s="6">
        <f>(U166/100)*BB$41</f>
      </c>
      <c r="BC166" s="6"/>
      <c r="BD166" s="3"/>
      <c r="BE166" s="3"/>
      <c r="BF166" s="7">
        <f>AF166*E166</f>
      </c>
      <c r="BG166" s="6"/>
      <c r="BH166" s="3"/>
      <c r="BI166" s="6"/>
    </row>
    <row x14ac:dyDescent="0.25" r="167" customHeight="1" ht="12.75">
      <c r="A167" s="5" t="s">
        <v>24</v>
      </c>
      <c r="B167" s="38" t="s">
        <v>859</v>
      </c>
      <c r="C167" s="43" t="s">
        <v>856</v>
      </c>
      <c r="D167" s="34"/>
      <c r="E167" s="6">
        <v>0.03</v>
      </c>
      <c r="F167" s="6">
        <v>6.7</v>
      </c>
      <c r="G167" s="6">
        <v>17.7</v>
      </c>
      <c r="H167" s="6">
        <v>449.13</v>
      </c>
      <c r="I167" s="6"/>
      <c r="J167" s="6">
        <v>1.71</v>
      </c>
      <c r="K167" s="7"/>
      <c r="L167" s="6"/>
      <c r="M167" s="6"/>
      <c r="N167" s="23"/>
      <c r="O167" s="5"/>
      <c r="P167" s="6"/>
      <c r="Q167" s="6"/>
      <c r="R167" s="6"/>
      <c r="S167" s="6"/>
      <c r="T167" s="6"/>
      <c r="U167" s="6"/>
      <c r="V167" s="5"/>
      <c r="W167" s="6"/>
      <c r="X167" s="6">
        <f>E167*F167/100</f>
      </c>
      <c r="Y167" s="6">
        <f>E167*G167/100</f>
      </c>
      <c r="Z167" s="7">
        <f>E167*H167</f>
      </c>
      <c r="AA167" s="7">
        <f>E167*J167</f>
      </c>
      <c r="AB167" s="6">
        <f>E167*I167/100</f>
      </c>
      <c r="AC167" s="15">
        <f>X167+Y167+AB167</f>
      </c>
      <c r="AD167" s="6">
        <f>F167+G167+I167</f>
      </c>
      <c r="AE167" s="3"/>
      <c r="AF167" s="6">
        <f>SUM(AM167:BC167)</f>
      </c>
      <c r="AG167" s="5">
        <f>IF(SUM(AM167:AO167)&gt;0.7*AF167,1,0)</f>
      </c>
      <c r="AH167" s="5">
        <f>IF(AN167&gt;0.4*AF167,1,0)</f>
      </c>
      <c r="AI167" s="5">
        <f>IF(SUM(AP167:AQ167)&gt;0.3*AF167,1,0)</f>
      </c>
      <c r="AJ167" s="5">
        <f>IF(AQ167&gt;0.2*AF167,1,0)</f>
      </c>
      <c r="AK167" s="5">
        <f>IF(SUM(AR167:BC167)&gt;0.3*AF167,1,0)</f>
      </c>
      <c r="AL167" s="3"/>
      <c r="AM167" s="6">
        <f>(F167/100)*AM$41</f>
      </c>
      <c r="AN167" s="6">
        <f>(G167/100)*AN$41</f>
      </c>
      <c r="AO167" s="6">
        <f>(H167/1000000)*AO$41</f>
      </c>
      <c r="AP167" s="6">
        <f>(I167/100)*AP$41</f>
      </c>
      <c r="AQ167" s="6">
        <f>(J167/1000000)*AQ$41</f>
      </c>
      <c r="AR167" s="6">
        <f>(K167/100)*AR$41</f>
      </c>
      <c r="AS167" s="6">
        <f>(L167/100)*AS$41</f>
      </c>
      <c r="AT167" s="6">
        <f>(M167/100)*AT$41</f>
      </c>
      <c r="AU167" s="6">
        <f>(N167/100)*AU$41</f>
      </c>
      <c r="AV167" s="6">
        <f>(O167/1000000)*AV$41</f>
      </c>
      <c r="AW167" s="6">
        <f>(P167/100)*AW$41</f>
      </c>
      <c r="AX167" s="6">
        <f>(Q167/100)*AX$41</f>
      </c>
      <c r="AY167" s="6">
        <f>(R167/100)*AY$41</f>
      </c>
      <c r="AZ167" s="6">
        <f>(S167/100)*AZ$41</f>
      </c>
      <c r="BA167" s="6">
        <f>(T167/100)*BA$41</f>
      </c>
      <c r="BB167" s="6">
        <f>(U167/100)*BB$41</f>
      </c>
      <c r="BC167" s="6"/>
      <c r="BD167" s="3"/>
      <c r="BE167" s="3"/>
      <c r="BF167" s="7">
        <f>AF167*E167</f>
      </c>
      <c r="BG167" s="6"/>
      <c r="BH167" s="3"/>
      <c r="BI167" s="6"/>
    </row>
    <row x14ac:dyDescent="0.25" r="168" customHeight="1" ht="12.75">
      <c r="A168" s="5" t="s">
        <v>78</v>
      </c>
      <c r="B168" s="38" t="s">
        <v>859</v>
      </c>
      <c r="C168" s="43" t="s">
        <v>856</v>
      </c>
      <c r="D168" s="34"/>
      <c r="E168" s="23">
        <v>0.0408</v>
      </c>
      <c r="F168" s="6">
        <v>6.23</v>
      </c>
      <c r="G168" s="6">
        <v>9.49</v>
      </c>
      <c r="H168" s="5">
        <v>355</v>
      </c>
      <c r="I168" s="6"/>
      <c r="J168" s="6">
        <v>1.13</v>
      </c>
      <c r="K168" s="7"/>
      <c r="L168" s="6"/>
      <c r="M168" s="6"/>
      <c r="N168" s="23"/>
      <c r="O168" s="5"/>
      <c r="P168" s="6"/>
      <c r="Q168" s="6"/>
      <c r="R168" s="6"/>
      <c r="S168" s="6"/>
      <c r="T168" s="6"/>
      <c r="U168" s="6"/>
      <c r="V168" s="5"/>
      <c r="W168" s="6"/>
      <c r="X168" s="6">
        <f>E168*F168/100</f>
      </c>
      <c r="Y168" s="6">
        <f>E168*G168/100</f>
      </c>
      <c r="Z168" s="7">
        <f>E168*H168</f>
      </c>
      <c r="AA168" s="7">
        <f>E168*J168</f>
      </c>
      <c r="AB168" s="6">
        <f>E168*I168/100</f>
      </c>
      <c r="AC168" s="15">
        <f>X168+Y168+AB168</f>
      </c>
      <c r="AD168" s="6">
        <f>F168+G168+I168</f>
      </c>
      <c r="AE168" s="3"/>
      <c r="AF168" s="6">
        <f>SUM(AM168:BC168)</f>
      </c>
      <c r="AG168" s="5">
        <f>IF(SUM(AM168:AO168)&gt;0.7*AF168,1,0)</f>
      </c>
      <c r="AH168" s="5">
        <f>IF(AN168&gt;0.4*AF168,1,0)</f>
      </c>
      <c r="AI168" s="5">
        <f>IF(SUM(AP168:AQ168)&gt;0.3*AF168,1,0)</f>
      </c>
      <c r="AJ168" s="5">
        <f>IF(AQ168&gt;0.2*AF168,1,0)</f>
      </c>
      <c r="AK168" s="5">
        <f>IF(SUM(AR168:BC168)&gt;0.3*AF168,1,0)</f>
      </c>
      <c r="AL168" s="3"/>
      <c r="AM168" s="6">
        <f>(F168/100)*AM$41</f>
      </c>
      <c r="AN168" s="6">
        <f>(G168/100)*AN$41</f>
      </c>
      <c r="AO168" s="6">
        <f>(H168/1000000)*AO$41</f>
      </c>
      <c r="AP168" s="6">
        <f>(I168/100)*AP$41</f>
      </c>
      <c r="AQ168" s="6">
        <f>(J168/1000000)*AQ$41</f>
      </c>
      <c r="AR168" s="6">
        <f>(K168/100)*AR$41</f>
      </c>
      <c r="AS168" s="6">
        <f>(L168/100)*AS$41</f>
      </c>
      <c r="AT168" s="6">
        <f>(M168/100)*AT$41</f>
      </c>
      <c r="AU168" s="6">
        <f>(N168/100)*AU$41</f>
      </c>
      <c r="AV168" s="6">
        <f>(O168/1000000)*AV$41</f>
      </c>
      <c r="AW168" s="6">
        <f>(P168/100)*AW$41</f>
      </c>
      <c r="AX168" s="6">
        <f>(Q168/100)*AX$41</f>
      </c>
      <c r="AY168" s="6">
        <f>(R168/100)*AY$41</f>
      </c>
      <c r="AZ168" s="6">
        <f>(S168/100)*AZ$41</f>
      </c>
      <c r="BA168" s="6">
        <f>(T168/100)*BA$41</f>
      </c>
      <c r="BB168" s="6">
        <f>(U168/100)*BB$41</f>
      </c>
      <c r="BC168" s="6"/>
      <c r="BD168" s="3"/>
      <c r="BE168" s="3"/>
      <c r="BF168" s="7">
        <f>AF168*E168</f>
      </c>
      <c r="BG168" s="6"/>
      <c r="BH168" s="3"/>
      <c r="BI168" s="6"/>
    </row>
    <row x14ac:dyDescent="0.25" r="169" customHeight="1" ht="12.75">
      <c r="A169" s="5" t="s">
        <v>761</v>
      </c>
      <c r="B169" s="38" t="s">
        <v>859</v>
      </c>
      <c r="C169" s="43" t="s">
        <v>856</v>
      </c>
      <c r="D169" s="34"/>
      <c r="E169" s="23">
        <v>0.14748699999999998</v>
      </c>
      <c r="F169" s="6">
        <v>2.7760602629384286</v>
      </c>
      <c r="G169" s="6">
        <v>0.39779234780014516</v>
      </c>
      <c r="H169" s="31">
        <v>120.09139110565677</v>
      </c>
      <c r="I169" s="6"/>
      <c r="J169" s="6">
        <v>0.7537396516303133</v>
      </c>
      <c r="K169" s="7"/>
      <c r="L169" s="6"/>
      <c r="M169" s="6"/>
      <c r="N169" s="23"/>
      <c r="O169" s="5"/>
      <c r="P169" s="6"/>
      <c r="Q169" s="6"/>
      <c r="R169" s="6"/>
      <c r="S169" s="6"/>
      <c r="T169" s="6"/>
      <c r="U169" s="6"/>
      <c r="V169" s="5"/>
      <c r="W169" s="6"/>
      <c r="X169" s="6">
        <f>E169*F169/100</f>
      </c>
      <c r="Y169" s="6">
        <f>E169*G169/100</f>
      </c>
      <c r="Z169" s="7">
        <f>E169*H169</f>
      </c>
      <c r="AA169" s="7">
        <f>E169*J169</f>
      </c>
      <c r="AB169" s="6">
        <f>E169*I169/100</f>
      </c>
      <c r="AC169" s="15">
        <f>X169+Y169+AB169</f>
      </c>
      <c r="AD169" s="6">
        <f>F169+G169+I169</f>
      </c>
      <c r="AE169" s="3"/>
      <c r="AF169" s="6">
        <f>SUM(AM169:BC169)</f>
      </c>
      <c r="AG169" s="5">
        <f>IF(SUM(AM169:AO169)&gt;0.7*AF169,1,0)</f>
      </c>
      <c r="AH169" s="5">
        <f>IF(AN169&gt;0.4*AF169,1,0)</f>
      </c>
      <c r="AI169" s="5">
        <f>IF(SUM(AP169:AQ169)&gt;0.3*AF169,1,0)</f>
      </c>
      <c r="AJ169" s="5">
        <f>IF(AQ169&gt;0.2*AF169,1,0)</f>
      </c>
      <c r="AK169" s="5">
        <f>IF(SUM(AR169:BC169)&gt;0.3*AF169,1,0)</f>
      </c>
      <c r="AL169" s="3"/>
      <c r="AM169" s="6">
        <f>(F169/100)*AM$41</f>
      </c>
      <c r="AN169" s="6">
        <f>(G169/100)*AN$41</f>
      </c>
      <c r="AO169" s="6">
        <f>(H169/1000000)*AO$41</f>
      </c>
      <c r="AP169" s="6">
        <f>(I169/100)*AP$41</f>
      </c>
      <c r="AQ169" s="6">
        <f>(J169/1000000)*AQ$41</f>
      </c>
      <c r="AR169" s="6">
        <f>(K169/100)*AR$41</f>
      </c>
      <c r="AS169" s="6">
        <f>(L169/100)*AS$41</f>
      </c>
      <c r="AT169" s="6">
        <f>(M169/100)*AT$41</f>
      </c>
      <c r="AU169" s="6">
        <f>(N169/100)*AU$41</f>
      </c>
      <c r="AV169" s="6">
        <f>(O169/1000000)*AV$41</f>
      </c>
      <c r="AW169" s="6">
        <f>(P169/100)*AW$41</f>
      </c>
      <c r="AX169" s="6">
        <f>(Q169/100)*AX$41</f>
      </c>
      <c r="AY169" s="6">
        <f>(R169/100)*AY$41</f>
      </c>
      <c r="AZ169" s="6">
        <f>(S169/100)*AZ$41</f>
      </c>
      <c r="BA169" s="6">
        <f>(T169/100)*BA$41</f>
      </c>
      <c r="BB169" s="6">
        <f>(U169/100)*BB$41</f>
      </c>
      <c r="BC169" s="6"/>
      <c r="BD169" s="3"/>
      <c r="BE169" s="3"/>
      <c r="BF169" s="7">
        <f>AF169*E169</f>
      </c>
      <c r="BG169" s="6"/>
      <c r="BH169" s="3"/>
      <c r="BI169" s="6"/>
    </row>
    <row x14ac:dyDescent="0.25" r="170" customHeight="1" ht="12.75">
      <c r="A170" s="5" t="s">
        <v>853</v>
      </c>
      <c r="B170" s="38" t="s">
        <v>859</v>
      </c>
      <c r="C170" s="43" t="s">
        <v>856</v>
      </c>
      <c r="D170" s="34"/>
      <c r="E170" s="6">
        <v>1.36</v>
      </c>
      <c r="F170" s="6">
        <v>0.17</v>
      </c>
      <c r="G170" s="6">
        <v>0.08</v>
      </c>
      <c r="H170" s="6">
        <v>4.2</v>
      </c>
      <c r="I170" s="6">
        <v>0.01</v>
      </c>
      <c r="J170" s="6">
        <v>0.06</v>
      </c>
      <c r="K170" s="7"/>
      <c r="L170" s="6"/>
      <c r="M170" s="6"/>
      <c r="N170" s="23"/>
      <c r="O170" s="5"/>
      <c r="P170" s="6"/>
      <c r="Q170" s="6"/>
      <c r="R170" s="6"/>
      <c r="S170" s="6"/>
      <c r="T170" s="6"/>
      <c r="U170" s="6"/>
      <c r="V170" s="6">
        <v>2.48</v>
      </c>
      <c r="W170" s="6" t="s">
        <v>953</v>
      </c>
      <c r="X170" s="6">
        <f>E170*F170/100</f>
      </c>
      <c r="Y170" s="6">
        <f>E170*G170/100</f>
      </c>
      <c r="Z170" s="7">
        <f>E170*H170</f>
      </c>
      <c r="AA170" s="7">
        <f>E170*J170</f>
      </c>
      <c r="AB170" s="6">
        <f>E170*I170/100</f>
      </c>
      <c r="AC170" s="15">
        <f>X170+Y170+AB170</f>
      </c>
      <c r="AD170" s="6">
        <f>F170+G170+I170</f>
      </c>
      <c r="AE170" s="3"/>
      <c r="AF170" s="6">
        <f>SUM(AM170:BC170)</f>
      </c>
      <c r="AG170" s="5">
        <f>IF(SUM(AM170:AO170)&gt;0.7*AF170,1,0)</f>
      </c>
      <c r="AH170" s="5">
        <f>IF(AN170&gt;0.4*AF170,1,0)</f>
      </c>
      <c r="AI170" s="5">
        <f>IF(SUM(AP170:AQ170)&gt;0.3*AF170,1,0)</f>
      </c>
      <c r="AJ170" s="5">
        <f>IF(AQ170&gt;0.2*AF170,1,0)</f>
      </c>
      <c r="AK170" s="5">
        <f>IF(SUM(AR170:BC170)&gt;0.3*AF170,1,0)</f>
      </c>
      <c r="AL170" s="3"/>
      <c r="AM170" s="6">
        <f>(F170/100)*AM$41</f>
      </c>
      <c r="AN170" s="6">
        <f>(G170/100)*AN$41</f>
      </c>
      <c r="AO170" s="6">
        <f>(H170/1000000)*AO$41</f>
      </c>
      <c r="AP170" s="6">
        <f>(I170/100)*AP$41</f>
      </c>
      <c r="AQ170" s="6">
        <f>(J170/1000000)*AQ$41</f>
      </c>
      <c r="AR170" s="6">
        <f>(K170/100)*AR$41</f>
      </c>
      <c r="AS170" s="6">
        <f>(L170/100)*AS$41</f>
      </c>
      <c r="AT170" s="6">
        <f>(M170/100)*AT$41</f>
      </c>
      <c r="AU170" s="6">
        <f>(N170/100)*AU$41</f>
      </c>
      <c r="AV170" s="6">
        <f>(O170/1000000)*AV$41</f>
      </c>
      <c r="AW170" s="6">
        <f>(P170/100)*AW$41</f>
      </c>
      <c r="AX170" s="6">
        <f>(Q170/100)*AX$41</f>
      </c>
      <c r="AY170" s="6">
        <f>(R170/100)*AY$41</f>
      </c>
      <c r="AZ170" s="6">
        <f>(S170/100)*AZ$41</f>
      </c>
      <c r="BA170" s="6">
        <f>(T170/100)*BA$41</f>
      </c>
      <c r="BB170" s="6">
        <f>(U170/100)*BB$41</f>
      </c>
      <c r="BC170" s="6">
        <f>(V170/100)*50</f>
      </c>
      <c r="BD170" s="3" t="s">
        <v>954</v>
      </c>
      <c r="BE170" s="3"/>
      <c r="BF170" s="7">
        <f>AF170*E170</f>
      </c>
      <c r="BG170" s="6"/>
      <c r="BH170" s="3"/>
      <c r="BI170" s="6"/>
    </row>
    <row x14ac:dyDescent="0.25" r="171" customHeight="1" ht="12.75">
      <c r="A171" s="5" t="s">
        <v>835</v>
      </c>
      <c r="B171" s="38" t="s">
        <v>859</v>
      </c>
      <c r="C171" s="43" t="s">
        <v>856</v>
      </c>
      <c r="D171" s="34"/>
      <c r="E171" s="23">
        <v>0.068136</v>
      </c>
      <c r="F171" s="6">
        <v>1.7041223435481976</v>
      </c>
      <c r="G171" s="6">
        <v>0.9150459375366914</v>
      </c>
      <c r="H171" s="6">
        <v>7.353974110602325</v>
      </c>
      <c r="I171" s="6"/>
      <c r="J171" s="6"/>
      <c r="K171" s="7"/>
      <c r="L171" s="6"/>
      <c r="M171" s="6"/>
      <c r="N171" s="23"/>
      <c r="O171" s="5"/>
      <c r="P171" s="6"/>
      <c r="Q171" s="6"/>
      <c r="R171" s="6"/>
      <c r="S171" s="6"/>
      <c r="T171" s="6"/>
      <c r="U171" s="6"/>
      <c r="V171" s="5"/>
      <c r="W171" s="6"/>
      <c r="X171" s="6">
        <f>E171*F171/100</f>
      </c>
      <c r="Y171" s="6">
        <f>E171*G171/100</f>
      </c>
      <c r="Z171" s="7">
        <f>E171*H171</f>
      </c>
      <c r="AA171" s="7">
        <f>E171*J171</f>
      </c>
      <c r="AB171" s="6">
        <f>E171*I171/100</f>
      </c>
      <c r="AC171" s="15">
        <f>X171+Y171+AB171</f>
      </c>
      <c r="AD171" s="6">
        <f>F171+G171+I171</f>
      </c>
      <c r="AE171" s="3"/>
      <c r="AF171" s="6">
        <f>SUM(AM171:BC171)</f>
      </c>
      <c r="AG171" s="5">
        <f>IF(SUM(AM171:AO171)&gt;0.7*AF171,1,0)</f>
      </c>
      <c r="AH171" s="5">
        <f>IF(AN171&gt;0.4*AF171,1,0)</f>
      </c>
      <c r="AI171" s="5">
        <f>IF(SUM(AP171:AQ171)&gt;0.3*AF171,1,0)</f>
      </c>
      <c r="AJ171" s="5">
        <f>IF(AQ171&gt;0.2*AF171,1,0)</f>
      </c>
      <c r="AK171" s="5">
        <f>IF(SUM(AR171:BC171)&gt;0.3*AF171,1,0)</f>
      </c>
      <c r="AL171" s="3"/>
      <c r="AM171" s="6">
        <f>(F171/100)*AM$41</f>
      </c>
      <c r="AN171" s="6">
        <f>(G171/100)*AN$41</f>
      </c>
      <c r="AO171" s="6">
        <f>(H171/1000000)*AO$41</f>
      </c>
      <c r="AP171" s="6">
        <f>(I171/100)*AP$41</f>
      </c>
      <c r="AQ171" s="6">
        <f>(J171/1000000)*AQ$41</f>
      </c>
      <c r="AR171" s="6">
        <f>(K171/100)*AR$41</f>
      </c>
      <c r="AS171" s="6">
        <f>(L171/100)*AS$41</f>
      </c>
      <c r="AT171" s="6">
        <f>(M171/100)*AT$41</f>
      </c>
      <c r="AU171" s="6">
        <f>(N171/100)*AU$41</f>
      </c>
      <c r="AV171" s="6">
        <f>(O171/1000000)*AV$41</f>
      </c>
      <c r="AW171" s="6">
        <f>(P171/100)*AW$41</f>
      </c>
      <c r="AX171" s="6">
        <f>(Q171/100)*AX$41</f>
      </c>
      <c r="AY171" s="6">
        <f>(R171/100)*AY$41</f>
      </c>
      <c r="AZ171" s="6">
        <f>(S171/100)*AZ$41</f>
      </c>
      <c r="BA171" s="6">
        <f>(T171/100)*BA$41</f>
      </c>
      <c r="BB171" s="6">
        <f>(U171/100)*BB$41</f>
      </c>
      <c r="BC171" s="6"/>
      <c r="BD171" s="3"/>
      <c r="BE171" s="3"/>
      <c r="BF171" s="7">
        <f>AF171*E171</f>
      </c>
      <c r="BG171" s="6"/>
      <c r="BH171" s="3"/>
      <c r="BI171" s="6"/>
    </row>
    <row x14ac:dyDescent="0.25" r="172" customHeight="1" ht="12.75">
      <c r="A172" s="5" t="s">
        <v>6</v>
      </c>
      <c r="B172" s="38" t="s">
        <v>859</v>
      </c>
      <c r="C172" s="43" t="s">
        <v>856</v>
      </c>
      <c r="D172" s="34"/>
      <c r="E172" s="6">
        <v>0.02</v>
      </c>
      <c r="F172" s="6">
        <v>4.4</v>
      </c>
      <c r="G172" s="6">
        <v>2.2</v>
      </c>
      <c r="H172" s="5">
        <v>2948.4</v>
      </c>
      <c r="I172" s="6"/>
      <c r="J172" s="6">
        <v>1.19</v>
      </c>
      <c r="K172" s="7"/>
      <c r="L172" s="6"/>
      <c r="M172" s="6"/>
      <c r="N172" s="23"/>
      <c r="O172" s="5"/>
      <c r="P172" s="6"/>
      <c r="Q172" s="6"/>
      <c r="R172" s="6"/>
      <c r="S172" s="6"/>
      <c r="T172" s="6"/>
      <c r="U172" s="6"/>
      <c r="V172" s="5"/>
      <c r="W172" s="6"/>
      <c r="X172" s="6">
        <f>E172*F172/100</f>
      </c>
      <c r="Y172" s="6">
        <f>E172*G172/100</f>
      </c>
      <c r="Z172" s="7">
        <f>E172*H172</f>
      </c>
      <c r="AA172" s="7">
        <f>E172*J172</f>
      </c>
      <c r="AB172" s="6">
        <f>E172*I172/100</f>
      </c>
      <c r="AC172" s="15">
        <f>X172+Y172+AB172</f>
      </c>
      <c r="AD172" s="6">
        <f>F172+G172+I172</f>
      </c>
      <c r="AE172" s="3"/>
      <c r="AF172" s="6">
        <f>SUM(AM172:BC172)</f>
      </c>
      <c r="AG172" s="5">
        <f>IF(SUM(AM172:AO172)&gt;0.7*AF172,1,0)</f>
      </c>
      <c r="AH172" s="5">
        <f>IF(AN172&gt;0.4*AF172,1,0)</f>
      </c>
      <c r="AI172" s="5">
        <f>IF(SUM(AP172:AQ172)&gt;0.3*AF172,1,0)</f>
      </c>
      <c r="AJ172" s="5">
        <f>IF(AQ172&gt;0.2*AF172,1,0)</f>
      </c>
      <c r="AK172" s="5">
        <f>IF(SUM(AR172:BC172)&gt;0.3*AF172,1,0)</f>
      </c>
      <c r="AL172" s="3"/>
      <c r="AM172" s="6">
        <f>(F172/100)*AM$41</f>
      </c>
      <c r="AN172" s="6">
        <f>(G172/100)*AN$41</f>
      </c>
      <c r="AO172" s="6">
        <f>(H172/1000000)*AO$41</f>
      </c>
      <c r="AP172" s="6">
        <f>(I172/100)*AP$41</f>
      </c>
      <c r="AQ172" s="6">
        <f>(J172/1000000)*AQ$41</f>
      </c>
      <c r="AR172" s="6">
        <f>(K172/100)*AR$41</f>
      </c>
      <c r="AS172" s="6">
        <f>(L172/100)*AS$41</f>
      </c>
      <c r="AT172" s="6">
        <f>(M172/100)*AT$41</f>
      </c>
      <c r="AU172" s="6">
        <f>(N172/100)*AU$41</f>
      </c>
      <c r="AV172" s="6">
        <f>(O172/1000000)*AV$41</f>
      </c>
      <c r="AW172" s="6">
        <f>(P172/100)*AW$41</f>
      </c>
      <c r="AX172" s="6">
        <f>(Q172/100)*AX$41</f>
      </c>
      <c r="AY172" s="6">
        <f>(R172/100)*AY$41</f>
      </c>
      <c r="AZ172" s="6">
        <f>(S172/100)*AZ$41</f>
      </c>
      <c r="BA172" s="6">
        <f>(T172/100)*BA$41</f>
      </c>
      <c r="BB172" s="6">
        <f>(U172/100)*BB$41</f>
      </c>
      <c r="BC172" s="6"/>
      <c r="BD172" s="3"/>
      <c r="BE172" s="3"/>
      <c r="BF172" s="7">
        <f>AF172*E172</f>
      </c>
      <c r="BG172" s="6"/>
      <c r="BH172" s="3"/>
      <c r="BI172" s="6"/>
    </row>
    <row x14ac:dyDescent="0.25" r="173" customHeight="1" ht="12.75">
      <c r="A173" s="5" t="s">
        <v>81</v>
      </c>
      <c r="B173" s="38" t="s">
        <v>859</v>
      </c>
      <c r="C173" s="43" t="s">
        <v>1014</v>
      </c>
      <c r="D173" s="34"/>
      <c r="E173" s="23">
        <v>0.160331</v>
      </c>
      <c r="F173" s="6">
        <v>7.11</v>
      </c>
      <c r="G173" s="6">
        <v>8.12</v>
      </c>
      <c r="H173" s="6">
        <v>428.5</v>
      </c>
      <c r="I173" s="6"/>
      <c r="J173" s="6">
        <v>0.34</v>
      </c>
      <c r="K173" s="7"/>
      <c r="L173" s="6"/>
      <c r="M173" s="6"/>
      <c r="N173" s="23"/>
      <c r="O173" s="5"/>
      <c r="P173" s="6"/>
      <c r="Q173" s="6"/>
      <c r="R173" s="6"/>
      <c r="S173" s="6"/>
      <c r="T173" s="6"/>
      <c r="U173" s="6"/>
      <c r="V173" s="5"/>
      <c r="W173" s="6"/>
      <c r="X173" s="6">
        <f>E173*F173/100</f>
      </c>
      <c r="Y173" s="6">
        <f>E173*G173/100</f>
      </c>
      <c r="Z173" s="7">
        <f>E173*H173</f>
      </c>
      <c r="AA173" s="7">
        <f>E173*J173</f>
      </c>
      <c r="AB173" s="6">
        <f>E173*I173/100</f>
      </c>
      <c r="AC173" s="15">
        <f>X173+Y173+AB173</f>
      </c>
      <c r="AD173" s="6">
        <f>F173+G173+I173</f>
      </c>
      <c r="AE173" s="3"/>
      <c r="AF173" s="6">
        <f>SUM(AM173:BC173)</f>
      </c>
      <c r="AG173" s="5">
        <f>IF(SUM(AM173:AO173)&gt;0.7*AF173,1,0)</f>
      </c>
      <c r="AH173" s="5">
        <f>IF(AN173&gt;0.4*AF173,1,0)</f>
      </c>
      <c r="AI173" s="5">
        <f>IF(SUM(AP173:AQ173)&gt;0.3*AF173,1,0)</f>
      </c>
      <c r="AJ173" s="5">
        <f>IF(AQ173&gt;0.2*AF173,1,0)</f>
      </c>
      <c r="AK173" s="5">
        <f>IF(SUM(AR173:BC173)&gt;0.3*AF173,1,0)</f>
      </c>
      <c r="AL173" s="3"/>
      <c r="AM173" s="6">
        <f>(F173/100)*AM$41</f>
      </c>
      <c r="AN173" s="6">
        <f>(G173/100)*AN$41</f>
      </c>
      <c r="AO173" s="6">
        <f>(H173/1000000)*AO$41</f>
      </c>
      <c r="AP173" s="6">
        <f>(I173/100)*AP$41</f>
      </c>
      <c r="AQ173" s="6">
        <f>(J173/1000000)*AQ$41</f>
      </c>
      <c r="AR173" s="6">
        <f>(K173/100)*AR$41</f>
      </c>
      <c r="AS173" s="6">
        <f>(L173/100)*AS$41</f>
      </c>
      <c r="AT173" s="6">
        <f>(M173/100)*AT$41</f>
      </c>
      <c r="AU173" s="6">
        <f>(N173/100)*AU$41</f>
      </c>
      <c r="AV173" s="6">
        <f>(O173/1000000)*AV$41</f>
      </c>
      <c r="AW173" s="6">
        <f>(P173/100)*AW$41</f>
      </c>
      <c r="AX173" s="6">
        <f>(Q173/100)*AX$41</f>
      </c>
      <c r="AY173" s="6">
        <f>(R173/100)*AY$41</f>
      </c>
      <c r="AZ173" s="6">
        <f>(S173/100)*AZ$41</f>
      </c>
      <c r="BA173" s="6">
        <f>(T173/100)*BA$41</f>
      </c>
      <c r="BB173" s="6">
        <f>(U173/100)*BB$41</f>
      </c>
      <c r="BC173" s="6"/>
      <c r="BD173" s="3"/>
      <c r="BE173" s="3"/>
      <c r="BF173" s="7">
        <f>AF173*E173</f>
      </c>
      <c r="BG173" s="6"/>
      <c r="BH173" s="3"/>
      <c r="BI173" s="6"/>
    </row>
    <row x14ac:dyDescent="0.25" r="174" customHeight="1" ht="12.75">
      <c r="A174" s="5" t="s">
        <v>538</v>
      </c>
      <c r="B174" s="38" t="s">
        <v>859</v>
      </c>
      <c r="C174" s="43" t="s">
        <v>1014</v>
      </c>
      <c r="D174" s="34"/>
      <c r="E174" s="23">
        <v>0.20095</v>
      </c>
      <c r="F174" s="6">
        <v>3.18</v>
      </c>
      <c r="G174" s="6">
        <v>4.01</v>
      </c>
      <c r="H174" s="6">
        <v>91.89</v>
      </c>
      <c r="I174" s="6"/>
      <c r="J174" s="6"/>
      <c r="K174" s="7"/>
      <c r="L174" s="6"/>
      <c r="M174" s="6"/>
      <c r="N174" s="23"/>
      <c r="O174" s="5"/>
      <c r="P174" s="6"/>
      <c r="Q174" s="6"/>
      <c r="R174" s="6"/>
      <c r="S174" s="6"/>
      <c r="T174" s="6"/>
      <c r="U174" s="6"/>
      <c r="V174" s="5"/>
      <c r="W174" s="6"/>
      <c r="X174" s="6">
        <f>E174*F174/100</f>
      </c>
      <c r="Y174" s="6">
        <f>E174*G174/100</f>
      </c>
      <c r="Z174" s="7">
        <f>E174*H174</f>
      </c>
      <c r="AA174" s="7">
        <f>E174*J174</f>
      </c>
      <c r="AB174" s="6">
        <f>E174*I174/100</f>
      </c>
      <c r="AC174" s="15">
        <f>X174+Y174+AB174</f>
      </c>
      <c r="AD174" s="6">
        <f>F174+G174+I174</f>
      </c>
      <c r="AE174" s="3"/>
      <c r="AF174" s="6">
        <f>SUM(AM174:BC174)</f>
      </c>
      <c r="AG174" s="5">
        <f>IF(SUM(AM174:AO174)&gt;0.7*AF174,1,0)</f>
      </c>
      <c r="AH174" s="5">
        <f>IF(AN174&gt;0.4*AF174,1,0)</f>
      </c>
      <c r="AI174" s="5">
        <f>IF(SUM(AP174:AQ174)&gt;0.3*AF174,1,0)</f>
      </c>
      <c r="AJ174" s="5">
        <f>IF(AQ174&gt;0.2*AF174,1,0)</f>
      </c>
      <c r="AK174" s="5">
        <f>IF(SUM(AR174:BC174)&gt;0.3*AF174,1,0)</f>
      </c>
      <c r="AL174" s="3"/>
      <c r="AM174" s="6">
        <f>(F174/100)*AM$41</f>
      </c>
      <c r="AN174" s="6">
        <f>(G174/100)*AN$41</f>
      </c>
      <c r="AO174" s="6">
        <f>(H174/1000000)*AO$41</f>
      </c>
      <c r="AP174" s="6">
        <f>(I174/100)*AP$41</f>
      </c>
      <c r="AQ174" s="6">
        <f>(J174/1000000)*AQ$41</f>
      </c>
      <c r="AR174" s="6">
        <f>(K174/100)*AR$41</f>
      </c>
      <c r="AS174" s="6">
        <f>(L174/100)*AS$41</f>
      </c>
      <c r="AT174" s="6">
        <f>(M174/100)*AT$41</f>
      </c>
      <c r="AU174" s="6">
        <f>(N174/100)*AU$41</f>
      </c>
      <c r="AV174" s="6">
        <f>(O174/1000000)*AV$41</f>
      </c>
      <c r="AW174" s="6">
        <f>(P174/100)*AW$41</f>
      </c>
      <c r="AX174" s="6">
        <f>(Q174/100)*AX$41</f>
      </c>
      <c r="AY174" s="6">
        <f>(R174/100)*AY$41</f>
      </c>
      <c r="AZ174" s="6">
        <f>(S174/100)*AZ$41</f>
      </c>
      <c r="BA174" s="6">
        <f>(T174/100)*BA$41</f>
      </c>
      <c r="BB174" s="6">
        <f>(U174/100)*BB$41</f>
      </c>
      <c r="BC174" s="6"/>
      <c r="BD174" s="3"/>
      <c r="BE174" s="3"/>
      <c r="BF174" s="7">
        <f>AF174*E174</f>
      </c>
      <c r="BG174" s="6"/>
      <c r="BH174" s="3"/>
      <c r="BI174" s="6"/>
    </row>
    <row x14ac:dyDescent="0.25" r="175" customHeight="1" ht="12.75">
      <c r="A175" s="5" t="s">
        <v>5</v>
      </c>
      <c r="B175" s="38" t="s">
        <v>859</v>
      </c>
      <c r="C175" s="43" t="s">
        <v>1014</v>
      </c>
      <c r="D175" s="34"/>
      <c r="E175" s="23">
        <v>0.036287</v>
      </c>
      <c r="F175" s="6">
        <v>14.95</v>
      </c>
      <c r="G175" s="6">
        <v>20.78</v>
      </c>
      <c r="H175" s="6">
        <v>427.2</v>
      </c>
      <c r="I175" s="6"/>
      <c r="J175" s="6"/>
      <c r="K175" s="7"/>
      <c r="L175" s="6"/>
      <c r="M175" s="6"/>
      <c r="N175" s="23"/>
      <c r="O175" s="5"/>
      <c r="P175" s="6"/>
      <c r="Q175" s="6"/>
      <c r="R175" s="6"/>
      <c r="S175" s="6"/>
      <c r="T175" s="6"/>
      <c r="U175" s="6"/>
      <c r="V175" s="5"/>
      <c r="W175" s="6"/>
      <c r="X175" s="6">
        <f>E175*F175/100</f>
      </c>
      <c r="Y175" s="6">
        <f>E175*G175/100</f>
      </c>
      <c r="Z175" s="7">
        <f>E175*H175</f>
      </c>
      <c r="AA175" s="7">
        <f>E175*J175</f>
      </c>
      <c r="AB175" s="6">
        <f>E175*I175/100</f>
      </c>
      <c r="AC175" s="15">
        <f>X175+Y175+AB175</f>
      </c>
      <c r="AD175" s="6">
        <f>F175+G175+I175</f>
      </c>
      <c r="AE175" s="3"/>
      <c r="AF175" s="6">
        <f>SUM(AM175:BC175)</f>
      </c>
      <c r="AG175" s="5">
        <f>IF(SUM(AM175:AO175)&gt;0.7*AF175,1,0)</f>
      </c>
      <c r="AH175" s="5">
        <f>IF(AN175&gt;0.4*AF175,1,0)</f>
      </c>
      <c r="AI175" s="5">
        <f>IF(SUM(AP175:AQ175)&gt;0.3*AF175,1,0)</f>
      </c>
      <c r="AJ175" s="5">
        <f>IF(AQ175&gt;0.2*AF175,1,0)</f>
      </c>
      <c r="AK175" s="5">
        <f>IF(SUM(AR175:BC175)&gt;0.3*AF175,1,0)</f>
      </c>
      <c r="AL175" s="3"/>
      <c r="AM175" s="6">
        <f>(F175/100)*AM$41</f>
      </c>
      <c r="AN175" s="6">
        <f>(G175/100)*AN$41</f>
      </c>
      <c r="AO175" s="6">
        <f>(H175/1000000)*AO$41</f>
      </c>
      <c r="AP175" s="6">
        <f>(I175/100)*AP$41</f>
      </c>
      <c r="AQ175" s="6">
        <f>(J175/1000000)*AQ$41</f>
      </c>
      <c r="AR175" s="6">
        <f>(K175/100)*AR$41</f>
      </c>
      <c r="AS175" s="6">
        <f>(L175/100)*AS$41</f>
      </c>
      <c r="AT175" s="6">
        <f>(M175/100)*AT$41</f>
      </c>
      <c r="AU175" s="6">
        <f>(N175/100)*AU$41</f>
      </c>
      <c r="AV175" s="6">
        <f>(O175/1000000)*AV$41</f>
      </c>
      <c r="AW175" s="6">
        <f>(P175/100)*AW$41</f>
      </c>
      <c r="AX175" s="6">
        <f>(Q175/100)*AX$41</f>
      </c>
      <c r="AY175" s="6">
        <f>(R175/100)*AY$41</f>
      </c>
      <c r="AZ175" s="6">
        <f>(S175/100)*AZ$41</f>
      </c>
      <c r="BA175" s="6">
        <f>(T175/100)*BA$41</f>
      </c>
      <c r="BB175" s="6">
        <f>(U175/100)*BB$41</f>
      </c>
      <c r="BC175" s="6"/>
      <c r="BD175" s="3"/>
      <c r="BE175" s="3"/>
      <c r="BF175" s="7">
        <f>AF175*E175</f>
      </c>
      <c r="BG175" s="6"/>
      <c r="BH175" s="3"/>
      <c r="BI175" s="6"/>
    </row>
    <row x14ac:dyDescent="0.25" r="176" customHeight="1" ht="12.75">
      <c r="A176" s="5" t="s">
        <v>117</v>
      </c>
      <c r="B176" s="38" t="s">
        <v>859</v>
      </c>
      <c r="C176" s="43" t="s">
        <v>1014</v>
      </c>
      <c r="D176" s="34"/>
      <c r="E176" s="23">
        <v>0.043355</v>
      </c>
      <c r="F176" s="5">
        <v>6</v>
      </c>
      <c r="G176" s="5">
        <v>10</v>
      </c>
      <c r="H176" s="7"/>
      <c r="I176" s="6">
        <v>0.11998</v>
      </c>
      <c r="J176" s="6"/>
      <c r="K176" s="7"/>
      <c r="L176" s="6"/>
      <c r="M176" s="6"/>
      <c r="N176" s="23"/>
      <c r="O176" s="5"/>
      <c r="P176" s="6"/>
      <c r="Q176" s="6"/>
      <c r="R176" s="6"/>
      <c r="S176" s="6"/>
      <c r="T176" s="6"/>
      <c r="U176" s="6"/>
      <c r="V176" s="5"/>
      <c r="W176" s="6"/>
      <c r="X176" s="6">
        <f>E176*F176/100</f>
      </c>
      <c r="Y176" s="6">
        <f>E176*G176/100</f>
      </c>
      <c r="Z176" s="7">
        <f>E176*H176</f>
      </c>
      <c r="AA176" s="7">
        <f>E176*J176</f>
      </c>
      <c r="AB176" s="6">
        <f>E176*I176/100</f>
      </c>
      <c r="AC176" s="15">
        <f>X176+Y176+AB176</f>
      </c>
      <c r="AD176" s="6">
        <f>F176+G176+I176</f>
      </c>
      <c r="AE176" s="3"/>
      <c r="AF176" s="6">
        <f>SUM(AM176:BC176)</f>
      </c>
      <c r="AG176" s="5">
        <f>IF(SUM(AM176:AO176)&gt;0.7*AF176,1,0)</f>
      </c>
      <c r="AH176" s="5">
        <f>IF(AN176&gt;0.4*AF176,1,0)</f>
      </c>
      <c r="AI176" s="5">
        <f>IF(SUM(AP176:AQ176)&gt;0.3*AF176,1,0)</f>
      </c>
      <c r="AJ176" s="5">
        <f>IF(AQ176&gt;0.2*AF176,1,0)</f>
      </c>
      <c r="AK176" s="5">
        <f>IF(SUM(AR176:BC176)&gt;0.3*AF176,1,0)</f>
      </c>
      <c r="AL176" s="3"/>
      <c r="AM176" s="6">
        <f>(F176/100)*AM$41</f>
      </c>
      <c r="AN176" s="6">
        <f>(G176/100)*AN$41</f>
      </c>
      <c r="AO176" s="6">
        <f>(H176/1000000)*AO$41</f>
      </c>
      <c r="AP176" s="6">
        <f>(I176/100)*AP$41</f>
      </c>
      <c r="AQ176" s="6">
        <f>(J176/1000000)*AQ$41</f>
      </c>
      <c r="AR176" s="6">
        <f>(K176/100)*AR$41</f>
      </c>
      <c r="AS176" s="6">
        <f>(L176/100)*AS$41</f>
      </c>
      <c r="AT176" s="6">
        <f>(M176/100)*AT$41</f>
      </c>
      <c r="AU176" s="6">
        <f>(N176/100)*AU$41</f>
      </c>
      <c r="AV176" s="6">
        <f>(O176/1000000)*AV$41</f>
      </c>
      <c r="AW176" s="6">
        <f>(P176/100)*AW$41</f>
      </c>
      <c r="AX176" s="6">
        <f>(Q176/100)*AX$41</f>
      </c>
      <c r="AY176" s="6">
        <f>(R176/100)*AY$41</f>
      </c>
      <c r="AZ176" s="6">
        <f>(S176/100)*AZ$41</f>
      </c>
      <c r="BA176" s="6">
        <f>(T176/100)*BA$41</f>
      </c>
      <c r="BB176" s="6">
        <f>(U176/100)*BB$41</f>
      </c>
      <c r="BC176" s="6"/>
      <c r="BD176" s="3"/>
      <c r="BE176" s="3"/>
      <c r="BF176" s="7">
        <f>AF176*E176</f>
      </c>
      <c r="BG176" s="6"/>
      <c r="BH176" s="3"/>
      <c r="BI176" s="6"/>
    </row>
    <row x14ac:dyDescent="0.25" r="177" customHeight="1" ht="12.75">
      <c r="A177" s="5" t="s">
        <v>180</v>
      </c>
      <c r="B177" s="38" t="s">
        <v>859</v>
      </c>
      <c r="C177" s="43" t="s">
        <v>1014</v>
      </c>
      <c r="D177" s="34"/>
      <c r="E177" s="23">
        <v>0.113638</v>
      </c>
      <c r="F177" s="5">
        <v>5</v>
      </c>
      <c r="G177" s="7"/>
      <c r="H177" s="5">
        <v>600</v>
      </c>
      <c r="I177" s="6"/>
      <c r="J177" s="6"/>
      <c r="K177" s="7"/>
      <c r="L177" s="6"/>
      <c r="M177" s="6"/>
      <c r="N177" s="23"/>
      <c r="O177" s="5"/>
      <c r="P177" s="6"/>
      <c r="Q177" s="6"/>
      <c r="R177" s="6"/>
      <c r="S177" s="6"/>
      <c r="T177" s="6"/>
      <c r="U177" s="6"/>
      <c r="V177" s="5"/>
      <c r="W177" s="6"/>
      <c r="X177" s="6">
        <f>E177*F177/100</f>
      </c>
      <c r="Y177" s="6">
        <f>E177*G177/100</f>
      </c>
      <c r="Z177" s="7">
        <f>E177*H177</f>
      </c>
      <c r="AA177" s="7">
        <f>E177*J177</f>
      </c>
      <c r="AB177" s="6">
        <f>E177*I177/100</f>
      </c>
      <c r="AC177" s="15">
        <f>X177+Y177+AB177</f>
      </c>
      <c r="AD177" s="6">
        <f>F177+G177+I177</f>
      </c>
      <c r="AE177" s="3"/>
      <c r="AF177" s="6">
        <f>SUM(AM177:BC177)</f>
      </c>
      <c r="AG177" s="5">
        <f>IF(SUM(AM177:AO177)&gt;0.7*AF177,1,0)</f>
      </c>
      <c r="AH177" s="5">
        <f>IF(AN177&gt;0.4*AF177,1,0)</f>
      </c>
      <c r="AI177" s="5">
        <f>IF(SUM(AP177:AQ177)&gt;0.3*AF177,1,0)</f>
      </c>
      <c r="AJ177" s="5">
        <f>IF(AQ177&gt;0.2*AF177,1,0)</f>
      </c>
      <c r="AK177" s="5">
        <f>IF(SUM(AR177:BC177)&gt;0.3*AF177,1,0)</f>
      </c>
      <c r="AL177" s="3"/>
      <c r="AM177" s="6">
        <f>(F177/100)*AM$41</f>
      </c>
      <c r="AN177" s="6">
        <f>(G177/100)*AN$41</f>
      </c>
      <c r="AO177" s="6">
        <f>(H177/1000000)*AO$41</f>
      </c>
      <c r="AP177" s="6">
        <f>(I177/100)*AP$41</f>
      </c>
      <c r="AQ177" s="6">
        <f>(J177/1000000)*AQ$41</f>
      </c>
      <c r="AR177" s="6">
        <f>(K177/100)*AR$41</f>
      </c>
      <c r="AS177" s="6">
        <f>(L177/100)*AS$41</f>
      </c>
      <c r="AT177" s="6">
        <f>(M177/100)*AT$41</f>
      </c>
      <c r="AU177" s="6">
        <f>(N177/100)*AU$41</f>
      </c>
      <c r="AV177" s="6">
        <f>(O177/1000000)*AV$41</f>
      </c>
      <c r="AW177" s="6">
        <f>(P177/100)*AW$41</f>
      </c>
      <c r="AX177" s="6">
        <f>(Q177/100)*AX$41</f>
      </c>
      <c r="AY177" s="6">
        <f>(R177/100)*AY$41</f>
      </c>
      <c r="AZ177" s="6">
        <f>(S177/100)*AZ$41</f>
      </c>
      <c r="BA177" s="6">
        <f>(T177/100)*BA$41</f>
      </c>
      <c r="BB177" s="6">
        <f>(U177/100)*BB$41</f>
      </c>
      <c r="BC177" s="6"/>
      <c r="BD177" s="3"/>
      <c r="BE177" s="3"/>
      <c r="BF177" s="7">
        <f>AF177*E177</f>
      </c>
      <c r="BG177" s="6"/>
      <c r="BH177" s="3"/>
      <c r="BI177" s="6"/>
    </row>
    <row x14ac:dyDescent="0.25" r="178" customHeight="1" ht="12.75">
      <c r="A178" s="5" t="s">
        <v>31</v>
      </c>
      <c r="B178" s="38" t="s">
        <v>859</v>
      </c>
      <c r="C178" s="43" t="s">
        <v>1014</v>
      </c>
      <c r="D178" s="34"/>
      <c r="E178" s="23">
        <v>0.017935</v>
      </c>
      <c r="F178" s="6">
        <v>8.2</v>
      </c>
      <c r="G178" s="5">
        <v>8</v>
      </c>
      <c r="H178" s="5">
        <v>240</v>
      </c>
      <c r="I178" s="6"/>
      <c r="J178" s="6">
        <v>9.26</v>
      </c>
      <c r="K178" s="7"/>
      <c r="L178" s="6"/>
      <c r="M178" s="6"/>
      <c r="N178" s="23"/>
      <c r="O178" s="5"/>
      <c r="P178" s="6"/>
      <c r="Q178" s="6"/>
      <c r="R178" s="6"/>
      <c r="S178" s="6"/>
      <c r="T178" s="6"/>
      <c r="U178" s="6"/>
      <c r="V178" s="5"/>
      <c r="W178" s="6"/>
      <c r="X178" s="6">
        <f>E178*F178/100</f>
      </c>
      <c r="Y178" s="6">
        <f>E178*G178/100</f>
      </c>
      <c r="Z178" s="7">
        <f>E178*H178</f>
      </c>
      <c r="AA178" s="7">
        <f>E178*J178</f>
      </c>
      <c r="AB178" s="6">
        <f>E178*I178/100</f>
      </c>
      <c r="AC178" s="15">
        <f>X178+Y178+AB178</f>
      </c>
      <c r="AD178" s="6">
        <f>F178+G178+I178</f>
      </c>
      <c r="AE178" s="3"/>
      <c r="AF178" s="6">
        <f>SUM(AM178:BC178)</f>
      </c>
      <c r="AG178" s="5">
        <f>IF(SUM(AM178:AO178)&gt;0.7*AF178,1,0)</f>
      </c>
      <c r="AH178" s="5">
        <f>IF(AN178&gt;0.4*AF178,1,0)</f>
      </c>
      <c r="AI178" s="5">
        <f>IF(SUM(AP178:AQ178)&gt;0.3*AF178,1,0)</f>
      </c>
      <c r="AJ178" s="5">
        <f>IF(AQ178&gt;0.2*AF178,1,0)</f>
      </c>
      <c r="AK178" s="5">
        <f>IF(SUM(AR178:BC178)&gt;0.3*AF178,1,0)</f>
      </c>
      <c r="AL178" s="3"/>
      <c r="AM178" s="6">
        <f>(F178/100)*AM$41</f>
      </c>
      <c r="AN178" s="6">
        <f>(G178/100)*AN$41</f>
      </c>
      <c r="AO178" s="6">
        <f>(H178/1000000)*AO$41</f>
      </c>
      <c r="AP178" s="6">
        <f>(I178/100)*AP$41</f>
      </c>
      <c r="AQ178" s="6">
        <f>(J178/1000000)*AQ$41</f>
      </c>
      <c r="AR178" s="6">
        <f>(K178/100)*AR$41</f>
      </c>
      <c r="AS178" s="6">
        <f>(L178/100)*AS$41</f>
      </c>
      <c r="AT178" s="6">
        <f>(M178/100)*AT$41</f>
      </c>
      <c r="AU178" s="6">
        <f>(N178/100)*AU$41</f>
      </c>
      <c r="AV178" s="6">
        <f>(O178/1000000)*AV$41</f>
      </c>
      <c r="AW178" s="6">
        <f>(P178/100)*AW$41</f>
      </c>
      <c r="AX178" s="6">
        <f>(Q178/100)*AX$41</f>
      </c>
      <c r="AY178" s="6">
        <f>(R178/100)*AY$41</f>
      </c>
      <c r="AZ178" s="6">
        <f>(S178/100)*AZ$41</f>
      </c>
      <c r="BA178" s="6">
        <f>(T178/100)*BA$41</f>
      </c>
      <c r="BB178" s="6">
        <f>(U178/100)*BB$41</f>
      </c>
      <c r="BC178" s="6"/>
      <c r="BD178" s="3"/>
      <c r="BE178" s="3"/>
      <c r="BF178" s="7">
        <f>AF178*E178</f>
      </c>
      <c r="BG178" s="6"/>
      <c r="BH178" s="3"/>
      <c r="BI178" s="6"/>
    </row>
    <row x14ac:dyDescent="0.25" r="179" customHeight="1" ht="12.75">
      <c r="A179" s="5" t="s">
        <v>555</v>
      </c>
      <c r="B179" s="38" t="s">
        <v>859</v>
      </c>
      <c r="C179" s="43" t="s">
        <v>1014</v>
      </c>
      <c r="D179" s="34"/>
      <c r="E179" s="23">
        <v>0.070488</v>
      </c>
      <c r="F179" s="6">
        <v>2.1</v>
      </c>
      <c r="G179" s="6"/>
      <c r="H179" s="6">
        <v>342.8</v>
      </c>
      <c r="I179" s="6"/>
      <c r="J179" s="6"/>
      <c r="K179" s="7"/>
      <c r="L179" s="6"/>
      <c r="M179" s="6"/>
      <c r="N179" s="23"/>
      <c r="O179" s="5"/>
      <c r="P179" s="6"/>
      <c r="Q179" s="6"/>
      <c r="R179" s="6"/>
      <c r="S179" s="6"/>
      <c r="T179" s="6"/>
      <c r="U179" s="6"/>
      <c r="V179" s="5"/>
      <c r="W179" s="6"/>
      <c r="X179" s="6">
        <f>E179*F179/100</f>
      </c>
      <c r="Y179" s="6">
        <f>E179*G179/100</f>
      </c>
      <c r="Z179" s="7">
        <f>E179*H179</f>
      </c>
      <c r="AA179" s="7">
        <f>E179*J179</f>
      </c>
      <c r="AB179" s="6">
        <f>E179*I179/100</f>
      </c>
      <c r="AC179" s="15">
        <f>X179+Y179+AB179</f>
      </c>
      <c r="AD179" s="6">
        <f>F179+G179+I179</f>
      </c>
      <c r="AE179" s="3"/>
      <c r="AF179" s="6">
        <f>SUM(AM179:BC179)</f>
      </c>
      <c r="AG179" s="5">
        <f>IF(SUM(AM179:AO179)&gt;0.7*AF179,1,0)</f>
      </c>
      <c r="AH179" s="5">
        <f>IF(AN179&gt;0.4*AF179,1,0)</f>
      </c>
      <c r="AI179" s="5">
        <f>IF(SUM(AP179:AQ179)&gt;0.3*AF179,1,0)</f>
      </c>
      <c r="AJ179" s="5">
        <f>IF(AQ179&gt;0.2*AF179,1,0)</f>
      </c>
      <c r="AK179" s="5">
        <f>IF(SUM(AR179:BC179)&gt;0.3*AF179,1,0)</f>
      </c>
      <c r="AL179" s="3"/>
      <c r="AM179" s="6">
        <f>(F179/100)*AM$41</f>
      </c>
      <c r="AN179" s="6">
        <f>(G179/100)*AN$41</f>
      </c>
      <c r="AO179" s="6">
        <f>(H179/1000000)*AO$41</f>
      </c>
      <c r="AP179" s="6">
        <f>(I179/100)*AP$41</f>
      </c>
      <c r="AQ179" s="6">
        <f>(J179/1000000)*AQ$41</f>
      </c>
      <c r="AR179" s="6">
        <f>(K179/100)*AR$41</f>
      </c>
      <c r="AS179" s="6">
        <f>(L179/100)*AS$41</f>
      </c>
      <c r="AT179" s="6">
        <f>(M179/100)*AT$41</f>
      </c>
      <c r="AU179" s="6">
        <f>(N179/100)*AU$41</f>
      </c>
      <c r="AV179" s="6">
        <f>(O179/1000000)*AV$41</f>
      </c>
      <c r="AW179" s="6">
        <f>(P179/100)*AW$41</f>
      </c>
      <c r="AX179" s="6">
        <f>(Q179/100)*AX$41</f>
      </c>
      <c r="AY179" s="6">
        <f>(R179/100)*AY$41</f>
      </c>
      <c r="AZ179" s="6">
        <f>(S179/100)*AZ$41</f>
      </c>
      <c r="BA179" s="6">
        <f>(T179/100)*BA$41</f>
      </c>
      <c r="BB179" s="6">
        <f>(U179/100)*BB$41</f>
      </c>
      <c r="BC179" s="6"/>
      <c r="BD179" s="3"/>
      <c r="BE179" s="3"/>
      <c r="BF179" s="7">
        <f>AF179*E179</f>
      </c>
      <c r="BG179" s="6"/>
      <c r="BH179" s="3"/>
      <c r="BI179" s="6"/>
    </row>
    <row x14ac:dyDescent="0.25" r="180" customHeight="1" ht="12.75">
      <c r="A180" s="5" t="s">
        <v>357</v>
      </c>
      <c r="B180" s="38" t="s">
        <v>859</v>
      </c>
      <c r="C180" s="43" t="s">
        <v>946</v>
      </c>
      <c r="D180" s="34"/>
      <c r="E180" s="23">
        <v>0.874412</v>
      </c>
      <c r="F180" s="6">
        <v>3.31</v>
      </c>
      <c r="G180" s="6">
        <v>3.63</v>
      </c>
      <c r="H180" s="5">
        <v>209</v>
      </c>
      <c r="I180" s="6"/>
      <c r="J180" s="6">
        <v>1.3</v>
      </c>
      <c r="K180" s="7"/>
      <c r="L180" s="6"/>
      <c r="M180" s="6"/>
      <c r="N180" s="23"/>
      <c r="O180" s="5"/>
      <c r="P180" s="6"/>
      <c r="Q180" s="6"/>
      <c r="R180" s="6"/>
      <c r="S180" s="6"/>
      <c r="T180" s="6"/>
      <c r="U180" s="6"/>
      <c r="V180" s="5"/>
      <c r="W180" s="6"/>
      <c r="X180" s="6">
        <f>E180*F180/100</f>
      </c>
      <c r="Y180" s="6">
        <f>E180*G180/100</f>
      </c>
      <c r="Z180" s="7">
        <f>E180*H180</f>
      </c>
      <c r="AA180" s="7">
        <f>E180*J180</f>
      </c>
      <c r="AB180" s="6">
        <f>E180*I180/100</f>
      </c>
      <c r="AC180" s="15">
        <f>X180+Y180+AB180</f>
      </c>
      <c r="AD180" s="6">
        <f>F180+G180+I180</f>
      </c>
      <c r="AE180" s="3"/>
      <c r="AF180" s="6">
        <f>SUM(AM180:BC180)</f>
      </c>
      <c r="AG180" s="5">
        <f>IF(SUM(AM180:AO180)&gt;0.7*AF180,1,0)</f>
      </c>
      <c r="AH180" s="5">
        <f>IF(AN180&gt;0.4*AF180,1,0)</f>
      </c>
      <c r="AI180" s="5">
        <f>IF(SUM(AP180:AQ180)&gt;0.3*AF180,1,0)</f>
      </c>
      <c r="AJ180" s="5">
        <f>IF(AQ180&gt;0.2*AF180,1,0)</f>
      </c>
      <c r="AK180" s="5">
        <f>IF(SUM(AR180:BC180)&gt;0.3*AF180,1,0)</f>
      </c>
      <c r="AL180" s="3"/>
      <c r="AM180" s="6">
        <f>(F180/100)*AM$41</f>
      </c>
      <c r="AN180" s="6">
        <f>(G180/100)*AN$41</f>
      </c>
      <c r="AO180" s="6">
        <f>(H180/1000000)*AO$41</f>
      </c>
      <c r="AP180" s="6">
        <f>(I180/100)*AP$41</f>
      </c>
      <c r="AQ180" s="6">
        <f>(J180/1000000)*AQ$41</f>
      </c>
      <c r="AR180" s="6">
        <f>(K180/100)*AR$41</f>
      </c>
      <c r="AS180" s="6">
        <f>(L180/100)*AS$41</f>
      </c>
      <c r="AT180" s="6">
        <f>(M180/100)*AT$41</f>
      </c>
      <c r="AU180" s="6">
        <f>(N180/100)*AU$41</f>
      </c>
      <c r="AV180" s="6">
        <f>(O180/1000000)*AV$41</f>
      </c>
      <c r="AW180" s="6">
        <f>(P180/100)*AW$41</f>
      </c>
      <c r="AX180" s="6">
        <f>(Q180/100)*AX$41</f>
      </c>
      <c r="AY180" s="6">
        <f>(R180/100)*AY$41</f>
      </c>
      <c r="AZ180" s="6">
        <f>(S180/100)*AZ$41</f>
      </c>
      <c r="BA180" s="6">
        <f>(T180/100)*BA$41</f>
      </c>
      <c r="BB180" s="6">
        <f>(U180/100)*BB$41</f>
      </c>
      <c r="BC180" s="6"/>
      <c r="BD180" s="3"/>
      <c r="BE180" s="3"/>
      <c r="BF180" s="7">
        <f>AF180*E180</f>
      </c>
      <c r="BG180" s="6"/>
      <c r="BH180" s="3"/>
      <c r="BI180" s="6"/>
    </row>
    <row x14ac:dyDescent="0.25" r="181" customHeight="1" ht="12.75">
      <c r="A181" s="5" t="s">
        <v>846</v>
      </c>
      <c r="B181" s="3" t="s">
        <v>855</v>
      </c>
      <c r="C181" s="43" t="s">
        <v>956</v>
      </c>
      <c r="D181" s="34" t="s">
        <v>957</v>
      </c>
      <c r="E181" s="6">
        <v>3.499</v>
      </c>
      <c r="F181" s="6"/>
      <c r="G181" s="6">
        <v>0.29</v>
      </c>
      <c r="H181" s="7"/>
      <c r="I181" s="6">
        <v>0.45</v>
      </c>
      <c r="J181" s="6"/>
      <c r="K181" s="7"/>
      <c r="L181" s="6"/>
      <c r="M181" s="6"/>
      <c r="N181" s="6">
        <v>0.33</v>
      </c>
      <c r="O181" s="5"/>
      <c r="P181" s="6"/>
      <c r="Q181" s="6"/>
      <c r="R181" s="6"/>
      <c r="S181" s="6"/>
      <c r="T181" s="6"/>
      <c r="U181" s="6"/>
      <c r="V181" s="5"/>
      <c r="W181" s="6"/>
      <c r="X181" s="6">
        <f>E181*F181/100</f>
      </c>
      <c r="Y181" s="6">
        <f>E181*G181/100</f>
      </c>
      <c r="Z181" s="7">
        <f>E181*H181</f>
      </c>
      <c r="AA181" s="7">
        <f>E181*J181</f>
      </c>
      <c r="AB181" s="6">
        <f>E181*I181/100</f>
      </c>
      <c r="AC181" s="15">
        <f>X181+Y181+AB181</f>
      </c>
      <c r="AD181" s="6">
        <f>F181+G181+I181</f>
      </c>
      <c r="AE181" s="3"/>
      <c r="AF181" s="6">
        <f>SUM(AM181:BC181)</f>
      </c>
      <c r="AG181" s="5">
        <f>IF(SUM(AM181:AO181)&gt;0.7*AF181,1,0)</f>
      </c>
      <c r="AH181" s="5">
        <f>IF(AN181&gt;0.4*AF181,1,0)</f>
      </c>
      <c r="AI181" s="5">
        <f>IF(SUM(AP181:AQ181)&gt;0.3*AF181,1,0)</f>
      </c>
      <c r="AJ181" s="5">
        <f>IF(AQ181&gt;0.2*AF181,1,0)</f>
      </c>
      <c r="AK181" s="5">
        <f>IF(SUM(AR181:BC181)&gt;0.3*AF181,1,0)</f>
      </c>
      <c r="AL181" s="3"/>
      <c r="AM181" s="6">
        <f>(F181/100)*AM$41</f>
      </c>
      <c r="AN181" s="6">
        <f>(G181/100)*AN$41</f>
      </c>
      <c r="AO181" s="6">
        <f>(H181/1000000)*AO$41</f>
      </c>
      <c r="AP181" s="6">
        <f>(I181/100)*AP$41</f>
      </c>
      <c r="AQ181" s="6">
        <f>(J181/1000000)*AQ$41</f>
      </c>
      <c r="AR181" s="6">
        <f>(K181/100)*AR$41</f>
      </c>
      <c r="AS181" s="6">
        <f>(L181/100)*AS$41</f>
      </c>
      <c r="AT181" s="6">
        <f>(M181/100)*AT$41</f>
      </c>
      <c r="AU181" s="6">
        <f>(N181/100)*AU$41</f>
      </c>
      <c r="AV181" s="6">
        <f>(O181/1000000)*AV$41</f>
      </c>
      <c r="AW181" s="6">
        <f>(P181/100)*AW$41</f>
      </c>
      <c r="AX181" s="6">
        <f>(Q181/100)*AX$41</f>
      </c>
      <c r="AY181" s="6">
        <f>(R181/100)*AY$41</f>
      </c>
      <c r="AZ181" s="6">
        <f>(S181/100)*AZ$41</f>
      </c>
      <c r="BA181" s="6">
        <f>(T181/100)*BA$41</f>
      </c>
      <c r="BB181" s="6">
        <f>(U181/100)*BB$41</f>
      </c>
      <c r="BC181" s="6"/>
      <c r="BD181" s="3"/>
      <c r="BE181" s="3"/>
      <c r="BF181" s="7">
        <f>AF181*E181</f>
      </c>
      <c r="BG181" s="6"/>
      <c r="BH181" s="3"/>
      <c r="BI181" s="6"/>
    </row>
    <row x14ac:dyDescent="0.25" r="182" customHeight="1" ht="12.75">
      <c r="A182" s="5" t="s">
        <v>10</v>
      </c>
      <c r="B182" s="3" t="s">
        <v>855</v>
      </c>
      <c r="C182" s="43" t="s">
        <v>958</v>
      </c>
      <c r="D182" s="34" t="s">
        <v>959</v>
      </c>
      <c r="E182" s="5">
        <v>956</v>
      </c>
      <c r="F182" s="6"/>
      <c r="G182" s="23">
        <v>0.2351</v>
      </c>
      <c r="H182" s="7"/>
      <c r="I182" s="6"/>
      <c r="J182" s="6"/>
      <c r="K182" s="7"/>
      <c r="L182" s="6"/>
      <c r="M182" s="6"/>
      <c r="N182" s="23"/>
      <c r="O182" s="5"/>
      <c r="P182" s="6"/>
      <c r="Q182" s="6"/>
      <c r="R182" s="6"/>
      <c r="S182" s="6">
        <v>0.0273</v>
      </c>
      <c r="T182" s="6"/>
      <c r="U182" s="6"/>
      <c r="V182" s="6">
        <v>1.08</v>
      </c>
      <c r="W182" s="6" t="s">
        <v>960</v>
      </c>
      <c r="X182" s="6">
        <f>E182*F182/100</f>
      </c>
      <c r="Y182" s="6">
        <f>E182*G182/100</f>
      </c>
      <c r="Z182" s="7">
        <f>E182*H182</f>
      </c>
      <c r="AA182" s="7">
        <f>E182*J182</f>
      </c>
      <c r="AB182" s="6">
        <f>E182*I182/100</f>
      </c>
      <c r="AC182" s="15">
        <f>X182+Y182+AB182</f>
      </c>
      <c r="AD182" s="6">
        <f>F182+G182+I182</f>
      </c>
      <c r="AE182" s="3"/>
      <c r="AF182" s="6">
        <f>SUM(AM182:BC182)</f>
      </c>
      <c r="AG182" s="5">
        <f>IF(SUM(AM182:AO182)&gt;0.7*AF182,1,0)</f>
      </c>
      <c r="AH182" s="5">
        <f>IF(AN182&gt;0.4*AF182,1,0)</f>
      </c>
      <c r="AI182" s="5">
        <f>IF(SUM(AP182:AQ182)&gt;0.3*AF182,1,0)</f>
      </c>
      <c r="AJ182" s="5">
        <f>IF(AQ182&gt;0.2*AF182,1,0)</f>
      </c>
      <c r="AK182" s="5">
        <f>IF(SUM(AR182:BC182)&gt;0.3*AF182,1,0)</f>
      </c>
      <c r="AL182" s="3"/>
      <c r="AM182" s="6">
        <f>(F182/100)*AM$41</f>
      </c>
      <c r="AN182" s="6">
        <f>(G182/100)*AN$41</f>
      </c>
      <c r="AO182" s="6">
        <f>(H182/1000000)*AO$41</f>
      </c>
      <c r="AP182" s="6">
        <f>(I182/100)*AP$41</f>
      </c>
      <c r="AQ182" s="6">
        <f>(J182/1000000)*AQ$41</f>
      </c>
      <c r="AR182" s="6">
        <f>(K182/100)*AR$41</f>
      </c>
      <c r="AS182" s="6">
        <f>(L182/100)*AS$41</f>
      </c>
      <c r="AT182" s="6">
        <f>(M182/100)*AT$41</f>
      </c>
      <c r="AU182" s="6">
        <f>(N182/100)*AU$41</f>
      </c>
      <c r="AV182" s="6">
        <f>(O182/1000000)*AV$41</f>
      </c>
      <c r="AW182" s="6">
        <f>(P182/100)*AW$41</f>
      </c>
      <c r="AX182" s="6">
        <f>(Q182/100)*AX$41</f>
      </c>
      <c r="AY182" s="6">
        <f>(R182/100)*AY$41</f>
      </c>
      <c r="AZ182" s="6">
        <f>(S182/100)*AZ$41</f>
      </c>
      <c r="BA182" s="6">
        <f>(T182/100)*BA$41</f>
      </c>
      <c r="BB182" s="6">
        <f>(U182/100)*BB$41</f>
      </c>
      <c r="BC182" s="6">
        <f>(V182/100)*20000</f>
      </c>
      <c r="BD182" s="3" t="s">
        <v>961</v>
      </c>
      <c r="BE182" s="3"/>
      <c r="BF182" s="7">
        <f>AF182*E182</f>
      </c>
      <c r="BG182" s="6"/>
      <c r="BH182" s="3"/>
      <c r="BI182" s="6"/>
    </row>
    <row x14ac:dyDescent="0.25" r="183" customHeight="1" ht="12.75">
      <c r="A183" s="5" t="s">
        <v>668</v>
      </c>
      <c r="B183" s="3" t="s">
        <v>855</v>
      </c>
      <c r="C183" s="43" t="s">
        <v>962</v>
      </c>
      <c r="D183" s="34" t="s">
        <v>963</v>
      </c>
      <c r="E183" s="6">
        <v>12.2</v>
      </c>
      <c r="F183" s="6">
        <v>0.56</v>
      </c>
      <c r="G183" s="6"/>
      <c r="H183" s="7"/>
      <c r="I183" s="6">
        <v>0.49</v>
      </c>
      <c r="J183" s="6"/>
      <c r="K183" s="7"/>
      <c r="L183" s="6">
        <v>0.14</v>
      </c>
      <c r="M183" s="6">
        <v>0.14</v>
      </c>
      <c r="N183" s="23"/>
      <c r="O183" s="5"/>
      <c r="P183" s="6"/>
      <c r="Q183" s="6"/>
      <c r="R183" s="6"/>
      <c r="S183" s="6"/>
      <c r="T183" s="6"/>
      <c r="U183" s="6"/>
      <c r="V183" s="5"/>
      <c r="W183" s="6"/>
      <c r="X183" s="6">
        <f>E183*F183/100</f>
      </c>
      <c r="Y183" s="6">
        <f>E183*G183/100</f>
      </c>
      <c r="Z183" s="7">
        <f>E183*H183</f>
      </c>
      <c r="AA183" s="7">
        <f>E183*J183</f>
      </c>
      <c r="AB183" s="6">
        <f>E183*I183/100</f>
      </c>
      <c r="AC183" s="15">
        <f>X183+Y183+AB183</f>
      </c>
      <c r="AD183" s="6">
        <f>F183+G183+I183</f>
      </c>
      <c r="AE183" s="3"/>
      <c r="AF183" s="6">
        <f>SUM(AM183:BC183)</f>
      </c>
      <c r="AG183" s="5">
        <f>IF(SUM(AM183:AO183)&gt;0.7*AF183,1,0)</f>
      </c>
      <c r="AH183" s="5">
        <f>IF(AN183&gt;0.4*AF183,1,0)</f>
      </c>
      <c r="AI183" s="5">
        <f>IF(SUM(AP183:AQ183)&gt;0.3*AF183,1,0)</f>
      </c>
      <c r="AJ183" s="5">
        <f>IF(AQ183&gt;0.2*AF183,1,0)</f>
      </c>
      <c r="AK183" s="5">
        <f>IF(SUM(AR183:BC183)&gt;0.3*AF183,1,0)</f>
      </c>
      <c r="AL183" s="3"/>
      <c r="AM183" s="6">
        <f>(F183/100)*AM$41</f>
      </c>
      <c r="AN183" s="6">
        <f>(G183/100)*AN$41</f>
      </c>
      <c r="AO183" s="6">
        <f>(H183/1000000)*AO$41</f>
      </c>
      <c r="AP183" s="6">
        <f>(I183/100)*AP$41</f>
      </c>
      <c r="AQ183" s="6">
        <f>(J183/1000000)*AQ$41</f>
      </c>
      <c r="AR183" s="6">
        <f>(K183/100)*AR$41</f>
      </c>
      <c r="AS183" s="6">
        <f>(L183/100)*AS$41</f>
      </c>
      <c r="AT183" s="6">
        <f>(M183/100)*AT$41</f>
      </c>
      <c r="AU183" s="6">
        <f>(N183/100)*AU$41</f>
      </c>
      <c r="AV183" s="6">
        <f>(O183/1000000)*AV$41</f>
      </c>
      <c r="AW183" s="6">
        <f>(P183/100)*AW$41</f>
      </c>
      <c r="AX183" s="6">
        <f>(Q183/100)*AX$41</f>
      </c>
      <c r="AY183" s="6">
        <f>(R183/100)*AY$41</f>
      </c>
      <c r="AZ183" s="6">
        <f>(S183/100)*AZ$41</f>
      </c>
      <c r="BA183" s="6">
        <f>(T183/100)*BA$41</f>
      </c>
      <c r="BB183" s="6">
        <f>(U183/100)*BB$41</f>
      </c>
      <c r="BC183" s="6"/>
      <c r="BD183" s="3"/>
      <c r="BE183" s="3"/>
      <c r="BF183" s="7">
        <f>AF183*E183</f>
      </c>
      <c r="BG183" s="6"/>
      <c r="BH183" s="3"/>
      <c r="BI183" s="6"/>
    </row>
    <row x14ac:dyDescent="0.25" r="184" customHeight="1" ht="12.75">
      <c r="A184" s="5" t="s">
        <v>514</v>
      </c>
      <c r="B184" s="38" t="s">
        <v>859</v>
      </c>
      <c r="C184" s="43" t="s">
        <v>964</v>
      </c>
      <c r="D184" s="34"/>
      <c r="E184" s="23">
        <v>0.139371</v>
      </c>
      <c r="F184" s="6">
        <v>3.7</v>
      </c>
      <c r="G184" s="6"/>
      <c r="H184" s="5">
        <v>316</v>
      </c>
      <c r="I184" s="6"/>
      <c r="J184" s="6"/>
      <c r="K184" s="7"/>
      <c r="L184" s="6"/>
      <c r="M184" s="6"/>
      <c r="N184" s="23"/>
      <c r="O184" s="5"/>
      <c r="P184" s="6"/>
      <c r="Q184" s="6"/>
      <c r="R184" s="6"/>
      <c r="S184" s="6"/>
      <c r="T184" s="6"/>
      <c r="U184" s="6"/>
      <c r="V184" s="5"/>
      <c r="W184" s="6"/>
      <c r="X184" s="6">
        <f>E184*F184/100</f>
      </c>
      <c r="Y184" s="6">
        <f>E184*G184/100</f>
      </c>
      <c r="Z184" s="7">
        <f>E184*H184</f>
      </c>
      <c r="AA184" s="7">
        <f>E184*J184</f>
      </c>
      <c r="AB184" s="6">
        <f>E184*I184/100</f>
      </c>
      <c r="AC184" s="15">
        <f>X184+Y184+AB184</f>
      </c>
      <c r="AD184" s="6">
        <f>F184+G184+I184</f>
      </c>
      <c r="AE184" s="3"/>
      <c r="AF184" s="6">
        <f>SUM(AM184:BC184)</f>
      </c>
      <c r="AG184" s="5">
        <f>IF(SUM(AM184:AO184)&gt;0.7*AF184,1,0)</f>
      </c>
      <c r="AH184" s="5">
        <f>IF(AN184&gt;0.4*AF184,1,0)</f>
      </c>
      <c r="AI184" s="5">
        <f>IF(SUM(AP184:AQ184)&gt;0.3*AF184,1,0)</f>
      </c>
      <c r="AJ184" s="5">
        <f>IF(AQ184&gt;0.2*AF184,1,0)</f>
      </c>
      <c r="AK184" s="5">
        <f>IF(SUM(AR184:BC184)&gt;0.3*AF184,1,0)</f>
      </c>
      <c r="AL184" s="3"/>
      <c r="AM184" s="6">
        <f>(F184/100)*AM$41</f>
      </c>
      <c r="AN184" s="6">
        <f>(G184/100)*AN$41</f>
      </c>
      <c r="AO184" s="6">
        <f>(H184/1000000)*AO$41</f>
      </c>
      <c r="AP184" s="6">
        <f>(I184/100)*AP$41</f>
      </c>
      <c r="AQ184" s="6">
        <f>(J184/1000000)*AQ$41</f>
      </c>
      <c r="AR184" s="6">
        <f>(K184/100)*AR$41</f>
      </c>
      <c r="AS184" s="6">
        <f>(L184/100)*AS$41</f>
      </c>
      <c r="AT184" s="6">
        <f>(M184/100)*AT$41</f>
      </c>
      <c r="AU184" s="6">
        <f>(N184/100)*AU$41</f>
      </c>
      <c r="AV184" s="6">
        <f>(O184/1000000)*AV$41</f>
      </c>
      <c r="AW184" s="6">
        <f>(P184/100)*AW$41</f>
      </c>
      <c r="AX184" s="6">
        <f>(Q184/100)*AX$41</f>
      </c>
      <c r="AY184" s="6">
        <f>(R184/100)*AY$41</f>
      </c>
      <c r="AZ184" s="6">
        <f>(S184/100)*AZ$41</f>
      </c>
      <c r="BA184" s="6">
        <f>(T184/100)*BA$41</f>
      </c>
      <c r="BB184" s="6">
        <f>(U184/100)*BB$41</f>
      </c>
      <c r="BC184" s="6"/>
      <c r="BD184" s="3"/>
      <c r="BE184" s="3"/>
      <c r="BF184" s="7">
        <f>AF184*E184</f>
      </c>
      <c r="BG184" s="6"/>
      <c r="BH184" s="3"/>
      <c r="BI184" s="6"/>
    </row>
    <row x14ac:dyDescent="0.25" r="185" customHeight="1" ht="12.75">
      <c r="A185" s="5" t="s">
        <v>235</v>
      </c>
      <c r="B185" s="3" t="s">
        <v>855</v>
      </c>
      <c r="C185" s="43" t="s">
        <v>861</v>
      </c>
      <c r="D185" s="34"/>
      <c r="E185" s="6">
        <v>144.3</v>
      </c>
      <c r="F185" s="6">
        <v>0.05328482328482328</v>
      </c>
      <c r="G185" s="6">
        <v>0.30187803187803186</v>
      </c>
      <c r="H185" s="7">
        <v>5.903811503811504</v>
      </c>
      <c r="I185" s="6">
        <v>0.5234095634095635</v>
      </c>
      <c r="J185" s="6">
        <v>0.0971032571032571</v>
      </c>
      <c r="K185" s="7"/>
      <c r="L185" s="6"/>
      <c r="M185" s="15">
        <v>0.00795128205128205</v>
      </c>
      <c r="N185" s="23"/>
      <c r="O185" s="5"/>
      <c r="P185" s="23">
        <v>0.006632016632016632</v>
      </c>
      <c r="Q185" s="6"/>
      <c r="R185" s="6"/>
      <c r="S185" s="6"/>
      <c r="T185" s="6"/>
      <c r="U185" s="6"/>
      <c r="V185" s="6">
        <v>0.03291753291753292</v>
      </c>
      <c r="W185" s="6" t="s">
        <v>965</v>
      </c>
      <c r="X185" s="6">
        <f>E185*F185/100</f>
      </c>
      <c r="Y185" s="6">
        <f>E185*G185/100</f>
      </c>
      <c r="Z185" s="7">
        <f>E185*H185</f>
      </c>
      <c r="AA185" s="7">
        <f>E185*J185</f>
      </c>
      <c r="AB185" s="6">
        <f>E185*I185/100</f>
      </c>
      <c r="AC185" s="15">
        <f>X185+Y185+AB185</f>
      </c>
      <c r="AD185" s="6">
        <f>F185+G185+I185</f>
      </c>
      <c r="AE185" s="3"/>
      <c r="AF185" s="6">
        <f>SUM(AM185:BC185)</f>
      </c>
      <c r="AG185" s="5">
        <f>IF(SUM(AM185:AO185)&gt;0.7*AF185,1,0)</f>
      </c>
      <c r="AH185" s="5">
        <f>IF(AN185&gt;0.4*AF185,1,0)</f>
      </c>
      <c r="AI185" s="5">
        <f>IF(SUM(AP185:AQ185)&gt;0.3*AF185,1,0)</f>
      </c>
      <c r="AJ185" s="5">
        <f>IF(AQ185&gt;0.2*AF185,1,0)</f>
      </c>
      <c r="AK185" s="5">
        <f>IF(SUM(AR185:BC185)&gt;0.3*AF185,1,0)</f>
      </c>
      <c r="AL185" s="3"/>
      <c r="AM185" s="6">
        <f>(F185/100)*AM$41</f>
      </c>
      <c r="AN185" s="6">
        <f>(G185/100)*AN$41</f>
      </c>
      <c r="AO185" s="6">
        <f>(H185/1000000)*AO$41</f>
      </c>
      <c r="AP185" s="6">
        <f>(I185/100)*AP$41</f>
      </c>
      <c r="AQ185" s="6">
        <f>(J185/1000000)*AQ$41</f>
      </c>
      <c r="AR185" s="6">
        <f>(K185/100)*AR$41</f>
      </c>
      <c r="AS185" s="6">
        <f>(L185/100)*AS$41</f>
      </c>
      <c r="AT185" s="6">
        <f>(M185/100)*AT$41</f>
      </c>
      <c r="AU185" s="6">
        <f>(N185/100)*AU$41</f>
      </c>
      <c r="AV185" s="6">
        <f>(O185/1000000)*AV$41</f>
      </c>
      <c r="AW185" s="6">
        <f>(P185/100)*AW$41</f>
      </c>
      <c r="AX185" s="6">
        <f>(Q185/100)*AX$41</f>
      </c>
      <c r="AY185" s="6">
        <f>(R185/100)*AY$41</f>
      </c>
      <c r="AZ185" s="6">
        <f>(S185/100)*AZ$41</f>
      </c>
      <c r="BA185" s="6">
        <f>(T185/100)*BA$41</f>
      </c>
      <c r="BB185" s="6">
        <f>(U185/100)*BB$41</f>
      </c>
      <c r="BC185" s="6">
        <f>(V185/1000000)*3000000</f>
      </c>
      <c r="BD185" s="3" t="s">
        <v>966</v>
      </c>
      <c r="BE185" s="3"/>
      <c r="BF185" s="7">
        <f>AF185*E185</f>
      </c>
      <c r="BG185" s="6"/>
      <c r="BH185" s="3"/>
      <c r="BI185" s="6"/>
    </row>
    <row x14ac:dyDescent="0.25" r="186" customHeight="1" ht="12.75">
      <c r="A186" s="5" t="s">
        <v>620</v>
      </c>
      <c r="B186" s="3" t="s">
        <v>855</v>
      </c>
      <c r="C186" s="43" t="s">
        <v>861</v>
      </c>
      <c r="D186" s="34"/>
      <c r="E186" s="6">
        <v>34.4</v>
      </c>
      <c r="F186" s="6"/>
      <c r="G186" s="6">
        <v>0.38</v>
      </c>
      <c r="H186" s="7"/>
      <c r="I186" s="6">
        <v>0.1</v>
      </c>
      <c r="J186" s="6"/>
      <c r="K186" s="7"/>
      <c r="L186" s="6">
        <v>0.19</v>
      </c>
      <c r="M186" s="6"/>
      <c r="N186" s="23"/>
      <c r="O186" s="5"/>
      <c r="P186" s="6"/>
      <c r="Q186" s="6"/>
      <c r="R186" s="6"/>
      <c r="S186" s="6"/>
      <c r="T186" s="6"/>
      <c r="U186" s="6"/>
      <c r="V186" s="5"/>
      <c r="W186" s="6"/>
      <c r="X186" s="6">
        <f>E186*F186/100</f>
      </c>
      <c r="Y186" s="6">
        <f>E186*G186/100</f>
      </c>
      <c r="Z186" s="7">
        <f>E186*H186</f>
      </c>
      <c r="AA186" s="7">
        <f>E186*J186</f>
      </c>
      <c r="AB186" s="6">
        <f>E186*I186/100</f>
      </c>
      <c r="AC186" s="15">
        <f>X186+Y186+AB186</f>
      </c>
      <c r="AD186" s="6">
        <f>F186+G186+I186</f>
      </c>
      <c r="AE186" s="3"/>
      <c r="AF186" s="6">
        <f>SUM(AM186:BC186)</f>
      </c>
      <c r="AG186" s="5">
        <f>IF(SUM(AM186:AO186)&gt;0.7*AF186,1,0)</f>
      </c>
      <c r="AH186" s="5">
        <f>IF(AN186&gt;0.4*AF186,1,0)</f>
      </c>
      <c r="AI186" s="5">
        <f>IF(SUM(AP186:AQ186)&gt;0.3*AF186,1,0)</f>
      </c>
      <c r="AJ186" s="5">
        <f>IF(AQ186&gt;0.2*AF186,1,0)</f>
      </c>
      <c r="AK186" s="5">
        <f>IF(SUM(AR186:BC186)&gt;0.3*AF186,1,0)</f>
      </c>
      <c r="AL186" s="3"/>
      <c r="AM186" s="6">
        <f>(F186/100)*AM$41</f>
      </c>
      <c r="AN186" s="6">
        <f>(G186/100)*AN$41</f>
      </c>
      <c r="AO186" s="6">
        <f>(H186/1000000)*AO$41</f>
      </c>
      <c r="AP186" s="6">
        <f>(I186/100)*AP$41</f>
      </c>
      <c r="AQ186" s="6">
        <f>(J186/1000000)*AQ$41</f>
      </c>
      <c r="AR186" s="6">
        <f>(K186/100)*AR$41</f>
      </c>
      <c r="AS186" s="6">
        <f>(L186/100)*AS$41</f>
      </c>
      <c r="AT186" s="6">
        <f>(M186/100)*AT$41</f>
      </c>
      <c r="AU186" s="6">
        <f>(N186/100)*AU$41</f>
      </c>
      <c r="AV186" s="6">
        <f>(O186/1000000)*AV$41</f>
      </c>
      <c r="AW186" s="6">
        <f>(P186/100)*AW$41</f>
      </c>
      <c r="AX186" s="6">
        <f>(Q186/100)*AX$41</f>
      </c>
      <c r="AY186" s="6">
        <f>(R186/100)*AY$41</f>
      </c>
      <c r="AZ186" s="6">
        <f>(S186/100)*AZ$41</f>
      </c>
      <c r="BA186" s="6">
        <f>(T186/100)*BA$41</f>
      </c>
      <c r="BB186" s="6">
        <f>(U186/100)*BB$41</f>
      </c>
      <c r="BC186" s="6"/>
      <c r="BD186" s="3"/>
      <c r="BE186" s="3"/>
      <c r="BF186" s="7">
        <f>AF186*E186</f>
      </c>
      <c r="BG186" s="6"/>
      <c r="BH186" s="3"/>
      <c r="BI186" s="6"/>
    </row>
    <row x14ac:dyDescent="0.25" r="187" customHeight="1" ht="12.75">
      <c r="A187" s="5" t="s">
        <v>1074</v>
      </c>
      <c r="B187" s="3" t="s">
        <v>855</v>
      </c>
      <c r="C187" s="43" t="s">
        <v>861</v>
      </c>
      <c r="D187" s="34"/>
      <c r="E187" s="23">
        <v>8.269128</v>
      </c>
      <c r="F187" s="6">
        <v>0.35</v>
      </c>
      <c r="G187" s="6">
        <v>0.02</v>
      </c>
      <c r="H187" s="31">
        <v>836.4638447971781</v>
      </c>
      <c r="I187" s="6">
        <v>0.26</v>
      </c>
      <c r="J187" s="6"/>
      <c r="K187" s="7"/>
      <c r="L187" s="6"/>
      <c r="M187" s="6"/>
      <c r="N187" s="23"/>
      <c r="O187" s="5"/>
      <c r="P187" s="6"/>
      <c r="Q187" s="6"/>
      <c r="R187" s="6"/>
      <c r="S187" s="6"/>
      <c r="T187" s="6"/>
      <c r="U187" s="6"/>
      <c r="V187" s="5"/>
      <c r="W187" s="6"/>
      <c r="X187" s="6">
        <f>E187*F187/100</f>
      </c>
      <c r="Y187" s="6">
        <f>E187*G187/100</f>
      </c>
      <c r="Z187" s="7">
        <f>E187*H187</f>
      </c>
      <c r="AA187" s="7">
        <f>E187*J187</f>
      </c>
      <c r="AB187" s="6">
        <f>E187*I187/100</f>
      </c>
      <c r="AC187" s="15">
        <f>X187+Y187+AB187</f>
      </c>
      <c r="AD187" s="6">
        <f>F187+G187+I187</f>
      </c>
      <c r="AE187" s="3"/>
      <c r="AF187" s="6">
        <f>SUM(AM187:BC187)</f>
      </c>
      <c r="AG187" s="5">
        <f>IF(SUM(AM187:AO187)&gt;0.7*AF187,1,0)</f>
      </c>
      <c r="AH187" s="5">
        <f>IF(AN187&gt;0.4*AF187,1,0)</f>
      </c>
      <c r="AI187" s="5">
        <f>IF(SUM(AP187:AQ187)&gt;0.3*AF187,1,0)</f>
      </c>
      <c r="AJ187" s="5">
        <f>IF(AQ187&gt;0.2*AF187,1,0)</f>
      </c>
      <c r="AK187" s="5">
        <f>IF(SUM(AR187:BC187)&gt;0.3*AF187,1,0)</f>
      </c>
      <c r="AL187" s="3"/>
      <c r="AM187" s="6">
        <f>(F187/100)*AM$41</f>
      </c>
      <c r="AN187" s="6">
        <f>(G187/100)*AN$41</f>
      </c>
      <c r="AO187" s="6">
        <f>(H187/1000000)*AO$41</f>
      </c>
      <c r="AP187" s="6">
        <f>(I187/100)*AP$41</f>
      </c>
      <c r="AQ187" s="6">
        <f>(J187/1000000)*AQ$41</f>
      </c>
      <c r="AR187" s="6">
        <f>(K187/100)*AR$41</f>
      </c>
      <c r="AS187" s="6">
        <f>(L187/100)*AS$41</f>
      </c>
      <c r="AT187" s="6">
        <f>(M187/100)*AT$41</f>
      </c>
      <c r="AU187" s="6">
        <f>(N187/100)*AU$41</f>
      </c>
      <c r="AV187" s="6">
        <f>(O187/1000000)*AV$41</f>
      </c>
      <c r="AW187" s="6">
        <f>(P187/100)*AW$41</f>
      </c>
      <c r="AX187" s="6">
        <f>(Q187/100)*AX$41</f>
      </c>
      <c r="AY187" s="6">
        <f>(R187/100)*AY$41</f>
      </c>
      <c r="AZ187" s="6">
        <f>(S187/100)*AZ$41</f>
      </c>
      <c r="BA187" s="6">
        <f>(T187/100)*BA$41</f>
      </c>
      <c r="BB187" s="6">
        <f>(U187/100)*BB$41</f>
      </c>
      <c r="BC187" s="6"/>
      <c r="BD187" s="3"/>
      <c r="BE187" s="3"/>
      <c r="BF187" s="7">
        <f>AF187*E187</f>
      </c>
      <c r="BG187" s="6"/>
      <c r="BH187" s="3"/>
      <c r="BI187" s="6"/>
    </row>
    <row x14ac:dyDescent="0.25" r="188" customHeight="1" ht="12.75">
      <c r="A188" s="5" t="s">
        <v>174</v>
      </c>
      <c r="B188" s="3" t="s">
        <v>855</v>
      </c>
      <c r="C188" s="43" t="s">
        <v>861</v>
      </c>
      <c r="D188" s="34" t="s">
        <v>967</v>
      </c>
      <c r="E188" s="6">
        <v>6.715</v>
      </c>
      <c r="F188" s="6">
        <v>0.019977661950856294</v>
      </c>
      <c r="G188" s="6">
        <v>0.14266567386448253</v>
      </c>
      <c r="H188" s="7">
        <v>8.334326135517498</v>
      </c>
      <c r="I188" s="6">
        <v>0.33765450483991066</v>
      </c>
      <c r="J188" s="6">
        <v>0.08271779597915116</v>
      </c>
      <c r="K188" s="7"/>
      <c r="L188" s="6"/>
      <c r="M188" s="15">
        <v>0.008116381236038719</v>
      </c>
      <c r="N188" s="23"/>
      <c r="O188" s="5"/>
      <c r="P188" s="6">
        <v>1.3369099032017873</v>
      </c>
      <c r="Q188" s="6"/>
      <c r="R188" s="6"/>
      <c r="S188" s="6"/>
      <c r="T188" s="6"/>
      <c r="U188" s="6"/>
      <c r="V188" s="7">
        <v>23.191139240506335</v>
      </c>
      <c r="W188" s="6" t="s">
        <v>965</v>
      </c>
      <c r="X188" s="6">
        <f>E188*F188/100</f>
      </c>
      <c r="Y188" s="6">
        <f>E188*G188/100</f>
      </c>
      <c r="Z188" s="7">
        <f>E188*H188</f>
      </c>
      <c r="AA188" s="7">
        <f>E188*J188</f>
      </c>
      <c r="AB188" s="6">
        <f>E188*I188/100</f>
      </c>
      <c r="AC188" s="15">
        <f>X188+Y188+AB188</f>
      </c>
      <c r="AD188" s="6">
        <f>F188+G188+I188</f>
      </c>
      <c r="AE188" s="3"/>
      <c r="AF188" s="6">
        <f>SUM(AM188:BC188)</f>
      </c>
      <c r="AG188" s="5">
        <f>IF(SUM(AM188:AO188)&gt;0.7*AF188,1,0)</f>
      </c>
      <c r="AH188" s="5">
        <f>IF(AN188&gt;0.4*AF188,1,0)</f>
      </c>
      <c r="AI188" s="5">
        <f>IF(SUM(AP188:AQ188)&gt;0.3*AF188,1,0)</f>
      </c>
      <c r="AJ188" s="5">
        <f>IF(AQ188&gt;0.2*AF188,1,0)</f>
      </c>
      <c r="AK188" s="5">
        <f>IF(SUM(AR188:BC188)&gt;0.3*AF188,1,0)</f>
      </c>
      <c r="AL188" s="3"/>
      <c r="AM188" s="6">
        <f>(F188/100)*AM$41</f>
      </c>
      <c r="AN188" s="6">
        <f>(G188/100)*AN$41</f>
      </c>
      <c r="AO188" s="6">
        <f>(H188/1000000)*AO$41</f>
      </c>
      <c r="AP188" s="6">
        <f>(I188/100)*AP$41</f>
      </c>
      <c r="AQ188" s="6">
        <f>(J188/1000000)*AQ$41</f>
      </c>
      <c r="AR188" s="6">
        <f>(K188/100)*AR$41</f>
      </c>
      <c r="AS188" s="6">
        <f>(L188/100)*AS$41</f>
      </c>
      <c r="AT188" s="6">
        <f>(M188/100)*AT$41</f>
      </c>
      <c r="AU188" s="6">
        <f>(N188/100)*AU$41</f>
      </c>
      <c r="AV188" s="6">
        <f>(O188/1000000)*AV$41</f>
      </c>
      <c r="AW188" s="6">
        <f>(P188/100)*AW$41</f>
      </c>
      <c r="AX188" s="6">
        <f>(Q188/100)*AX$41</f>
      </c>
      <c r="AY188" s="6">
        <f>(R188/100)*AY$41</f>
      </c>
      <c r="AZ188" s="6">
        <f>(S188/100)*AZ$41</f>
      </c>
      <c r="BA188" s="6">
        <f>(T188/100)*BA$41</f>
      </c>
      <c r="BB188" s="6">
        <f>(U188/100)*BB$41</f>
      </c>
      <c r="BC188" s="6">
        <f>(V188/1000000)*3000000</f>
      </c>
      <c r="BD188" s="3" t="s">
        <v>966</v>
      </c>
      <c r="BE188" s="3"/>
      <c r="BF188" s="7">
        <f>AF188*E188</f>
      </c>
      <c r="BG188" s="6"/>
      <c r="BH188" s="3"/>
      <c r="BI188" s="6"/>
    </row>
    <row x14ac:dyDescent="0.25" r="189" customHeight="1" ht="12.75">
      <c r="A189" s="5" t="s">
        <v>319</v>
      </c>
      <c r="B189" s="3" t="s">
        <v>855</v>
      </c>
      <c r="C189" s="43" t="s">
        <v>972</v>
      </c>
      <c r="D189" s="34"/>
      <c r="E189" s="6">
        <v>90.64</v>
      </c>
      <c r="F189" s="6"/>
      <c r="G189" s="6">
        <v>1.3472786849073257</v>
      </c>
      <c r="H189" s="7"/>
      <c r="I189" s="6">
        <v>0.3246320609002648</v>
      </c>
      <c r="J189" s="6"/>
      <c r="K189" s="7"/>
      <c r="L189" s="6"/>
      <c r="M189" s="6"/>
      <c r="N189" s="23"/>
      <c r="O189" s="5"/>
      <c r="P189" s="6"/>
      <c r="Q189" s="6"/>
      <c r="R189" s="6"/>
      <c r="S189" s="6"/>
      <c r="T189" s="6"/>
      <c r="U189" s="6"/>
      <c r="V189" s="5"/>
      <c r="W189" s="6"/>
      <c r="X189" s="6">
        <f>E189*F189/100</f>
      </c>
      <c r="Y189" s="6">
        <f>E189*G189/100</f>
      </c>
      <c r="Z189" s="7">
        <f>E189*H189</f>
      </c>
      <c r="AA189" s="7">
        <f>E189*J189</f>
      </c>
      <c r="AB189" s="6">
        <f>E189*I189/100</f>
      </c>
      <c r="AC189" s="15">
        <f>X189+Y189+AB189</f>
      </c>
      <c r="AD189" s="6">
        <f>F189+G189+I189</f>
      </c>
      <c r="AE189" s="3"/>
      <c r="AF189" s="6">
        <f>SUM(AM189:BC189)</f>
      </c>
      <c r="AG189" s="5">
        <f>IF(SUM(AM189:AO189)&gt;0.7*AF189,1,0)</f>
      </c>
      <c r="AH189" s="5">
        <f>IF(AN189&gt;0.4*AF189,1,0)</f>
      </c>
      <c r="AI189" s="5">
        <f>IF(SUM(AP189:AQ189)&gt;0.3*AF189,1,0)</f>
      </c>
      <c r="AJ189" s="5">
        <f>IF(AQ189&gt;0.2*AF189,1,0)</f>
      </c>
      <c r="AK189" s="5">
        <f>IF(SUM(AR189:BC189)&gt;0.3*AF189,1,0)</f>
      </c>
      <c r="AL189" s="3"/>
      <c r="AM189" s="6">
        <f>(F189/100)*AM$41</f>
      </c>
      <c r="AN189" s="6">
        <f>(G189/100)*AN$41</f>
      </c>
      <c r="AO189" s="6">
        <f>(H189/1000000)*AO$41</f>
      </c>
      <c r="AP189" s="6">
        <f>(I189/100)*AP$41</f>
      </c>
      <c r="AQ189" s="6">
        <f>(J189/1000000)*AQ$41</f>
      </c>
      <c r="AR189" s="6">
        <f>(K189/100)*AR$41</f>
      </c>
      <c r="AS189" s="6">
        <f>(L189/100)*AS$41</f>
      </c>
      <c r="AT189" s="6">
        <f>(M189/100)*AT$41</f>
      </c>
      <c r="AU189" s="6">
        <f>(N189/100)*AU$41</f>
      </c>
      <c r="AV189" s="6">
        <f>(O189/1000000)*AV$41</f>
      </c>
      <c r="AW189" s="6">
        <f>(P189/100)*AW$41</f>
      </c>
      <c r="AX189" s="6">
        <f>(Q189/100)*AX$41</f>
      </c>
      <c r="AY189" s="6">
        <f>(R189/100)*AY$41</f>
      </c>
      <c r="AZ189" s="6">
        <f>(S189/100)*AZ$41</f>
      </c>
      <c r="BA189" s="6">
        <f>(T189/100)*BA$41</f>
      </c>
      <c r="BB189" s="6">
        <f>(U189/100)*BB$41</f>
      </c>
      <c r="BC189" s="6"/>
      <c r="BD189" s="3"/>
      <c r="BE189" s="3"/>
      <c r="BF189" s="7">
        <f>AF189*E189</f>
      </c>
      <c r="BG189" s="6"/>
      <c r="BH189" s="3"/>
      <c r="BI189" s="6"/>
    </row>
    <row x14ac:dyDescent="0.25" r="190" customHeight="1" ht="12.75">
      <c r="A190" s="5" t="s">
        <v>441</v>
      </c>
      <c r="B190" s="3" t="s">
        <v>855</v>
      </c>
      <c r="C190" s="43" t="s">
        <v>972</v>
      </c>
      <c r="D190" s="34"/>
      <c r="E190" s="6">
        <v>41.26</v>
      </c>
      <c r="F190" s="6"/>
      <c r="G190" s="6">
        <v>0.1895128453708192</v>
      </c>
      <c r="H190" s="6">
        <v>2.8106713523994182</v>
      </c>
      <c r="I190" s="6">
        <v>1.1423388269510422</v>
      </c>
      <c r="J190" s="6">
        <v>0.009524963645176927</v>
      </c>
      <c r="K190" s="7"/>
      <c r="L190" s="6"/>
      <c r="M190" s="6"/>
      <c r="N190" s="23"/>
      <c r="O190" s="5"/>
      <c r="P190" s="6"/>
      <c r="Q190" s="6"/>
      <c r="R190" s="6"/>
      <c r="S190" s="6"/>
      <c r="T190" s="6"/>
      <c r="U190" s="6"/>
      <c r="V190" s="5"/>
      <c r="W190" s="6"/>
      <c r="X190" s="6">
        <f>E190*F190/100</f>
      </c>
      <c r="Y190" s="6">
        <f>E190*G190/100</f>
      </c>
      <c r="Z190" s="7">
        <f>E190*H190</f>
      </c>
      <c r="AA190" s="7">
        <f>E190*J190</f>
      </c>
      <c r="AB190" s="6">
        <f>E190*I190/100</f>
      </c>
      <c r="AC190" s="15">
        <f>X190+Y190+AB190</f>
      </c>
      <c r="AD190" s="6">
        <f>F190+G190+I190</f>
      </c>
      <c r="AE190" s="3"/>
      <c r="AF190" s="6">
        <f>SUM(AM190:BC190)</f>
      </c>
      <c r="AG190" s="5">
        <f>IF(SUM(AM190:AO190)&gt;0.7*AF190,1,0)</f>
      </c>
      <c r="AH190" s="5">
        <f>IF(AN190&gt;0.4*AF190,1,0)</f>
      </c>
      <c r="AI190" s="5">
        <f>IF(SUM(AP190:AQ190)&gt;0.3*AF190,1,0)</f>
      </c>
      <c r="AJ190" s="5">
        <f>IF(AQ190&gt;0.2*AF190,1,0)</f>
      </c>
      <c r="AK190" s="5">
        <f>IF(SUM(AR190:BC190)&gt;0.3*AF190,1,0)</f>
      </c>
      <c r="AL190" s="3"/>
      <c r="AM190" s="6">
        <f>(F190/100)*AM$41</f>
      </c>
      <c r="AN190" s="6">
        <f>(G190/100)*AN$41</f>
      </c>
      <c r="AO190" s="6">
        <f>(H190/1000000)*AO$41</f>
      </c>
      <c r="AP190" s="6">
        <f>(I190/100)*AP$41</f>
      </c>
      <c r="AQ190" s="6">
        <f>(J190/1000000)*AQ$41</f>
      </c>
      <c r="AR190" s="6">
        <f>(K190/100)*AR$41</f>
      </c>
      <c r="AS190" s="6">
        <f>(L190/100)*AS$41</f>
      </c>
      <c r="AT190" s="6">
        <f>(M190/100)*AT$41</f>
      </c>
      <c r="AU190" s="6">
        <f>(N190/100)*AU$41</f>
      </c>
      <c r="AV190" s="6">
        <f>(O190/1000000)*AV$41</f>
      </c>
      <c r="AW190" s="6">
        <f>(P190/100)*AW$41</f>
      </c>
      <c r="AX190" s="6">
        <f>(Q190/100)*AX$41</f>
      </c>
      <c r="AY190" s="6">
        <f>(R190/100)*AY$41</f>
      </c>
      <c r="AZ190" s="6">
        <f>(S190/100)*AZ$41</f>
      </c>
      <c r="BA190" s="6">
        <f>(T190/100)*BA$41</f>
      </c>
      <c r="BB190" s="6">
        <f>(U190/100)*BB$41</f>
      </c>
      <c r="BC190" s="6"/>
      <c r="BD190" s="3"/>
      <c r="BE190" s="3"/>
      <c r="BF190" s="7">
        <f>AF190*E190</f>
      </c>
      <c r="BG190" s="6"/>
      <c r="BH190" s="3"/>
      <c r="BI190" s="6"/>
    </row>
    <row x14ac:dyDescent="0.25" r="191" customHeight="1" ht="12.75">
      <c r="A191" s="5" t="s">
        <v>535</v>
      </c>
      <c r="B191" s="3" t="s">
        <v>855</v>
      </c>
      <c r="C191" s="43" t="s">
        <v>862</v>
      </c>
      <c r="D191" s="34" t="s">
        <v>969</v>
      </c>
      <c r="E191" s="6">
        <v>11.2</v>
      </c>
      <c r="F191" s="6">
        <v>0.37211607142857145</v>
      </c>
      <c r="G191" s="6">
        <v>5.298946428571429</v>
      </c>
      <c r="H191" s="7">
        <v>13.642089285714288</v>
      </c>
      <c r="I191" s="6"/>
      <c r="J191" s="6">
        <v>1.1621160714285714</v>
      </c>
      <c r="K191" s="7"/>
      <c r="L191" s="6"/>
      <c r="M191" s="6"/>
      <c r="N191" s="23"/>
      <c r="O191" s="5"/>
      <c r="P191" s="6"/>
      <c r="Q191" s="6"/>
      <c r="R191" s="6"/>
      <c r="S191" s="6"/>
      <c r="T191" s="6"/>
      <c r="U191" s="6"/>
      <c r="V191" s="5"/>
      <c r="W191" s="6"/>
      <c r="X191" s="6">
        <f>E191*F191/100</f>
      </c>
      <c r="Y191" s="6">
        <f>E191*G191/100</f>
      </c>
      <c r="Z191" s="7">
        <f>E191*H191</f>
      </c>
      <c r="AA191" s="7">
        <f>E191*J191</f>
      </c>
      <c r="AB191" s="6">
        <f>E191*I191/100</f>
      </c>
      <c r="AC191" s="15">
        <f>X191+Y191+AB191</f>
      </c>
      <c r="AD191" s="6">
        <f>F191+G191+I191</f>
      </c>
      <c r="AE191" s="3"/>
      <c r="AF191" s="6">
        <f>SUM(AM191:BC191)</f>
      </c>
      <c r="AG191" s="5">
        <f>IF(SUM(AM191:AO191)&gt;0.7*AF191,1,0)</f>
      </c>
      <c r="AH191" s="5">
        <f>IF(AN191&gt;0.4*AF191,1,0)</f>
      </c>
      <c r="AI191" s="5">
        <f>IF(SUM(AP191:AQ191)&gt;0.3*AF191,1,0)</f>
      </c>
      <c r="AJ191" s="5">
        <f>IF(AQ191&gt;0.2*AF191,1,0)</f>
      </c>
      <c r="AK191" s="5">
        <f>IF(SUM(AR191:BC191)&gt;0.3*AF191,1,0)</f>
      </c>
      <c r="AL191" s="3"/>
      <c r="AM191" s="6">
        <f>(F191/100)*AM$41</f>
      </c>
      <c r="AN191" s="6">
        <f>(G191/100)*AN$41</f>
      </c>
      <c r="AO191" s="6">
        <f>(H191/1000000)*AO$41</f>
      </c>
      <c r="AP191" s="6">
        <f>(I191/100)*AP$41</f>
      </c>
      <c r="AQ191" s="6">
        <f>(J191/1000000)*AQ$41</f>
      </c>
      <c r="AR191" s="6">
        <f>(K191/100)*AR$41</f>
      </c>
      <c r="AS191" s="6">
        <f>(L191/100)*AS$41</f>
      </c>
      <c r="AT191" s="6">
        <f>(M191/100)*AT$41</f>
      </c>
      <c r="AU191" s="6">
        <f>(N191/100)*AU$41</f>
      </c>
      <c r="AV191" s="6">
        <f>(O191/1000000)*AV$41</f>
      </c>
      <c r="AW191" s="6">
        <f>(P191/100)*AW$41</f>
      </c>
      <c r="AX191" s="6">
        <f>(Q191/100)*AX$41</f>
      </c>
      <c r="AY191" s="6">
        <f>(R191/100)*AY$41</f>
      </c>
      <c r="AZ191" s="6">
        <f>(S191/100)*AZ$41</f>
      </c>
      <c r="BA191" s="6">
        <f>(T191/100)*BA$41</f>
      </c>
      <c r="BB191" s="6">
        <f>(U191/100)*BB$41</f>
      </c>
      <c r="BC191" s="6"/>
      <c r="BD191" s="3"/>
      <c r="BE191" s="3"/>
      <c r="BF191" s="7">
        <f>AF191*E191</f>
      </c>
      <c r="BG191" s="6"/>
      <c r="BH191" s="3"/>
      <c r="BI191" s="6"/>
    </row>
    <row x14ac:dyDescent="0.25" r="192" customHeight="1" ht="12.75">
      <c r="A192" s="5" t="s">
        <v>383</v>
      </c>
      <c r="B192" s="3" t="s">
        <v>855</v>
      </c>
      <c r="C192" s="43" t="s">
        <v>862</v>
      </c>
      <c r="D192" s="34" t="s">
        <v>968</v>
      </c>
      <c r="E192" s="23">
        <v>2.173686</v>
      </c>
      <c r="F192" s="6">
        <v>2.3737487429187105</v>
      </c>
      <c r="G192" s="6">
        <v>6.878928635506693</v>
      </c>
      <c r="H192" s="7">
        <v>13.988883426585073</v>
      </c>
      <c r="I192" s="6"/>
      <c r="J192" s="6"/>
      <c r="K192" s="7"/>
      <c r="L192" s="6"/>
      <c r="M192" s="6"/>
      <c r="N192" s="23"/>
      <c r="O192" s="5"/>
      <c r="P192" s="6"/>
      <c r="Q192" s="6"/>
      <c r="R192" s="6"/>
      <c r="S192" s="6"/>
      <c r="T192" s="6"/>
      <c r="U192" s="6"/>
      <c r="V192" s="5"/>
      <c r="W192" s="6"/>
      <c r="X192" s="6">
        <f>E192*F192/100</f>
      </c>
      <c r="Y192" s="6">
        <f>E192*G192/100</f>
      </c>
      <c r="Z192" s="7">
        <f>E192*H192</f>
      </c>
      <c r="AA192" s="7">
        <f>E192*J192</f>
      </c>
      <c r="AB192" s="6">
        <f>E192*I192/100</f>
      </c>
      <c r="AC192" s="15">
        <f>X192+Y192+AB192</f>
      </c>
      <c r="AD192" s="6">
        <f>F192+G192+I192</f>
      </c>
      <c r="AE192" s="3"/>
      <c r="AF192" s="6">
        <f>SUM(AM192:BC192)</f>
      </c>
      <c r="AG192" s="5">
        <f>IF(SUM(AM192:AO192)&gt;0.7*AF192,1,0)</f>
      </c>
      <c r="AH192" s="5">
        <f>IF(AN192&gt;0.4*AF192,1,0)</f>
      </c>
      <c r="AI192" s="5">
        <f>IF(SUM(AP192:AQ192)&gt;0.3*AF192,1,0)</f>
      </c>
      <c r="AJ192" s="5">
        <f>IF(AQ192&gt;0.2*AF192,1,0)</f>
      </c>
      <c r="AK192" s="5">
        <f>IF(SUM(AR192:BC192)&gt;0.3*AF192,1,0)</f>
      </c>
      <c r="AL192" s="3"/>
      <c r="AM192" s="6">
        <f>(F192/100)*AM$41</f>
      </c>
      <c r="AN192" s="6">
        <f>(G192/100)*AN$41</f>
      </c>
      <c r="AO192" s="6">
        <f>(H192/1000000)*AO$41</f>
      </c>
      <c r="AP192" s="6">
        <f>(I192/100)*AP$41</f>
      </c>
      <c r="AQ192" s="6">
        <f>(J192/1000000)*AQ$41</f>
      </c>
      <c r="AR192" s="6">
        <f>(K192/100)*AR$41</f>
      </c>
      <c r="AS192" s="6">
        <f>(L192/100)*AS$41</f>
      </c>
      <c r="AT192" s="6">
        <f>(M192/100)*AT$41</f>
      </c>
      <c r="AU192" s="6">
        <f>(N192/100)*AU$41</f>
      </c>
      <c r="AV192" s="6">
        <f>(O192/1000000)*AV$41</f>
      </c>
      <c r="AW192" s="6">
        <f>(P192/100)*AW$41</f>
      </c>
      <c r="AX192" s="6">
        <f>(Q192/100)*AX$41</f>
      </c>
      <c r="AY192" s="6">
        <f>(R192/100)*AY$41</f>
      </c>
      <c r="AZ192" s="6">
        <f>(S192/100)*AZ$41</f>
      </c>
      <c r="BA192" s="6">
        <f>(T192/100)*BA$41</f>
      </c>
      <c r="BB192" s="6">
        <f>(U192/100)*BB$41</f>
      </c>
      <c r="BC192" s="6"/>
      <c r="BD192" s="3"/>
      <c r="BE192" s="3"/>
      <c r="BF192" s="7">
        <f>AF192*E192</f>
      </c>
      <c r="BG192" s="6"/>
      <c r="BH192" s="3"/>
      <c r="BI192" s="6"/>
    </row>
    <row x14ac:dyDescent="0.25" r="193" customHeight="1" ht="12.75">
      <c r="A193" s="5" t="s">
        <v>25</v>
      </c>
      <c r="B193" s="3" t="s">
        <v>855</v>
      </c>
      <c r="C193" s="43" t="s">
        <v>1075</v>
      </c>
      <c r="D193" s="34"/>
      <c r="E193" s="6">
        <v>0.706</v>
      </c>
      <c r="F193" s="6">
        <v>9.184915014164307</v>
      </c>
      <c r="G193" s="6">
        <v>10.658951841359775</v>
      </c>
      <c r="H193" s="31">
        <v>853.5283286118981</v>
      </c>
      <c r="I193" s="6"/>
      <c r="J193" s="6"/>
      <c r="K193" s="7"/>
      <c r="L193" s="6"/>
      <c r="M193" s="6"/>
      <c r="N193" s="23"/>
      <c r="O193" s="5"/>
      <c r="P193" s="6"/>
      <c r="Q193" s="6"/>
      <c r="R193" s="6"/>
      <c r="S193" s="6"/>
      <c r="T193" s="6"/>
      <c r="U193" s="6"/>
      <c r="V193" s="5"/>
      <c r="W193" s="6"/>
      <c r="X193" s="6">
        <f>E193*F193/100</f>
      </c>
      <c r="Y193" s="6">
        <f>E193*G193/100</f>
      </c>
      <c r="Z193" s="7">
        <f>E193*H193</f>
      </c>
      <c r="AA193" s="7">
        <f>E193*J193</f>
      </c>
      <c r="AB193" s="6">
        <f>E193*I193/100</f>
      </c>
      <c r="AC193" s="15">
        <f>X193+Y193+AB193</f>
      </c>
      <c r="AD193" s="6">
        <f>F193+G193+I193</f>
      </c>
      <c r="AE193" s="3"/>
      <c r="AF193" s="6">
        <f>SUM(AM193:BC193)</f>
      </c>
      <c r="AG193" s="5">
        <f>IF(SUM(AM193:AO193)&gt;0.7*AF193,1,0)</f>
      </c>
      <c r="AH193" s="5">
        <f>IF(AN193&gt;0.4*AF193,1,0)</f>
      </c>
      <c r="AI193" s="5">
        <f>IF(SUM(AP193:AQ193)&gt;0.3*AF193,1,0)</f>
      </c>
      <c r="AJ193" s="5">
        <f>IF(AQ193&gt;0.2*AF193,1,0)</f>
      </c>
      <c r="AK193" s="5">
        <f>IF(SUM(AR193:BC193)&gt;0.3*AF193,1,0)</f>
      </c>
      <c r="AL193" s="3"/>
      <c r="AM193" s="6">
        <f>(F193/100)*AM$41</f>
      </c>
      <c r="AN193" s="6">
        <f>(G193/100)*AN$41</f>
      </c>
      <c r="AO193" s="6">
        <f>(H193/1000000)*AO$41</f>
      </c>
      <c r="AP193" s="6">
        <f>(I193/100)*AP$41</f>
      </c>
      <c r="AQ193" s="6">
        <f>(J193/1000000)*AQ$41</f>
      </c>
      <c r="AR193" s="6">
        <f>(K193/100)*AR$41</f>
      </c>
      <c r="AS193" s="6">
        <f>(L193/100)*AS$41</f>
      </c>
      <c r="AT193" s="6">
        <f>(M193/100)*AT$41</f>
      </c>
      <c r="AU193" s="6">
        <f>(N193/100)*AU$41</f>
      </c>
      <c r="AV193" s="6">
        <f>(O193/1000000)*AV$41</f>
      </c>
      <c r="AW193" s="6">
        <f>(P193/100)*AW$41</f>
      </c>
      <c r="AX193" s="6">
        <f>(Q193/100)*AX$41</f>
      </c>
      <c r="AY193" s="6">
        <f>(R193/100)*AY$41</f>
      </c>
      <c r="AZ193" s="6">
        <f>(S193/100)*AZ$41</f>
      </c>
      <c r="BA193" s="6">
        <f>(T193/100)*BA$41</f>
      </c>
      <c r="BB193" s="6">
        <f>(U193/100)*BB$41</f>
      </c>
      <c r="BC193" s="6"/>
      <c r="BD193" s="3"/>
      <c r="BE193" s="3"/>
      <c r="BF193" s="7">
        <f>AF193*E193</f>
      </c>
      <c r="BG193" s="6"/>
      <c r="BH193" s="3"/>
      <c r="BI193" s="6"/>
    </row>
    <row x14ac:dyDescent="0.25" r="194" customHeight="1" ht="12.75">
      <c r="A194" s="5" t="s">
        <v>665</v>
      </c>
      <c r="B194" s="3" t="s">
        <v>855</v>
      </c>
      <c r="C194" s="43" t="s">
        <v>971</v>
      </c>
      <c r="D194" s="34" t="s">
        <v>972</v>
      </c>
      <c r="E194" s="6">
        <v>11.008000000000001</v>
      </c>
      <c r="F194" s="6">
        <v>0.8920448764534883</v>
      </c>
      <c r="G194" s="6">
        <v>1.3927797965116278</v>
      </c>
      <c r="H194" s="7">
        <v>114.07945030886627</v>
      </c>
      <c r="I194" s="6">
        <v>0.11186500726744183</v>
      </c>
      <c r="J194" s="6"/>
      <c r="K194" s="7"/>
      <c r="L194" s="6"/>
      <c r="M194" s="6"/>
      <c r="N194" s="23"/>
      <c r="O194" s="5"/>
      <c r="P194" s="6"/>
      <c r="Q194" s="6"/>
      <c r="R194" s="6"/>
      <c r="S194" s="6"/>
      <c r="T194" s="6"/>
      <c r="U194" s="6"/>
      <c r="V194" s="5"/>
      <c r="W194" s="6"/>
      <c r="X194" s="6">
        <f>E194*F194/100</f>
      </c>
      <c r="Y194" s="6">
        <f>E194*G194/100</f>
      </c>
      <c r="Z194" s="7">
        <f>E194*H194</f>
      </c>
      <c r="AA194" s="7">
        <f>E194*J194</f>
      </c>
      <c r="AB194" s="6">
        <f>E194*I194/100</f>
      </c>
      <c r="AC194" s="15">
        <f>X194+Y194+AB194</f>
      </c>
      <c r="AD194" s="6">
        <f>F194+G194+I194</f>
      </c>
      <c r="AE194" s="3"/>
      <c r="AF194" s="6">
        <f>SUM(AM194:BC194)</f>
      </c>
      <c r="AG194" s="5">
        <f>IF(SUM(AM194:AO194)&gt;0.7*AF194,1,0)</f>
      </c>
      <c r="AH194" s="5">
        <f>IF(AN194&gt;0.4*AF194,1,0)</f>
      </c>
      <c r="AI194" s="5">
        <f>IF(SUM(AP194:AQ194)&gt;0.3*AF194,1,0)</f>
      </c>
      <c r="AJ194" s="5">
        <f>IF(AQ194&gt;0.2*AF194,1,0)</f>
      </c>
      <c r="AK194" s="5">
        <f>IF(SUM(AR194:BC194)&gt;0.3*AF194,1,0)</f>
      </c>
      <c r="AL194" s="3"/>
      <c r="AM194" s="6">
        <f>(F194/100)*AM$41</f>
      </c>
      <c r="AN194" s="6">
        <f>(G194/100)*AN$41</f>
      </c>
      <c r="AO194" s="6">
        <f>(H194/1000000)*AO$41</f>
      </c>
      <c r="AP194" s="6">
        <f>(I194/100)*AP$41</f>
      </c>
      <c r="AQ194" s="6">
        <f>(J194/1000000)*AQ$41</f>
      </c>
      <c r="AR194" s="6">
        <f>(K194/100)*AR$41</f>
      </c>
      <c r="AS194" s="6">
        <f>(L194/100)*AS$41</f>
      </c>
      <c r="AT194" s="6">
        <f>(M194/100)*AT$41</f>
      </c>
      <c r="AU194" s="6">
        <f>(N194/100)*AU$41</f>
      </c>
      <c r="AV194" s="6">
        <f>(O194/1000000)*AV$41</f>
      </c>
      <c r="AW194" s="6">
        <f>(P194/100)*AW$41</f>
      </c>
      <c r="AX194" s="6">
        <f>(Q194/100)*AX$41</f>
      </c>
      <c r="AY194" s="6">
        <f>(R194/100)*AY$41</f>
      </c>
      <c r="AZ194" s="6">
        <f>(S194/100)*AZ$41</f>
      </c>
      <c r="BA194" s="6">
        <f>(T194/100)*BA$41</f>
      </c>
      <c r="BB194" s="6">
        <f>(U194/100)*BB$41</f>
      </c>
      <c r="BC194" s="6"/>
      <c r="BD194" s="3"/>
      <c r="BE194" s="3"/>
      <c r="BF194" s="7">
        <f>AF194*E194</f>
      </c>
      <c r="BG194" s="6"/>
      <c r="BH194" s="3"/>
      <c r="BI194" s="6"/>
    </row>
    <row x14ac:dyDescent="0.25" r="195" customHeight="1" ht="12.75">
      <c r="A195" s="5" t="s">
        <v>230</v>
      </c>
      <c r="B195" s="3" t="s">
        <v>855</v>
      </c>
      <c r="C195" s="43" t="s">
        <v>863</v>
      </c>
      <c r="D195" s="34" t="s">
        <v>973</v>
      </c>
      <c r="E195" s="23">
        <v>32.1910848</v>
      </c>
      <c r="F195" s="7">
        <v>4.48192142937662</v>
      </c>
      <c r="G195" s="7">
        <v>1.1517973272460986</v>
      </c>
      <c r="H195" s="31">
        <v>240.16457904518953</v>
      </c>
      <c r="I195" s="6"/>
      <c r="J195" s="6"/>
      <c r="K195" s="7"/>
      <c r="L195" s="6"/>
      <c r="M195" s="6"/>
      <c r="N195" s="23"/>
      <c r="O195" s="5"/>
      <c r="P195" s="6"/>
      <c r="Q195" s="6"/>
      <c r="R195" s="6"/>
      <c r="S195" s="6"/>
      <c r="T195" s="6"/>
      <c r="U195" s="6"/>
      <c r="V195" s="5"/>
      <c r="W195" s="6"/>
      <c r="X195" s="6">
        <f>E195*F195/100</f>
      </c>
      <c r="Y195" s="6">
        <f>E195*G195/100</f>
      </c>
      <c r="Z195" s="7">
        <f>E195*H195</f>
      </c>
      <c r="AA195" s="7">
        <f>E195*J195</f>
      </c>
      <c r="AB195" s="6">
        <f>E195*I195/100</f>
      </c>
      <c r="AC195" s="15">
        <f>X195+Y195+AB195</f>
      </c>
      <c r="AD195" s="6">
        <f>F195+G195+I195</f>
      </c>
      <c r="AE195" s="3"/>
      <c r="AF195" s="6">
        <f>SUM(AM195:BC195)</f>
      </c>
      <c r="AG195" s="5">
        <f>IF(SUM(AM195:AO195)&gt;0.7*AF195,1,0)</f>
      </c>
      <c r="AH195" s="5">
        <f>IF(AN195&gt;0.4*AF195,1,0)</f>
      </c>
      <c r="AI195" s="5">
        <f>IF(SUM(AP195:AQ195)&gt;0.3*AF195,1,0)</f>
      </c>
      <c r="AJ195" s="5">
        <f>IF(AQ195&gt;0.2*AF195,1,0)</f>
      </c>
      <c r="AK195" s="5">
        <f>IF(SUM(AR195:BC195)&gt;0.3*AF195,1,0)</f>
      </c>
      <c r="AL195" s="3"/>
      <c r="AM195" s="6">
        <f>(F195/100)*AM$41</f>
      </c>
      <c r="AN195" s="6">
        <f>(G195/100)*AN$41</f>
      </c>
      <c r="AO195" s="6">
        <f>(H195/1000000)*AO$41</f>
      </c>
      <c r="AP195" s="6">
        <f>(I195/100)*AP$41</f>
      </c>
      <c r="AQ195" s="6">
        <f>(J195/1000000)*AQ$41</f>
      </c>
      <c r="AR195" s="6">
        <f>(K195/100)*AR$41</f>
      </c>
      <c r="AS195" s="6">
        <f>(L195/100)*AS$41</f>
      </c>
      <c r="AT195" s="6">
        <f>(M195/100)*AT$41</f>
      </c>
      <c r="AU195" s="6">
        <f>(N195/100)*AU$41</f>
      </c>
      <c r="AV195" s="6">
        <f>(O195/1000000)*AV$41</f>
      </c>
      <c r="AW195" s="6">
        <f>(P195/100)*AW$41</f>
      </c>
      <c r="AX195" s="6">
        <f>(Q195/100)*AX$41</f>
      </c>
      <c r="AY195" s="6">
        <f>(R195/100)*AY$41</f>
      </c>
      <c r="AZ195" s="6">
        <f>(S195/100)*AZ$41</f>
      </c>
      <c r="BA195" s="6">
        <f>(T195/100)*BA$41</f>
      </c>
      <c r="BB195" s="6">
        <f>(U195/100)*BB$41</f>
      </c>
      <c r="BC195" s="6"/>
      <c r="BD195" s="3"/>
      <c r="BE195" s="3"/>
      <c r="BF195" s="7">
        <f>AF195*E195</f>
      </c>
      <c r="BG195" s="6"/>
      <c r="BH195" s="3"/>
      <c r="BI195" s="6"/>
    </row>
    <row x14ac:dyDescent="0.25" r="196" customHeight="1" ht="12.75">
      <c r="A196" s="5" t="s">
        <v>291</v>
      </c>
      <c r="B196" s="3" t="s">
        <v>855</v>
      </c>
      <c r="C196" s="43" t="s">
        <v>863</v>
      </c>
      <c r="D196" s="34"/>
      <c r="E196" s="6">
        <v>22.7</v>
      </c>
      <c r="F196" s="6">
        <v>3.18</v>
      </c>
      <c r="G196" s="6">
        <v>4.16</v>
      </c>
      <c r="H196" s="6">
        <v>24.4</v>
      </c>
      <c r="I196" s="6">
        <v>0.13</v>
      </c>
      <c r="J196" s="6"/>
      <c r="K196" s="7"/>
      <c r="L196" s="6"/>
      <c r="M196" s="6"/>
      <c r="N196" s="23"/>
      <c r="O196" s="5"/>
      <c r="P196" s="6"/>
      <c r="Q196" s="6"/>
      <c r="R196" s="6"/>
      <c r="S196" s="6"/>
      <c r="T196" s="6"/>
      <c r="U196" s="6"/>
      <c r="V196" s="5"/>
      <c r="W196" s="6"/>
      <c r="X196" s="6">
        <f>E196*F196/100</f>
      </c>
      <c r="Y196" s="6">
        <f>E196*G196/100</f>
      </c>
      <c r="Z196" s="7">
        <f>E196*H196</f>
      </c>
      <c r="AA196" s="7">
        <f>E196*J196</f>
      </c>
      <c r="AB196" s="6">
        <f>E196*I196/100</f>
      </c>
      <c r="AC196" s="15">
        <f>X196+Y196+AB196</f>
      </c>
      <c r="AD196" s="6">
        <f>F196+G196+I196</f>
      </c>
      <c r="AE196" s="3"/>
      <c r="AF196" s="6">
        <f>SUM(AM196:BC196)</f>
      </c>
      <c r="AG196" s="5">
        <f>IF(SUM(AM196:AO196)&gt;0.7*AF196,1,0)</f>
      </c>
      <c r="AH196" s="5">
        <f>IF(AN196&gt;0.4*AF196,1,0)</f>
      </c>
      <c r="AI196" s="5">
        <f>IF(SUM(AP196:AQ196)&gt;0.3*AF196,1,0)</f>
      </c>
      <c r="AJ196" s="5">
        <f>IF(AQ196&gt;0.2*AF196,1,0)</f>
      </c>
      <c r="AK196" s="5">
        <f>IF(SUM(AR196:BC196)&gt;0.3*AF196,1,0)</f>
      </c>
      <c r="AL196" s="3"/>
      <c r="AM196" s="6">
        <f>(F196/100)*AM$41</f>
      </c>
      <c r="AN196" s="6">
        <f>(G196/100)*AN$41</f>
      </c>
      <c r="AO196" s="6">
        <f>(H196/1000000)*AO$41</f>
      </c>
      <c r="AP196" s="6">
        <f>(I196/100)*AP$41</f>
      </c>
      <c r="AQ196" s="6">
        <f>(J196/1000000)*AQ$41</f>
      </c>
      <c r="AR196" s="6">
        <f>(K196/100)*AR$41</f>
      </c>
      <c r="AS196" s="6">
        <f>(L196/100)*AS$41</f>
      </c>
      <c r="AT196" s="6">
        <f>(M196/100)*AT$41</f>
      </c>
      <c r="AU196" s="6">
        <f>(N196/100)*AU$41</f>
      </c>
      <c r="AV196" s="6">
        <f>(O196/1000000)*AV$41</f>
      </c>
      <c r="AW196" s="6">
        <f>(P196/100)*AW$41</f>
      </c>
      <c r="AX196" s="6">
        <f>(Q196/100)*AX$41</f>
      </c>
      <c r="AY196" s="6">
        <f>(R196/100)*AY$41</f>
      </c>
      <c r="AZ196" s="6">
        <f>(S196/100)*AZ$41</f>
      </c>
      <c r="BA196" s="6">
        <f>(T196/100)*BA$41</f>
      </c>
      <c r="BB196" s="6">
        <f>(U196/100)*BB$41</f>
      </c>
      <c r="BC196" s="6"/>
      <c r="BD196" s="3"/>
      <c r="BE196" s="3"/>
      <c r="BF196" s="7">
        <f>AF196*E196</f>
      </c>
      <c r="BG196" s="6"/>
      <c r="BH196" s="3"/>
      <c r="BI196" s="6"/>
    </row>
    <row x14ac:dyDescent="0.25" r="197" customHeight="1" ht="12.75">
      <c r="A197" s="5" t="s">
        <v>537</v>
      </c>
      <c r="B197" s="3" t="s">
        <v>855</v>
      </c>
      <c r="C197" s="43" t="s">
        <v>863</v>
      </c>
      <c r="D197" s="34"/>
      <c r="E197" s="6">
        <v>7.762</v>
      </c>
      <c r="F197" s="6">
        <v>1.4</v>
      </c>
      <c r="G197" s="6">
        <v>5.8</v>
      </c>
      <c r="H197" s="6">
        <v>9.49</v>
      </c>
      <c r="I197" s="6"/>
      <c r="J197" s="6"/>
      <c r="K197" s="7"/>
      <c r="L197" s="6"/>
      <c r="M197" s="6"/>
      <c r="N197" s="23"/>
      <c r="O197" s="5"/>
      <c r="P197" s="6"/>
      <c r="Q197" s="6"/>
      <c r="R197" s="6"/>
      <c r="S197" s="6"/>
      <c r="T197" s="6"/>
      <c r="U197" s="6"/>
      <c r="V197" s="6">
        <v>14.86</v>
      </c>
      <c r="W197" s="6" t="s">
        <v>975</v>
      </c>
      <c r="X197" s="6">
        <f>E197*F197/100</f>
      </c>
      <c r="Y197" s="6">
        <f>E197*G197/100</f>
      </c>
      <c r="Z197" s="7">
        <f>E197*H197</f>
      </c>
      <c r="AA197" s="7">
        <f>E197*J197</f>
      </c>
      <c r="AB197" s="6">
        <f>E197*I197/100</f>
      </c>
      <c r="AC197" s="15">
        <f>X197+Y197+AB197</f>
      </c>
      <c r="AD197" s="6">
        <f>F197+G197+I197</f>
      </c>
      <c r="AE197" s="3"/>
      <c r="AF197" s="6">
        <f>SUM(AM197:BC197)</f>
      </c>
      <c r="AG197" s="5">
        <f>IF(SUM(AM197:AO197)&gt;0.7*AF197,1,0)</f>
      </c>
      <c r="AH197" s="5">
        <f>IF(AN197&gt;0.4*AF197,1,0)</f>
      </c>
      <c r="AI197" s="5">
        <f>IF(SUM(AP197:AQ197)&gt;0.3*AF197,1,0)</f>
      </c>
      <c r="AJ197" s="5">
        <f>IF(AQ197&gt;0.2*AF197,1,0)</f>
      </c>
      <c r="AK197" s="5">
        <f>IF(SUM(AR197:BC197)&gt;0.3*AF197,1,0)</f>
      </c>
      <c r="AL197" s="3"/>
      <c r="AM197" s="6">
        <f>(F197/100)*AM$41</f>
      </c>
      <c r="AN197" s="6">
        <f>(G197/100)*AN$41</f>
      </c>
      <c r="AO197" s="6">
        <f>(H197/1000000)*AO$41</f>
      </c>
      <c r="AP197" s="6">
        <f>(I197/100)*AP$41</f>
      </c>
      <c r="AQ197" s="6">
        <f>(J197/1000000)*AQ$41</f>
      </c>
      <c r="AR197" s="6">
        <f>(K197/100)*AR$41</f>
      </c>
      <c r="AS197" s="6">
        <f>(L197/100)*AS$41</f>
      </c>
      <c r="AT197" s="6">
        <f>(M197/100)*AT$41</f>
      </c>
      <c r="AU197" s="6">
        <f>(N197/100)*AU$41</f>
      </c>
      <c r="AV197" s="6">
        <f>(O197/1000000)*AV$41</f>
      </c>
      <c r="AW197" s="6">
        <f>(P197/100)*AW$41</f>
      </c>
      <c r="AX197" s="6">
        <f>(Q197/100)*AX$41</f>
      </c>
      <c r="AY197" s="6">
        <f>(R197/100)*AY$41</f>
      </c>
      <c r="AZ197" s="6">
        <f>(S197/100)*AZ$41</f>
      </c>
      <c r="BA197" s="6">
        <f>(T197/100)*BA$41</f>
      </c>
      <c r="BB197" s="6">
        <f>(U197/100)*BB$41</f>
      </c>
      <c r="BC197" s="6">
        <f>(V197/1000000)*1900000</f>
      </c>
      <c r="BD197" s="3" t="s">
        <v>976</v>
      </c>
      <c r="BE197" s="3"/>
      <c r="BF197" s="7">
        <f>AF197*E197</f>
      </c>
      <c r="BG197" s="6"/>
      <c r="BH197" s="3"/>
      <c r="BI197" s="6"/>
    </row>
    <row x14ac:dyDescent="0.25" r="198" customHeight="1" ht="12.75">
      <c r="A198" s="5" t="s">
        <v>198</v>
      </c>
      <c r="B198" s="3" t="s">
        <v>855</v>
      </c>
      <c r="C198" s="43" t="s">
        <v>863</v>
      </c>
      <c r="D198" s="34" t="s">
        <v>973</v>
      </c>
      <c r="E198" s="23">
        <v>3.4437312</v>
      </c>
      <c r="F198" s="7">
        <v>6.2340885142255</v>
      </c>
      <c r="G198" s="7">
        <v>6.236354056902002</v>
      </c>
      <c r="H198" s="31">
        <v>108.78083051313646</v>
      </c>
      <c r="I198" s="6"/>
      <c r="J198" s="6"/>
      <c r="K198" s="7"/>
      <c r="L198" s="6"/>
      <c r="M198" s="6"/>
      <c r="N198" s="23"/>
      <c r="O198" s="5"/>
      <c r="P198" s="6"/>
      <c r="Q198" s="6"/>
      <c r="R198" s="6"/>
      <c r="S198" s="6"/>
      <c r="T198" s="6"/>
      <c r="U198" s="6"/>
      <c r="V198" s="5"/>
      <c r="W198" s="6"/>
      <c r="X198" s="6">
        <f>E198*F198/100</f>
      </c>
      <c r="Y198" s="6">
        <f>E198*G198/100</f>
      </c>
      <c r="Z198" s="7">
        <f>E198*H198</f>
      </c>
      <c r="AA198" s="7">
        <f>E198*J198</f>
      </c>
      <c r="AB198" s="6">
        <f>E198*I198/100</f>
      </c>
      <c r="AC198" s="15">
        <f>X198+Y198+AB198</f>
      </c>
      <c r="AD198" s="6">
        <f>F198+G198+I198</f>
      </c>
      <c r="AE198" s="3"/>
      <c r="AF198" s="6">
        <f>SUM(AM198:BC198)</f>
      </c>
      <c r="AG198" s="5">
        <f>IF(SUM(AM198:AO198)&gt;0.7*AF198,1,0)</f>
      </c>
      <c r="AH198" s="5">
        <f>IF(AN198&gt;0.4*AF198,1,0)</f>
      </c>
      <c r="AI198" s="5">
        <f>IF(SUM(AP198:AQ198)&gt;0.3*AF198,1,0)</f>
      </c>
      <c r="AJ198" s="5">
        <f>IF(AQ198&gt;0.2*AF198,1,0)</f>
      </c>
      <c r="AK198" s="5">
        <f>IF(SUM(AR198:BC198)&gt;0.3*AF198,1,0)</f>
      </c>
      <c r="AL198" s="3"/>
      <c r="AM198" s="6">
        <f>(F198/100)*AM$41</f>
      </c>
      <c r="AN198" s="6">
        <f>(G198/100)*AN$41</f>
      </c>
      <c r="AO198" s="6">
        <f>(H198/1000000)*AO$41</f>
      </c>
      <c r="AP198" s="6">
        <f>(I198/100)*AP$41</f>
      </c>
      <c r="AQ198" s="6">
        <f>(J198/1000000)*AQ$41</f>
      </c>
      <c r="AR198" s="6">
        <f>(K198/100)*AR$41</f>
      </c>
      <c r="AS198" s="6">
        <f>(L198/100)*AS$41</f>
      </c>
      <c r="AT198" s="6">
        <f>(M198/100)*AT$41</f>
      </c>
      <c r="AU198" s="6">
        <f>(N198/100)*AU$41</f>
      </c>
      <c r="AV198" s="6">
        <f>(O198/1000000)*AV$41</f>
      </c>
      <c r="AW198" s="6">
        <f>(P198/100)*AW$41</f>
      </c>
      <c r="AX198" s="6">
        <f>(Q198/100)*AX$41</f>
      </c>
      <c r="AY198" s="6">
        <f>(R198/100)*AY$41</f>
      </c>
      <c r="AZ198" s="6">
        <f>(S198/100)*AZ$41</f>
      </c>
      <c r="BA198" s="6">
        <f>(T198/100)*BA$41</f>
      </c>
      <c r="BB198" s="6">
        <f>(U198/100)*BB$41</f>
      </c>
      <c r="BC198" s="6"/>
      <c r="BD198" s="3"/>
      <c r="BE198" s="3"/>
      <c r="BF198" s="7">
        <f>AF198*E198</f>
      </c>
      <c r="BG198" s="6"/>
      <c r="BH198" s="3"/>
      <c r="BI198" s="6"/>
    </row>
    <row x14ac:dyDescent="0.25" r="199" customHeight="1" ht="12.75">
      <c r="A199" s="5" t="s">
        <v>700</v>
      </c>
      <c r="B199" s="3" t="s">
        <v>855</v>
      </c>
      <c r="C199" s="43" t="s">
        <v>863</v>
      </c>
      <c r="D199" s="34"/>
      <c r="E199" s="6">
        <v>5.55</v>
      </c>
      <c r="F199" s="6"/>
      <c r="G199" s="6">
        <v>4.7</v>
      </c>
      <c r="H199" s="7"/>
      <c r="I199" s="6"/>
      <c r="J199" s="6"/>
      <c r="K199" s="7"/>
      <c r="L199" s="6"/>
      <c r="M199" s="6"/>
      <c r="N199" s="23"/>
      <c r="O199" s="5"/>
      <c r="P199" s="6"/>
      <c r="Q199" s="6"/>
      <c r="R199" s="6"/>
      <c r="S199" s="6"/>
      <c r="T199" s="6"/>
      <c r="U199" s="6"/>
      <c r="V199" s="5"/>
      <c r="W199" s="6"/>
      <c r="X199" s="6">
        <f>E199*F199/100</f>
      </c>
      <c r="Y199" s="6">
        <f>E199*G199/100</f>
      </c>
      <c r="Z199" s="7">
        <f>E199*H199</f>
      </c>
      <c r="AA199" s="7">
        <f>E199*J199</f>
      </c>
      <c r="AB199" s="6">
        <f>E199*I199/100</f>
      </c>
      <c r="AC199" s="15">
        <f>X199+Y199+AB199</f>
      </c>
      <c r="AD199" s="6">
        <f>F199+G199+I199</f>
      </c>
      <c r="AE199" s="3"/>
      <c r="AF199" s="6">
        <f>SUM(AM199:BC199)</f>
      </c>
      <c r="AG199" s="5">
        <f>IF(SUM(AM199:AO199)&gt;0.7*AF199,1,0)</f>
      </c>
      <c r="AH199" s="5">
        <f>IF(AN199&gt;0.4*AF199,1,0)</f>
      </c>
      <c r="AI199" s="5">
        <f>IF(SUM(AP199:AQ199)&gt;0.3*AF199,1,0)</f>
      </c>
      <c r="AJ199" s="5">
        <f>IF(AQ199&gt;0.2*AF199,1,0)</f>
      </c>
      <c r="AK199" s="5">
        <f>IF(SUM(AR199:BC199)&gt;0.3*AF199,1,0)</f>
      </c>
      <c r="AL199" s="3"/>
      <c r="AM199" s="6">
        <f>(F199/100)*AM$41</f>
      </c>
      <c r="AN199" s="6">
        <f>(G199/100)*AN$41</f>
      </c>
      <c r="AO199" s="6">
        <f>(H199/1000000)*AO$41</f>
      </c>
      <c r="AP199" s="6">
        <f>(I199/100)*AP$41</f>
      </c>
      <c r="AQ199" s="6">
        <f>(J199/1000000)*AQ$41</f>
      </c>
      <c r="AR199" s="6">
        <f>(K199/100)*AR$41</f>
      </c>
      <c r="AS199" s="6">
        <f>(L199/100)*AS$41</f>
      </c>
      <c r="AT199" s="6">
        <f>(M199/100)*AT$41</f>
      </c>
      <c r="AU199" s="6">
        <f>(N199/100)*AU$41</f>
      </c>
      <c r="AV199" s="6">
        <f>(O199/1000000)*AV$41</f>
      </c>
      <c r="AW199" s="6">
        <f>(P199/100)*AW$41</f>
      </c>
      <c r="AX199" s="6">
        <f>(Q199/100)*AX$41</f>
      </c>
      <c r="AY199" s="6">
        <f>(R199/100)*AY$41</f>
      </c>
      <c r="AZ199" s="6">
        <f>(S199/100)*AZ$41</f>
      </c>
      <c r="BA199" s="6">
        <f>(T199/100)*BA$41</f>
      </c>
      <c r="BB199" s="6">
        <f>(U199/100)*BB$41</f>
      </c>
      <c r="BC199" s="6"/>
      <c r="BD199" s="3"/>
      <c r="BE199" s="3"/>
      <c r="BF199" s="7">
        <f>AF199*E199</f>
      </c>
      <c r="BG199" s="6"/>
      <c r="BH199" s="3"/>
      <c r="BI199" s="6"/>
    </row>
    <row x14ac:dyDescent="0.25" r="200" customHeight="1" ht="12.75">
      <c r="A200" s="5" t="s">
        <v>526</v>
      </c>
      <c r="B200" s="3" t="s">
        <v>855</v>
      </c>
      <c r="C200" s="43" t="s">
        <v>863</v>
      </c>
      <c r="D200" s="34" t="s">
        <v>973</v>
      </c>
      <c r="E200" s="23">
        <v>2.1595896</v>
      </c>
      <c r="F200" s="6">
        <v>6.727949170342364</v>
      </c>
      <c r="G200" s="6"/>
      <c r="H200" s="7">
        <v>216.86362256050873</v>
      </c>
      <c r="I200" s="6"/>
      <c r="J200" s="6"/>
      <c r="K200" s="7"/>
      <c r="L200" s="6"/>
      <c r="M200" s="6"/>
      <c r="N200" s="23"/>
      <c r="O200" s="5"/>
      <c r="P200" s="6"/>
      <c r="Q200" s="6"/>
      <c r="R200" s="6"/>
      <c r="S200" s="6"/>
      <c r="T200" s="6"/>
      <c r="U200" s="6"/>
      <c r="V200" s="5"/>
      <c r="W200" s="6"/>
      <c r="X200" s="6">
        <f>E200*F200/100</f>
      </c>
      <c r="Y200" s="6">
        <f>E200*G200/100</f>
      </c>
      <c r="Z200" s="7">
        <f>E200*H200</f>
      </c>
      <c r="AA200" s="7">
        <f>E200*J200</f>
      </c>
      <c r="AB200" s="6">
        <f>E200*I200/100</f>
      </c>
      <c r="AC200" s="15">
        <f>X200+Y200+AB200</f>
      </c>
      <c r="AD200" s="6">
        <f>F200+G200+I200</f>
      </c>
      <c r="AE200" s="3"/>
      <c r="AF200" s="6">
        <f>SUM(AM200:BC200)</f>
      </c>
      <c r="AG200" s="5">
        <f>IF(SUM(AM200:AO200)&gt;0.7*AF200,1,0)</f>
      </c>
      <c r="AH200" s="5">
        <f>IF(AN200&gt;0.4*AF200,1,0)</f>
      </c>
      <c r="AI200" s="5">
        <f>IF(SUM(AP200:AQ200)&gt;0.3*AF200,1,0)</f>
      </c>
      <c r="AJ200" s="5">
        <f>IF(AQ200&gt;0.2*AF200,1,0)</f>
      </c>
      <c r="AK200" s="5">
        <f>IF(SUM(AR200:BC200)&gt;0.3*AF200,1,0)</f>
      </c>
      <c r="AL200" s="3"/>
      <c r="AM200" s="6">
        <f>(F200/100)*AM$41</f>
      </c>
      <c r="AN200" s="6">
        <f>(G200/100)*AN$41</f>
      </c>
      <c r="AO200" s="6">
        <f>(H200/1000000)*AO$41</f>
      </c>
      <c r="AP200" s="6">
        <f>(I200/100)*AP$41</f>
      </c>
      <c r="AQ200" s="6">
        <f>(J200/1000000)*AQ$41</f>
      </c>
      <c r="AR200" s="6">
        <f>(K200/100)*AR$41</f>
      </c>
      <c r="AS200" s="6">
        <f>(L200/100)*AS$41</f>
      </c>
      <c r="AT200" s="6">
        <f>(M200/100)*AT$41</f>
      </c>
      <c r="AU200" s="6">
        <f>(N200/100)*AU$41</f>
      </c>
      <c r="AV200" s="6">
        <f>(O200/1000000)*AV$41</f>
      </c>
      <c r="AW200" s="6">
        <f>(P200/100)*AW$41</f>
      </c>
      <c r="AX200" s="6">
        <f>(Q200/100)*AX$41</f>
      </c>
      <c r="AY200" s="6">
        <f>(R200/100)*AY$41</f>
      </c>
      <c r="AZ200" s="6">
        <f>(S200/100)*AZ$41</f>
      </c>
      <c r="BA200" s="6">
        <f>(T200/100)*BA$41</f>
      </c>
      <c r="BB200" s="6">
        <f>(U200/100)*BB$41</f>
      </c>
      <c r="BC200" s="6"/>
      <c r="BD200" s="3"/>
      <c r="BE200" s="3"/>
      <c r="BF200" s="7">
        <f>AF200*E200</f>
      </c>
      <c r="BG200" s="6"/>
      <c r="BH200" s="3"/>
      <c r="BI200" s="6"/>
    </row>
    <row x14ac:dyDescent="0.25" r="201" customHeight="1" ht="12.75">
      <c r="A201" s="5" t="s">
        <v>159</v>
      </c>
      <c r="B201" s="3" t="s">
        <v>855</v>
      </c>
      <c r="C201" s="43" t="s">
        <v>863</v>
      </c>
      <c r="D201" s="34"/>
      <c r="E201" s="6">
        <v>0.821</v>
      </c>
      <c r="F201" s="6">
        <v>1.178258221680877</v>
      </c>
      <c r="G201" s="6">
        <v>13.101851400730817</v>
      </c>
      <c r="H201" s="31">
        <v>196.58708891595614</v>
      </c>
      <c r="I201" s="6"/>
      <c r="J201" s="6">
        <v>0.5867600487210719</v>
      </c>
      <c r="K201" s="7"/>
      <c r="L201" s="6"/>
      <c r="M201" s="6"/>
      <c r="N201" s="23"/>
      <c r="O201" s="5"/>
      <c r="P201" s="6"/>
      <c r="Q201" s="6"/>
      <c r="R201" s="6"/>
      <c r="S201" s="6"/>
      <c r="T201" s="6"/>
      <c r="U201" s="6"/>
      <c r="V201" s="5"/>
      <c r="W201" s="6"/>
      <c r="X201" s="6">
        <f>E201*F201/100</f>
      </c>
      <c r="Y201" s="6">
        <f>E201*G201/100</f>
      </c>
      <c r="Z201" s="7">
        <f>E201*H201</f>
      </c>
      <c r="AA201" s="7">
        <f>E201*J201</f>
      </c>
      <c r="AB201" s="6">
        <f>E201*I201/100</f>
      </c>
      <c r="AC201" s="15">
        <f>X201+Y201+AB201</f>
      </c>
      <c r="AD201" s="6">
        <f>F201+G201+I201</f>
      </c>
      <c r="AE201" s="3"/>
      <c r="AF201" s="6">
        <f>SUM(AM201:BC201)</f>
      </c>
      <c r="AG201" s="5">
        <f>IF(SUM(AM201:AO201)&gt;0.7*AF201,1,0)</f>
      </c>
      <c r="AH201" s="5">
        <f>IF(AN201&gt;0.4*AF201,1,0)</f>
      </c>
      <c r="AI201" s="5">
        <f>IF(SUM(AP201:AQ201)&gt;0.3*AF201,1,0)</f>
      </c>
      <c r="AJ201" s="5">
        <f>IF(AQ201&gt;0.2*AF201,1,0)</f>
      </c>
      <c r="AK201" s="5">
        <f>IF(SUM(AR201:BC201)&gt;0.3*AF201,1,0)</f>
      </c>
      <c r="AL201" s="3"/>
      <c r="AM201" s="6">
        <f>(F201/100)*AM$41</f>
      </c>
      <c r="AN201" s="6">
        <f>(G201/100)*AN$41</f>
      </c>
      <c r="AO201" s="6">
        <f>(H201/1000000)*AO$41</f>
      </c>
      <c r="AP201" s="6">
        <f>(I201/100)*AP$41</f>
      </c>
      <c r="AQ201" s="6">
        <f>(J201/1000000)*AQ$41</f>
      </c>
      <c r="AR201" s="6">
        <f>(K201/100)*AR$41</f>
      </c>
      <c r="AS201" s="6">
        <f>(L201/100)*AS$41</f>
      </c>
      <c r="AT201" s="6">
        <f>(M201/100)*AT$41</f>
      </c>
      <c r="AU201" s="6">
        <f>(N201/100)*AU$41</f>
      </c>
      <c r="AV201" s="6">
        <f>(O201/1000000)*AV$41</f>
      </c>
      <c r="AW201" s="6">
        <f>(P201/100)*AW$41</f>
      </c>
      <c r="AX201" s="6">
        <f>(Q201/100)*AX$41</f>
      </c>
      <c r="AY201" s="6">
        <f>(R201/100)*AY$41</f>
      </c>
      <c r="AZ201" s="6">
        <f>(S201/100)*AZ$41</f>
      </c>
      <c r="BA201" s="6">
        <f>(T201/100)*BA$41</f>
      </c>
      <c r="BB201" s="6">
        <f>(U201/100)*BB$41</f>
      </c>
      <c r="BC201" s="6"/>
      <c r="BD201" s="3"/>
      <c r="BE201" s="3"/>
      <c r="BF201" s="7">
        <f>AF201*E201</f>
      </c>
      <c r="BG201" s="6"/>
      <c r="BH201" s="3"/>
      <c r="BI201" s="6"/>
    </row>
    <row x14ac:dyDescent="0.25" r="202" customHeight="1" ht="12.75">
      <c r="A202" s="5" t="s">
        <v>167</v>
      </c>
      <c r="B202" s="3" t="s">
        <v>855</v>
      </c>
      <c r="C202" s="43" t="s">
        <v>863</v>
      </c>
      <c r="D202" s="34"/>
      <c r="E202" s="6">
        <v>1.4849999999999999</v>
      </c>
      <c r="F202" s="6">
        <v>1.6594747474747475</v>
      </c>
      <c r="G202" s="6">
        <v>5.59263973063973</v>
      </c>
      <c r="H202" s="31">
        <v>501.37306397306395</v>
      </c>
      <c r="I202" s="6"/>
      <c r="J202" s="6">
        <v>0.40919191919191916</v>
      </c>
      <c r="K202" s="7"/>
      <c r="L202" s="6"/>
      <c r="M202" s="6"/>
      <c r="N202" s="23"/>
      <c r="O202" s="5"/>
      <c r="P202" s="6"/>
      <c r="Q202" s="6"/>
      <c r="R202" s="6"/>
      <c r="S202" s="6"/>
      <c r="T202" s="6"/>
      <c r="U202" s="6"/>
      <c r="V202" s="5"/>
      <c r="W202" s="6"/>
      <c r="X202" s="6">
        <f>E202*F202/100</f>
      </c>
      <c r="Y202" s="6">
        <f>E202*G202/100</f>
      </c>
      <c r="Z202" s="7">
        <f>E202*H202</f>
      </c>
      <c r="AA202" s="7">
        <f>E202*J202</f>
      </c>
      <c r="AB202" s="6">
        <f>E202*I202/100</f>
      </c>
      <c r="AC202" s="15">
        <f>X202+Y202+AB202</f>
      </c>
      <c r="AD202" s="6">
        <f>F202+G202+I202</f>
      </c>
      <c r="AE202" s="3"/>
      <c r="AF202" s="6">
        <f>SUM(AM202:BC202)</f>
      </c>
      <c r="AG202" s="5">
        <f>IF(SUM(AM202:AO202)&gt;0.7*AF202,1,0)</f>
      </c>
      <c r="AH202" s="5">
        <f>IF(AN202&gt;0.4*AF202,1,0)</f>
      </c>
      <c r="AI202" s="5">
        <f>IF(SUM(AP202:AQ202)&gt;0.3*AF202,1,0)</f>
      </c>
      <c r="AJ202" s="5">
        <f>IF(AQ202&gt;0.2*AF202,1,0)</f>
      </c>
      <c r="AK202" s="5">
        <f>IF(SUM(AR202:BC202)&gt;0.3*AF202,1,0)</f>
      </c>
      <c r="AL202" s="3"/>
      <c r="AM202" s="6">
        <f>(F202/100)*AM$41</f>
      </c>
      <c r="AN202" s="6">
        <f>(G202/100)*AN$41</f>
      </c>
      <c r="AO202" s="6">
        <f>(H202/1000000)*AO$41</f>
      </c>
      <c r="AP202" s="6">
        <f>(I202/100)*AP$41</f>
      </c>
      <c r="AQ202" s="6">
        <f>(J202/1000000)*AQ$41</f>
      </c>
      <c r="AR202" s="6">
        <f>(K202/100)*AR$41</f>
      </c>
      <c r="AS202" s="6">
        <f>(L202/100)*AS$41</f>
      </c>
      <c r="AT202" s="6">
        <f>(M202/100)*AT$41</f>
      </c>
      <c r="AU202" s="6">
        <f>(N202/100)*AU$41</f>
      </c>
      <c r="AV202" s="6">
        <f>(O202/1000000)*AV$41</f>
      </c>
      <c r="AW202" s="6">
        <f>(P202/100)*AW$41</f>
      </c>
      <c r="AX202" s="6">
        <f>(Q202/100)*AX$41</f>
      </c>
      <c r="AY202" s="6">
        <f>(R202/100)*AY$41</f>
      </c>
      <c r="AZ202" s="6">
        <f>(S202/100)*AZ$41</f>
      </c>
      <c r="BA202" s="6">
        <f>(T202/100)*BA$41</f>
      </c>
      <c r="BB202" s="6">
        <f>(U202/100)*BB$41</f>
      </c>
      <c r="BC202" s="6"/>
      <c r="BD202" s="3"/>
      <c r="BE202" s="3"/>
      <c r="BF202" s="7">
        <f>AF202*E202</f>
      </c>
      <c r="BG202" s="6"/>
      <c r="BH202" s="3"/>
      <c r="BI202" s="6"/>
    </row>
    <row x14ac:dyDescent="0.25" r="203" customHeight="1" ht="12.75">
      <c r="A203" s="5" t="s">
        <v>108</v>
      </c>
      <c r="B203" s="3" t="s">
        <v>855</v>
      </c>
      <c r="C203" s="43" t="s">
        <v>863</v>
      </c>
      <c r="D203" s="34"/>
      <c r="E203" s="6">
        <v>0.608</v>
      </c>
      <c r="F203" s="7">
        <v>4.820394736842105</v>
      </c>
      <c r="G203" s="7">
        <v>5.220065789473685</v>
      </c>
      <c r="H203" s="31">
        <v>566.0756578947368</v>
      </c>
      <c r="I203" s="6"/>
      <c r="J203" s="6"/>
      <c r="K203" s="7"/>
      <c r="L203" s="6"/>
      <c r="M203" s="6"/>
      <c r="N203" s="23"/>
      <c r="O203" s="5"/>
      <c r="P203" s="6"/>
      <c r="Q203" s="6"/>
      <c r="R203" s="6"/>
      <c r="S203" s="6"/>
      <c r="T203" s="6"/>
      <c r="U203" s="6"/>
      <c r="V203" s="5"/>
      <c r="W203" s="6"/>
      <c r="X203" s="6">
        <f>E203*F203/100</f>
      </c>
      <c r="Y203" s="6">
        <f>E203*G203/100</f>
      </c>
      <c r="Z203" s="7">
        <f>E203*H203</f>
      </c>
      <c r="AA203" s="7">
        <f>E203*J203</f>
      </c>
      <c r="AB203" s="6">
        <f>E203*I203/100</f>
      </c>
      <c r="AC203" s="15">
        <f>X203+Y203+AB203</f>
      </c>
      <c r="AD203" s="6">
        <f>F203+G203+I203</f>
      </c>
      <c r="AE203" s="3"/>
      <c r="AF203" s="6">
        <f>SUM(AM203:BC203)</f>
      </c>
      <c r="AG203" s="5">
        <f>IF(SUM(AM203:AO203)&gt;0.7*AF203,1,0)</f>
      </c>
      <c r="AH203" s="5">
        <f>IF(AN203&gt;0.4*AF203,1,0)</f>
      </c>
      <c r="AI203" s="5">
        <f>IF(SUM(AP203:AQ203)&gt;0.3*AF203,1,0)</f>
      </c>
      <c r="AJ203" s="5">
        <f>IF(AQ203&gt;0.2*AF203,1,0)</f>
      </c>
      <c r="AK203" s="5">
        <f>IF(SUM(AR203:BC203)&gt;0.3*AF203,1,0)</f>
      </c>
      <c r="AL203" s="3"/>
      <c r="AM203" s="6">
        <f>(F203/100)*AM$41</f>
      </c>
      <c r="AN203" s="6">
        <f>(G203/100)*AN$41</f>
      </c>
      <c r="AO203" s="6">
        <f>(H203/1000000)*AO$41</f>
      </c>
      <c r="AP203" s="6">
        <f>(I203/100)*AP$41</f>
      </c>
      <c r="AQ203" s="6">
        <f>(J203/1000000)*AQ$41</f>
      </c>
      <c r="AR203" s="6">
        <f>(K203/100)*AR$41</f>
      </c>
      <c r="AS203" s="6">
        <f>(L203/100)*AS$41</f>
      </c>
      <c r="AT203" s="6">
        <f>(M203/100)*AT$41</f>
      </c>
      <c r="AU203" s="6">
        <f>(N203/100)*AU$41</f>
      </c>
      <c r="AV203" s="6">
        <f>(O203/1000000)*AV$41</f>
      </c>
      <c r="AW203" s="6">
        <f>(P203/100)*AW$41</f>
      </c>
      <c r="AX203" s="6">
        <f>(Q203/100)*AX$41</f>
      </c>
      <c r="AY203" s="6">
        <f>(R203/100)*AY$41</f>
      </c>
      <c r="AZ203" s="6">
        <f>(S203/100)*AZ$41</f>
      </c>
      <c r="BA203" s="6">
        <f>(T203/100)*BA$41</f>
      </c>
      <c r="BB203" s="6">
        <f>(U203/100)*BB$41</f>
      </c>
      <c r="BC203" s="6"/>
      <c r="BD203" s="3"/>
      <c r="BE203" s="3"/>
      <c r="BF203" s="7">
        <f>AF203*E203</f>
      </c>
      <c r="BG203" s="6"/>
      <c r="BH203" s="3"/>
      <c r="BI203" s="6"/>
    </row>
    <row x14ac:dyDescent="0.25" r="204" customHeight="1" ht="12.75">
      <c r="A204" s="5" t="s">
        <v>776</v>
      </c>
      <c r="B204" s="3" t="s">
        <v>855</v>
      </c>
      <c r="C204" s="43" t="s">
        <v>863</v>
      </c>
      <c r="D204" s="34"/>
      <c r="E204" s="6">
        <v>0.36</v>
      </c>
      <c r="F204" s="6">
        <v>0.2</v>
      </c>
      <c r="G204" s="7">
        <v>4</v>
      </c>
      <c r="H204" s="7"/>
      <c r="I204" s="6"/>
      <c r="J204" s="6"/>
      <c r="K204" s="7"/>
      <c r="L204" s="6"/>
      <c r="M204" s="6"/>
      <c r="N204" s="23"/>
      <c r="O204" s="5"/>
      <c r="P204" s="6"/>
      <c r="Q204" s="6"/>
      <c r="R204" s="6"/>
      <c r="S204" s="6"/>
      <c r="T204" s="6"/>
      <c r="U204" s="6"/>
      <c r="V204" s="5"/>
      <c r="W204" s="6"/>
      <c r="X204" s="6">
        <f>E204*F204/100</f>
      </c>
      <c r="Y204" s="6">
        <f>E204*G204/100</f>
      </c>
      <c r="Z204" s="7">
        <f>E204*H204</f>
      </c>
      <c r="AA204" s="7">
        <f>E204*J204</f>
      </c>
      <c r="AB204" s="6">
        <f>E204*I204/100</f>
      </c>
      <c r="AC204" s="15">
        <f>X204+Y204+AB204</f>
      </c>
      <c r="AD204" s="6">
        <f>F204+G204+I204</f>
      </c>
      <c r="AE204" s="3"/>
      <c r="AF204" s="6">
        <f>SUM(AM204:BC204)</f>
      </c>
      <c r="AG204" s="5">
        <f>IF(SUM(AM204:AO204)&gt;0.7*AF204,1,0)</f>
      </c>
      <c r="AH204" s="5">
        <f>IF(AN204&gt;0.4*AF204,1,0)</f>
      </c>
      <c r="AI204" s="5">
        <f>IF(SUM(AP204:AQ204)&gt;0.3*AF204,1,0)</f>
      </c>
      <c r="AJ204" s="5">
        <f>IF(AQ204&gt;0.2*AF204,1,0)</f>
      </c>
      <c r="AK204" s="5">
        <f>IF(SUM(AR204:BC204)&gt;0.3*AF204,1,0)</f>
      </c>
      <c r="AL204" s="3"/>
      <c r="AM204" s="6">
        <f>(F204/100)*AM$41</f>
      </c>
      <c r="AN204" s="6">
        <f>(G204/100)*AN$41</f>
      </c>
      <c r="AO204" s="6">
        <f>(H204/1000000)*AO$41</f>
      </c>
      <c r="AP204" s="6">
        <f>(I204/100)*AP$41</f>
      </c>
      <c r="AQ204" s="6">
        <f>(J204/1000000)*AQ$41</f>
      </c>
      <c r="AR204" s="6">
        <f>(K204/100)*AR$41</f>
      </c>
      <c r="AS204" s="6">
        <f>(L204/100)*AS$41</f>
      </c>
      <c r="AT204" s="6">
        <f>(M204/100)*AT$41</f>
      </c>
      <c r="AU204" s="6">
        <f>(N204/100)*AU$41</f>
      </c>
      <c r="AV204" s="6">
        <f>(O204/1000000)*AV$41</f>
      </c>
      <c r="AW204" s="6">
        <f>(P204/100)*AW$41</f>
      </c>
      <c r="AX204" s="6">
        <f>(Q204/100)*AX$41</f>
      </c>
      <c r="AY204" s="6">
        <f>(R204/100)*AY$41</f>
      </c>
      <c r="AZ204" s="6">
        <f>(S204/100)*AZ$41</f>
      </c>
      <c r="BA204" s="6">
        <f>(T204/100)*BA$41</f>
      </c>
      <c r="BB204" s="6">
        <f>(U204/100)*BB$41</f>
      </c>
      <c r="BC204" s="6"/>
      <c r="BD204" s="3"/>
      <c r="BE204" s="3"/>
      <c r="BF204" s="7">
        <f>AF204*E204</f>
      </c>
      <c r="BG204" s="6"/>
      <c r="BH204" s="3"/>
      <c r="BI204" s="6"/>
    </row>
    <row x14ac:dyDescent="0.25" r="205" customHeight="1" ht="12.75">
      <c r="A205" s="5" t="s">
        <v>75</v>
      </c>
      <c r="B205" s="3" t="s">
        <v>855</v>
      </c>
      <c r="C205" s="43" t="s">
        <v>863</v>
      </c>
      <c r="D205" s="34"/>
      <c r="E205" s="6">
        <v>0.274</v>
      </c>
      <c r="F205" s="6">
        <v>1.9130656934306567</v>
      </c>
      <c r="G205" s="6">
        <v>1.282043795620438</v>
      </c>
      <c r="H205" s="31">
        <v>867.8759124087591</v>
      </c>
      <c r="I205" s="6"/>
      <c r="J205" s="6">
        <v>0.16452554744525547</v>
      </c>
      <c r="K205" s="7"/>
      <c r="L205" s="6"/>
      <c r="M205" s="6"/>
      <c r="N205" s="23"/>
      <c r="O205" s="5"/>
      <c r="P205" s="6"/>
      <c r="Q205" s="6"/>
      <c r="R205" s="6"/>
      <c r="S205" s="6"/>
      <c r="T205" s="6"/>
      <c r="U205" s="6"/>
      <c r="V205" s="5"/>
      <c r="W205" s="6"/>
      <c r="X205" s="6">
        <f>E205*F205/100</f>
      </c>
      <c r="Y205" s="6">
        <f>E205*G205/100</f>
      </c>
      <c r="Z205" s="7">
        <f>E205*H205</f>
      </c>
      <c r="AA205" s="7">
        <f>E205*J205</f>
      </c>
      <c r="AB205" s="6">
        <f>E205*I205/100</f>
      </c>
      <c r="AC205" s="15">
        <f>X205+Y205+AB205</f>
      </c>
      <c r="AD205" s="6">
        <f>F205+G205+I205</f>
      </c>
      <c r="AE205" s="3"/>
      <c r="AF205" s="6">
        <f>SUM(AM205:BC205)</f>
      </c>
      <c r="AG205" s="5">
        <f>IF(SUM(AM205:AO205)&gt;0.7*AF205,1,0)</f>
      </c>
      <c r="AH205" s="5">
        <f>IF(AN205&gt;0.4*AF205,1,0)</f>
      </c>
      <c r="AI205" s="5">
        <f>IF(SUM(AP205:AQ205)&gt;0.3*AF205,1,0)</f>
      </c>
      <c r="AJ205" s="5">
        <f>IF(AQ205&gt;0.2*AF205,1,0)</f>
      </c>
      <c r="AK205" s="5">
        <f>IF(SUM(AR205:BC205)&gt;0.3*AF205,1,0)</f>
      </c>
      <c r="AL205" s="3"/>
      <c r="AM205" s="6">
        <f>(F205/100)*AM$41</f>
      </c>
      <c r="AN205" s="6">
        <f>(G205/100)*AN$41</f>
      </c>
      <c r="AO205" s="6">
        <f>(H205/1000000)*AO$41</f>
      </c>
      <c r="AP205" s="6">
        <f>(I205/100)*AP$41</f>
      </c>
      <c r="AQ205" s="6">
        <f>(J205/1000000)*AQ$41</f>
      </c>
      <c r="AR205" s="6">
        <f>(K205/100)*AR$41</f>
      </c>
      <c r="AS205" s="6">
        <f>(L205/100)*AS$41</f>
      </c>
      <c r="AT205" s="6">
        <f>(M205/100)*AT$41</f>
      </c>
      <c r="AU205" s="6">
        <f>(N205/100)*AU$41</f>
      </c>
      <c r="AV205" s="6">
        <f>(O205/1000000)*AV$41</f>
      </c>
      <c r="AW205" s="6">
        <f>(P205/100)*AW$41</f>
      </c>
      <c r="AX205" s="6">
        <f>(Q205/100)*AX$41</f>
      </c>
      <c r="AY205" s="6">
        <f>(R205/100)*AY$41</f>
      </c>
      <c r="AZ205" s="6">
        <f>(S205/100)*AZ$41</f>
      </c>
      <c r="BA205" s="6">
        <f>(T205/100)*BA$41</f>
      </c>
      <c r="BB205" s="6">
        <f>(U205/100)*BB$41</f>
      </c>
      <c r="BC205" s="6"/>
      <c r="BD205" s="3"/>
      <c r="BE205" s="3"/>
      <c r="BF205" s="7">
        <f>AF205*E205</f>
      </c>
      <c r="BG205" s="6"/>
      <c r="BH205" s="3"/>
      <c r="BI205" s="6"/>
    </row>
    <row x14ac:dyDescent="0.25" r="206" customHeight="1" ht="12.75">
      <c r="A206" s="5" t="s">
        <v>331</v>
      </c>
      <c r="B206" s="3" t="s">
        <v>855</v>
      </c>
      <c r="C206" s="43" t="s">
        <v>863</v>
      </c>
      <c r="D206" s="34" t="s">
        <v>974</v>
      </c>
      <c r="E206" s="6">
        <v>21.54</v>
      </c>
      <c r="F206" s="6">
        <v>3.5180687093779013</v>
      </c>
      <c r="G206" s="6">
        <v>1.1498560817084496</v>
      </c>
      <c r="H206" s="31">
        <v>242.2845868152275</v>
      </c>
      <c r="I206" s="6"/>
      <c r="J206" s="6">
        <v>0.08469359331476324</v>
      </c>
      <c r="K206" s="7"/>
      <c r="L206" s="6"/>
      <c r="M206" s="6"/>
      <c r="N206" s="23"/>
      <c r="O206" s="5"/>
      <c r="P206" s="6"/>
      <c r="Q206" s="6"/>
      <c r="R206" s="6"/>
      <c r="S206" s="6"/>
      <c r="T206" s="6"/>
      <c r="U206" s="6"/>
      <c r="V206" s="5"/>
      <c r="W206" s="6"/>
      <c r="X206" s="6">
        <f>E206*F206/100</f>
      </c>
      <c r="Y206" s="6">
        <f>E206*G206/100</f>
      </c>
      <c r="Z206" s="7">
        <f>E206*H206</f>
      </c>
      <c r="AA206" s="7">
        <f>E206*J206</f>
      </c>
      <c r="AB206" s="6">
        <f>E206*I206/100</f>
      </c>
      <c r="AC206" s="15">
        <f>X206+Y206+AB206</f>
      </c>
      <c r="AD206" s="6">
        <f>F206+G206+I206</f>
      </c>
      <c r="AE206" s="3"/>
      <c r="AF206" s="6">
        <f>SUM(AM206:BC206)</f>
      </c>
      <c r="AG206" s="5">
        <f>IF(SUM(AM206:AO206)&gt;0.7*AF206,1,0)</f>
      </c>
      <c r="AH206" s="5">
        <f>IF(AN206&gt;0.4*AF206,1,0)</f>
      </c>
      <c r="AI206" s="5">
        <f>IF(SUM(AP206:AQ206)&gt;0.3*AF206,1,0)</f>
      </c>
      <c r="AJ206" s="5">
        <f>IF(AQ206&gt;0.2*AF206,1,0)</f>
      </c>
      <c r="AK206" s="5">
        <f>IF(SUM(AR206:BC206)&gt;0.3*AF206,1,0)</f>
      </c>
      <c r="AL206" s="3"/>
      <c r="AM206" s="6">
        <f>(F206/100)*AM$41</f>
      </c>
      <c r="AN206" s="6">
        <f>(G206/100)*AN$41</f>
      </c>
      <c r="AO206" s="6">
        <f>(H206/1000000)*AO$41</f>
      </c>
      <c r="AP206" s="6">
        <f>(I206/100)*AP$41</f>
      </c>
      <c r="AQ206" s="6">
        <f>(J206/1000000)*AQ$41</f>
      </c>
      <c r="AR206" s="6">
        <f>(K206/100)*AR$41</f>
      </c>
      <c r="AS206" s="6">
        <f>(L206/100)*AS$41</f>
      </c>
      <c r="AT206" s="6">
        <f>(M206/100)*AT$41</f>
      </c>
      <c r="AU206" s="6">
        <f>(N206/100)*AU$41</f>
      </c>
      <c r="AV206" s="6">
        <f>(O206/1000000)*AV$41</f>
      </c>
      <c r="AW206" s="6">
        <f>(P206/100)*AW$41</f>
      </c>
      <c r="AX206" s="6">
        <f>(Q206/100)*AX$41</f>
      </c>
      <c r="AY206" s="6">
        <f>(R206/100)*AY$41</f>
      </c>
      <c r="AZ206" s="6">
        <f>(S206/100)*AZ$41</f>
      </c>
      <c r="BA206" s="6">
        <f>(T206/100)*BA$41</f>
      </c>
      <c r="BB206" s="6">
        <f>(U206/100)*BB$41</f>
      </c>
      <c r="BC206" s="6"/>
      <c r="BD206" s="3"/>
      <c r="BE206" s="3"/>
      <c r="BF206" s="7">
        <f>AF206*E206</f>
      </c>
      <c r="BG206" s="6"/>
      <c r="BH206" s="3"/>
      <c r="BI206" s="6"/>
    </row>
    <row x14ac:dyDescent="0.25" r="207" customHeight="1" ht="12.75">
      <c r="A207" s="5" t="s">
        <v>157</v>
      </c>
      <c r="B207" s="38" t="s">
        <v>859</v>
      </c>
      <c r="C207" s="43" t="s">
        <v>863</v>
      </c>
      <c r="D207" s="34"/>
      <c r="E207" s="23">
        <v>1.2649409999999999</v>
      </c>
      <c r="F207" s="6">
        <v>2.5</v>
      </c>
      <c r="G207" s="6">
        <v>3.5</v>
      </c>
      <c r="H207" s="31">
        <v>242.16761959727768</v>
      </c>
      <c r="I207" s="6"/>
      <c r="J207" s="6">
        <v>5.326790581220784</v>
      </c>
      <c r="K207" s="7"/>
      <c r="L207" s="6"/>
      <c r="M207" s="6"/>
      <c r="N207" s="23"/>
      <c r="O207" s="5"/>
      <c r="P207" s="6"/>
      <c r="Q207" s="6"/>
      <c r="R207" s="6"/>
      <c r="S207" s="6"/>
      <c r="T207" s="6"/>
      <c r="U207" s="6"/>
      <c r="V207" s="5"/>
      <c r="W207" s="6"/>
      <c r="X207" s="6">
        <f>E207*F207/100</f>
      </c>
      <c r="Y207" s="6">
        <f>E207*G207/100</f>
      </c>
      <c r="Z207" s="7">
        <f>E207*H207</f>
      </c>
      <c r="AA207" s="7">
        <f>E207*J207</f>
      </c>
      <c r="AB207" s="6">
        <f>E207*I207/100</f>
      </c>
      <c r="AC207" s="15">
        <f>X207+Y207+AB207</f>
      </c>
      <c r="AD207" s="6">
        <f>F207+G207+I207</f>
      </c>
      <c r="AE207" s="3"/>
      <c r="AF207" s="6">
        <f>SUM(AM207:BC207)</f>
      </c>
      <c r="AG207" s="5">
        <f>IF(SUM(AM207:AO207)&gt;0.7*AF207,1,0)</f>
      </c>
      <c r="AH207" s="5">
        <f>IF(AN207&gt;0.4*AF207,1,0)</f>
      </c>
      <c r="AI207" s="5">
        <f>IF(SUM(AP207:AQ207)&gt;0.3*AF207,1,0)</f>
      </c>
      <c r="AJ207" s="5">
        <f>IF(AQ207&gt;0.2*AF207,1,0)</f>
      </c>
      <c r="AK207" s="5">
        <f>IF(SUM(AR207:BC207)&gt;0.3*AF207,1,0)</f>
      </c>
      <c r="AL207" s="3"/>
      <c r="AM207" s="6">
        <f>(F207/100)*AM$41</f>
      </c>
      <c r="AN207" s="6">
        <f>(G207/100)*AN$41</f>
      </c>
      <c r="AO207" s="6">
        <f>(H207/1000000)*AO$41</f>
      </c>
      <c r="AP207" s="6">
        <f>(I207/100)*AP$41</f>
      </c>
      <c r="AQ207" s="6">
        <f>(J207/1000000)*AQ$41</f>
      </c>
      <c r="AR207" s="6">
        <f>(K207/100)*AR$41</f>
      </c>
      <c r="AS207" s="6">
        <f>(L207/100)*AS$41</f>
      </c>
      <c r="AT207" s="6">
        <f>(M207/100)*AT$41</f>
      </c>
      <c r="AU207" s="6">
        <f>(N207/100)*AU$41</f>
      </c>
      <c r="AV207" s="6">
        <f>(O207/1000000)*AV$41</f>
      </c>
      <c r="AW207" s="6">
        <f>(P207/100)*AW$41</f>
      </c>
      <c r="AX207" s="6">
        <f>(Q207/100)*AX$41</f>
      </c>
      <c r="AY207" s="6">
        <f>(R207/100)*AY$41</f>
      </c>
      <c r="AZ207" s="6">
        <f>(S207/100)*AZ$41</f>
      </c>
      <c r="BA207" s="6">
        <f>(T207/100)*BA$41</f>
      </c>
      <c r="BB207" s="6">
        <f>(U207/100)*BB$41</f>
      </c>
      <c r="BC207" s="6"/>
      <c r="BD207" s="3"/>
      <c r="BE207" s="3"/>
      <c r="BF207" s="7">
        <f>AF207*E207</f>
      </c>
      <c r="BG207" s="6"/>
      <c r="BH207" s="3"/>
      <c r="BI207" s="6"/>
    </row>
    <row x14ac:dyDescent="0.25" r="208" customHeight="1" ht="12.75">
      <c r="A208" s="5" t="s">
        <v>529</v>
      </c>
      <c r="B208" s="3" t="s">
        <v>855</v>
      </c>
      <c r="C208" s="43" t="s">
        <v>864</v>
      </c>
      <c r="D208" s="34"/>
      <c r="E208" s="6">
        <v>20.5</v>
      </c>
      <c r="F208" s="6">
        <v>1.1</v>
      </c>
      <c r="G208" s="5">
        <v>2</v>
      </c>
      <c r="H208" s="5">
        <v>9</v>
      </c>
      <c r="I208" s="6">
        <v>0.1</v>
      </c>
      <c r="J208" s="6"/>
      <c r="K208" s="7"/>
      <c r="L208" s="6"/>
      <c r="M208" s="6"/>
      <c r="N208" s="23"/>
      <c r="O208" s="5"/>
      <c r="P208" s="6"/>
      <c r="Q208" s="6"/>
      <c r="R208" s="6"/>
      <c r="S208" s="6"/>
      <c r="T208" s="6"/>
      <c r="U208" s="6"/>
      <c r="V208" s="5"/>
      <c r="W208" s="6"/>
      <c r="X208" s="6">
        <f>E208*F208/100</f>
      </c>
      <c r="Y208" s="6">
        <f>E208*G208/100</f>
      </c>
      <c r="Z208" s="7">
        <f>E208*H208</f>
      </c>
      <c r="AA208" s="7">
        <f>E208*J208</f>
      </c>
      <c r="AB208" s="6">
        <f>E208*I208/100</f>
      </c>
      <c r="AC208" s="15">
        <f>X208+Y208+AB208</f>
      </c>
      <c r="AD208" s="6">
        <f>F208+G208+I208</f>
      </c>
      <c r="AE208" s="3"/>
      <c r="AF208" s="6">
        <f>SUM(AM208:BC208)</f>
      </c>
      <c r="AG208" s="5">
        <f>IF(SUM(AM208:AO208)&gt;0.7*AF208,1,0)</f>
      </c>
      <c r="AH208" s="5">
        <f>IF(AN208&gt;0.4*AF208,1,0)</f>
      </c>
      <c r="AI208" s="5">
        <f>IF(SUM(AP208:AQ208)&gt;0.3*AF208,1,0)</f>
      </c>
      <c r="AJ208" s="5">
        <f>IF(AQ208&gt;0.2*AF208,1,0)</f>
      </c>
      <c r="AK208" s="5">
        <f>IF(SUM(AR208:BC208)&gt;0.3*AF208,1,0)</f>
      </c>
      <c r="AL208" s="3"/>
      <c r="AM208" s="6">
        <f>(F208/100)*AM$41</f>
      </c>
      <c r="AN208" s="6">
        <f>(G208/100)*AN$41</f>
      </c>
      <c r="AO208" s="6">
        <f>(H208/1000000)*AO$41</f>
      </c>
      <c r="AP208" s="6">
        <f>(I208/100)*AP$41</f>
      </c>
      <c r="AQ208" s="6">
        <f>(J208/1000000)*AQ$41</f>
      </c>
      <c r="AR208" s="6">
        <f>(K208/100)*AR$41</f>
      </c>
      <c r="AS208" s="6">
        <f>(L208/100)*AS$41</f>
      </c>
      <c r="AT208" s="6">
        <f>(M208/100)*AT$41</f>
      </c>
      <c r="AU208" s="6">
        <f>(N208/100)*AU$41</f>
      </c>
      <c r="AV208" s="6">
        <f>(O208/1000000)*AV$41</f>
      </c>
      <c r="AW208" s="6">
        <f>(P208/100)*AW$41</f>
      </c>
      <c r="AX208" s="6">
        <f>(Q208/100)*AX$41</f>
      </c>
      <c r="AY208" s="6">
        <f>(R208/100)*AY$41</f>
      </c>
      <c r="AZ208" s="6">
        <f>(S208/100)*AZ$41</f>
      </c>
      <c r="BA208" s="6">
        <f>(T208/100)*BA$41</f>
      </c>
      <c r="BB208" s="6">
        <f>(U208/100)*BB$41</f>
      </c>
      <c r="BC208" s="6"/>
      <c r="BD208" s="3"/>
      <c r="BE208" s="3"/>
      <c r="BF208" s="7">
        <f>AF208*E208</f>
      </c>
      <c r="BG208" s="6"/>
      <c r="BH208" s="3"/>
      <c r="BI208" s="6"/>
    </row>
    <row x14ac:dyDescent="0.25" r="209" customHeight="1" ht="12.75">
      <c r="A209" s="5" t="s">
        <v>678</v>
      </c>
      <c r="B209" s="3" t="s">
        <v>855</v>
      </c>
      <c r="C209" s="43" t="s">
        <v>864</v>
      </c>
      <c r="D209" s="34" t="s">
        <v>977</v>
      </c>
      <c r="E209" s="6">
        <v>6.24</v>
      </c>
      <c r="F209" s="7">
        <v>2</v>
      </c>
      <c r="G209" s="6">
        <v>1.2</v>
      </c>
      <c r="H209" s="7">
        <v>47</v>
      </c>
      <c r="I209" s="7">
        <v>1</v>
      </c>
      <c r="J209" s="6">
        <v>0.8</v>
      </c>
      <c r="K209" s="7"/>
      <c r="L209" s="6"/>
      <c r="M209" s="6"/>
      <c r="N209" s="23"/>
      <c r="O209" s="5"/>
      <c r="P209" s="6"/>
      <c r="Q209" s="6"/>
      <c r="R209" s="6"/>
      <c r="S209" s="6"/>
      <c r="T209" s="6"/>
      <c r="U209" s="6"/>
      <c r="V209" s="5"/>
      <c r="W209" s="6"/>
      <c r="X209" s="6">
        <f>E209*F209/100</f>
      </c>
      <c r="Y209" s="6">
        <f>E209*G209/100</f>
      </c>
      <c r="Z209" s="7">
        <f>E209*H209</f>
      </c>
      <c r="AA209" s="7">
        <f>E209*J209</f>
      </c>
      <c r="AB209" s="6">
        <f>E209*I209/100</f>
      </c>
      <c r="AC209" s="15">
        <f>X209+Y209+AB209</f>
      </c>
      <c r="AD209" s="6">
        <f>F209+G209+I209</f>
      </c>
      <c r="AE209" s="3"/>
      <c r="AF209" s="6">
        <f>SUM(AM209:BC209)</f>
      </c>
      <c r="AG209" s="5">
        <f>IF(SUM(AM209:AO209)&gt;0.7*AF209,1,0)</f>
      </c>
      <c r="AH209" s="5">
        <f>IF(AN209&gt;0.4*AF209,1,0)</f>
      </c>
      <c r="AI209" s="5">
        <f>IF(SUM(AP209:AQ209)&gt;0.3*AF209,1,0)</f>
      </c>
      <c r="AJ209" s="5">
        <f>IF(AQ209&gt;0.2*AF209,1,0)</f>
      </c>
      <c r="AK209" s="5">
        <f>IF(SUM(AR209:BC209)&gt;0.3*AF209,1,0)</f>
      </c>
      <c r="AL209" s="3"/>
      <c r="AM209" s="6">
        <f>(F209/100)*AM$41</f>
      </c>
      <c r="AN209" s="6">
        <f>(G209/100)*AN$41</f>
      </c>
      <c r="AO209" s="6">
        <f>(H209/1000000)*AO$41</f>
      </c>
      <c r="AP209" s="6">
        <f>(I209/100)*AP$41</f>
      </c>
      <c r="AQ209" s="6">
        <f>(J209/1000000)*AQ$41</f>
      </c>
      <c r="AR209" s="6">
        <f>(K209/100)*AR$41</f>
      </c>
      <c r="AS209" s="6">
        <f>(L209/100)*AS$41</f>
      </c>
      <c r="AT209" s="6">
        <f>(M209/100)*AT$41</f>
      </c>
      <c r="AU209" s="6">
        <f>(N209/100)*AU$41</f>
      </c>
      <c r="AV209" s="6">
        <f>(O209/1000000)*AV$41</f>
      </c>
      <c r="AW209" s="6">
        <f>(P209/100)*AW$41</f>
      </c>
      <c r="AX209" s="6">
        <f>(Q209/100)*AX$41</f>
      </c>
      <c r="AY209" s="6">
        <f>(R209/100)*AY$41</f>
      </c>
      <c r="AZ209" s="6">
        <f>(S209/100)*AZ$41</f>
      </c>
      <c r="BA209" s="6">
        <f>(T209/100)*BA$41</f>
      </c>
      <c r="BB209" s="6">
        <f>(U209/100)*BB$41</f>
      </c>
      <c r="BC209" s="6"/>
      <c r="BD209" s="3"/>
      <c r="BE209" s="3"/>
      <c r="BF209" s="7">
        <f>AF209*E209</f>
      </c>
      <c r="BG209" s="6"/>
      <c r="BH209" s="3"/>
      <c r="BI209" s="6"/>
    </row>
    <row x14ac:dyDescent="0.25" r="210" customHeight="1" ht="12.75">
      <c r="A210" s="5" t="s">
        <v>608</v>
      </c>
      <c r="B210" s="3" t="s">
        <v>855</v>
      </c>
      <c r="C210" s="43" t="s">
        <v>864</v>
      </c>
      <c r="D210" s="34"/>
      <c r="E210" s="6">
        <v>1.25</v>
      </c>
      <c r="F210" s="6">
        <v>1.76</v>
      </c>
      <c r="G210" s="6">
        <v>3.3</v>
      </c>
      <c r="H210" s="6">
        <v>68.8</v>
      </c>
      <c r="I210" s="6">
        <v>0.81</v>
      </c>
      <c r="J210" s="6">
        <v>0.66</v>
      </c>
      <c r="K210" s="7"/>
      <c r="L210" s="6"/>
      <c r="M210" s="6"/>
      <c r="N210" s="23"/>
      <c r="O210" s="5"/>
      <c r="P210" s="6"/>
      <c r="Q210" s="6"/>
      <c r="R210" s="6"/>
      <c r="S210" s="6"/>
      <c r="T210" s="6"/>
      <c r="U210" s="6"/>
      <c r="V210" s="5"/>
      <c r="W210" s="6"/>
      <c r="X210" s="6">
        <f>E210*F210/100</f>
      </c>
      <c r="Y210" s="6">
        <f>E210*G210/100</f>
      </c>
      <c r="Z210" s="7">
        <f>E210*H210</f>
      </c>
      <c r="AA210" s="7">
        <f>E210*J210</f>
      </c>
      <c r="AB210" s="6">
        <f>E210*I210/100</f>
      </c>
      <c r="AC210" s="15">
        <f>X210+Y210+AB210</f>
      </c>
      <c r="AD210" s="6">
        <f>F210+G210+I210</f>
      </c>
      <c r="AE210" s="3"/>
      <c r="AF210" s="6">
        <f>SUM(AM210:BC210)</f>
      </c>
      <c r="AG210" s="5">
        <f>IF(SUM(AM210:AO210)&gt;0.7*AF210,1,0)</f>
      </c>
      <c r="AH210" s="5">
        <f>IF(AN210&gt;0.4*AF210,1,0)</f>
      </c>
      <c r="AI210" s="5">
        <f>IF(SUM(AP210:AQ210)&gt;0.3*AF210,1,0)</f>
      </c>
      <c r="AJ210" s="5">
        <f>IF(AQ210&gt;0.2*AF210,1,0)</f>
      </c>
      <c r="AK210" s="5">
        <f>IF(SUM(AR210:BC210)&gt;0.3*AF210,1,0)</f>
      </c>
      <c r="AL210" s="3"/>
      <c r="AM210" s="6">
        <f>(F210/100)*AM$41</f>
      </c>
      <c r="AN210" s="6">
        <f>(G210/100)*AN$41</f>
      </c>
      <c r="AO210" s="6">
        <f>(H210/1000000)*AO$41</f>
      </c>
      <c r="AP210" s="6">
        <f>(I210/100)*AP$41</f>
      </c>
      <c r="AQ210" s="6">
        <f>(J210/1000000)*AQ$41</f>
      </c>
      <c r="AR210" s="6">
        <f>(K210/100)*AR$41</f>
      </c>
      <c r="AS210" s="6">
        <f>(L210/100)*AS$41</f>
      </c>
      <c r="AT210" s="6">
        <f>(M210/100)*AT$41</f>
      </c>
      <c r="AU210" s="6">
        <f>(N210/100)*AU$41</f>
      </c>
      <c r="AV210" s="6">
        <f>(O210/1000000)*AV$41</f>
      </c>
      <c r="AW210" s="6">
        <f>(P210/100)*AW$41</f>
      </c>
      <c r="AX210" s="6">
        <f>(Q210/100)*AX$41</f>
      </c>
      <c r="AY210" s="6">
        <f>(R210/100)*AY$41</f>
      </c>
      <c r="AZ210" s="6">
        <f>(S210/100)*AZ$41</f>
      </c>
      <c r="BA210" s="6">
        <f>(T210/100)*BA$41</f>
      </c>
      <c r="BB210" s="6">
        <f>(U210/100)*BB$41</f>
      </c>
      <c r="BC210" s="6"/>
      <c r="BD210" s="3"/>
      <c r="BE210" s="3"/>
      <c r="BF210" s="7">
        <f>AF210*E210</f>
      </c>
      <c r="BG210" s="6"/>
      <c r="BH210" s="3"/>
      <c r="BI210" s="6"/>
    </row>
    <row x14ac:dyDescent="0.25" r="211" customHeight="1" ht="12.75">
      <c r="A211" s="5" t="s">
        <v>755</v>
      </c>
      <c r="B211" s="3" t="s">
        <v>855</v>
      </c>
      <c r="C211" s="43" t="s">
        <v>864</v>
      </c>
      <c r="D211" s="34"/>
      <c r="E211" s="6">
        <v>2.9</v>
      </c>
      <c r="F211" s="6"/>
      <c r="G211" s="6">
        <v>1.15</v>
      </c>
      <c r="H211" s="7">
        <v>29.3</v>
      </c>
      <c r="I211" s="6">
        <v>0.77</v>
      </c>
      <c r="J211" s="6">
        <v>1.75</v>
      </c>
      <c r="K211" s="7"/>
      <c r="L211" s="6"/>
      <c r="M211" s="6"/>
      <c r="N211" s="23"/>
      <c r="O211" s="5"/>
      <c r="P211" s="6"/>
      <c r="Q211" s="6"/>
      <c r="R211" s="6"/>
      <c r="S211" s="6"/>
      <c r="T211" s="6"/>
      <c r="U211" s="6"/>
      <c r="V211" s="5"/>
      <c r="W211" s="6"/>
      <c r="X211" s="6">
        <f>E211*F211/100</f>
      </c>
      <c r="Y211" s="6">
        <f>E211*G211/100</f>
      </c>
      <c r="Z211" s="7">
        <f>E211*H211</f>
      </c>
      <c r="AA211" s="7">
        <f>E211*J211</f>
      </c>
      <c r="AB211" s="6">
        <f>E211*I211/100</f>
      </c>
      <c r="AC211" s="15">
        <f>X211+Y211+AB211</f>
      </c>
      <c r="AD211" s="6">
        <f>F211+G211+I211</f>
      </c>
      <c r="AE211" s="3"/>
      <c r="AF211" s="6">
        <f>SUM(AM211:BC211)</f>
      </c>
      <c r="AG211" s="5">
        <f>IF(SUM(AM211:AO211)&gt;0.7*AF211,1,0)</f>
      </c>
      <c r="AH211" s="5">
        <f>IF(AN211&gt;0.4*AF211,1,0)</f>
      </c>
      <c r="AI211" s="5">
        <f>IF(SUM(AP211:AQ211)&gt;0.3*AF211,1,0)</f>
      </c>
      <c r="AJ211" s="5">
        <f>IF(AQ211&gt;0.2*AF211,1,0)</f>
      </c>
      <c r="AK211" s="5">
        <f>IF(SUM(AR211:BC211)&gt;0.3*AF211,1,0)</f>
      </c>
      <c r="AL211" s="3"/>
      <c r="AM211" s="6">
        <f>(F211/100)*AM$41</f>
      </c>
      <c r="AN211" s="6">
        <f>(G211/100)*AN$41</f>
      </c>
      <c r="AO211" s="6">
        <f>(H211/1000000)*AO$41</f>
      </c>
      <c r="AP211" s="6">
        <f>(I211/100)*AP$41</f>
      </c>
      <c r="AQ211" s="6">
        <f>(J211/1000000)*AQ$41</f>
      </c>
      <c r="AR211" s="6">
        <f>(K211/100)*AR$41</f>
      </c>
      <c r="AS211" s="6">
        <f>(L211/100)*AS$41</f>
      </c>
      <c r="AT211" s="6">
        <f>(M211/100)*AT$41</f>
      </c>
      <c r="AU211" s="6">
        <f>(N211/100)*AU$41</f>
      </c>
      <c r="AV211" s="6">
        <f>(O211/1000000)*AV$41</f>
      </c>
      <c r="AW211" s="6">
        <f>(P211/100)*AW$41</f>
      </c>
      <c r="AX211" s="6">
        <f>(Q211/100)*AX$41</f>
      </c>
      <c r="AY211" s="6">
        <f>(R211/100)*AY$41</f>
      </c>
      <c r="AZ211" s="6">
        <f>(S211/100)*AZ$41</f>
      </c>
      <c r="BA211" s="6">
        <f>(T211/100)*BA$41</f>
      </c>
      <c r="BB211" s="6">
        <f>(U211/100)*BB$41</f>
      </c>
      <c r="BC211" s="6"/>
      <c r="BD211" s="3"/>
      <c r="BE211" s="3"/>
      <c r="BF211" s="7">
        <f>AF211*E211</f>
      </c>
      <c r="BG211" s="6"/>
      <c r="BH211" s="3"/>
      <c r="BI211" s="6"/>
    </row>
    <row x14ac:dyDescent="0.25" r="212" customHeight="1" ht="12.75">
      <c r="A212" s="5" t="s">
        <v>595</v>
      </c>
      <c r="B212" s="3" t="s">
        <v>855</v>
      </c>
      <c r="C212" s="43" t="s">
        <v>864</v>
      </c>
      <c r="D212" s="34"/>
      <c r="E212" s="6">
        <v>0.067</v>
      </c>
      <c r="F212" s="6">
        <v>0.73</v>
      </c>
      <c r="G212" s="6">
        <v>0.25</v>
      </c>
      <c r="H212" s="5">
        <v>16</v>
      </c>
      <c r="I212" s="6"/>
      <c r="J212" s="6">
        <v>4.97</v>
      </c>
      <c r="K212" s="7"/>
      <c r="L212" s="6"/>
      <c r="M212" s="6"/>
      <c r="N212" s="23"/>
      <c r="O212" s="5"/>
      <c r="P212" s="6"/>
      <c r="Q212" s="6"/>
      <c r="R212" s="6"/>
      <c r="S212" s="6"/>
      <c r="T212" s="6"/>
      <c r="U212" s="6"/>
      <c r="V212" s="5"/>
      <c r="W212" s="6"/>
      <c r="X212" s="6">
        <f>E212*F212/100</f>
      </c>
      <c r="Y212" s="6">
        <f>E212*G212/100</f>
      </c>
      <c r="Z212" s="7">
        <f>E212*H212</f>
      </c>
      <c r="AA212" s="7">
        <f>E212*J212</f>
      </c>
      <c r="AB212" s="6">
        <f>E212*I212/100</f>
      </c>
      <c r="AC212" s="15">
        <f>X212+Y212+AB212</f>
      </c>
      <c r="AD212" s="6">
        <f>F212+G212+I212</f>
      </c>
      <c r="AE212" s="3"/>
      <c r="AF212" s="6">
        <f>SUM(AM212:BC212)</f>
      </c>
      <c r="AG212" s="5">
        <f>IF(SUM(AM212:AO212)&gt;0.7*AF212,1,0)</f>
      </c>
      <c r="AH212" s="5">
        <f>IF(AN212&gt;0.4*AF212,1,0)</f>
      </c>
      <c r="AI212" s="5">
        <f>IF(SUM(AP212:AQ212)&gt;0.3*AF212,1,0)</f>
      </c>
      <c r="AJ212" s="5">
        <f>IF(AQ212&gt;0.2*AF212,1,0)</f>
      </c>
      <c r="AK212" s="5">
        <f>IF(SUM(AR212:BC212)&gt;0.3*AF212,1,0)</f>
      </c>
      <c r="AL212" s="3"/>
      <c r="AM212" s="6">
        <f>(F212/100)*AM$41</f>
      </c>
      <c r="AN212" s="6">
        <f>(G212/100)*AN$41</f>
      </c>
      <c r="AO212" s="6">
        <f>(H212/1000000)*AO$41</f>
      </c>
      <c r="AP212" s="6">
        <f>(I212/100)*AP$41</f>
      </c>
      <c r="AQ212" s="6">
        <f>(J212/1000000)*AQ$41</f>
      </c>
      <c r="AR212" s="6">
        <f>(K212/100)*AR$41</f>
      </c>
      <c r="AS212" s="6">
        <f>(L212/100)*AS$41</f>
      </c>
      <c r="AT212" s="6">
        <f>(M212/100)*AT$41</f>
      </c>
      <c r="AU212" s="6">
        <f>(N212/100)*AU$41</f>
      </c>
      <c r="AV212" s="6">
        <f>(O212/1000000)*AV$41</f>
      </c>
      <c r="AW212" s="6">
        <f>(P212/100)*AW$41</f>
      </c>
      <c r="AX212" s="6">
        <f>(Q212/100)*AX$41</f>
      </c>
      <c r="AY212" s="6">
        <f>(R212/100)*AY$41</f>
      </c>
      <c r="AZ212" s="6">
        <f>(S212/100)*AZ$41</f>
      </c>
      <c r="BA212" s="6">
        <f>(T212/100)*BA$41</f>
      </c>
      <c r="BB212" s="6">
        <f>(U212/100)*BB$41</f>
      </c>
      <c r="BC212" s="6"/>
      <c r="BD212" s="3"/>
      <c r="BE212" s="3"/>
      <c r="BF212" s="7">
        <f>AF212*E212</f>
      </c>
      <c r="BG212" s="6"/>
      <c r="BH212" s="3"/>
      <c r="BI212" s="6"/>
    </row>
    <row x14ac:dyDescent="0.25" r="213" customHeight="1" ht="12.75">
      <c r="A213" s="5" t="s">
        <v>515</v>
      </c>
      <c r="B213" s="3" t="s">
        <v>855</v>
      </c>
      <c r="C213" s="43" t="s">
        <v>1076</v>
      </c>
      <c r="D213" s="34"/>
      <c r="E213" s="6">
        <v>27.033</v>
      </c>
      <c r="F213" s="6">
        <v>0.4546388638485226</v>
      </c>
      <c r="G213" s="6">
        <v>0.6819582957727839</v>
      </c>
      <c r="H213" s="7">
        <v>8.86545784504619</v>
      </c>
      <c r="I213" s="6"/>
      <c r="J213" s="6">
        <v>1.7427823114193364</v>
      </c>
      <c r="K213" s="7"/>
      <c r="L213" s="6"/>
      <c r="M213" s="6"/>
      <c r="N213" s="23"/>
      <c r="O213" s="5"/>
      <c r="P213" s="6"/>
      <c r="Q213" s="6"/>
      <c r="R213" s="6"/>
      <c r="S213" s="6"/>
      <c r="T213" s="6"/>
      <c r="U213" s="6"/>
      <c r="V213" s="5"/>
      <c r="W213" s="6"/>
      <c r="X213" s="6">
        <f>E213*F213/100</f>
      </c>
      <c r="Y213" s="6">
        <f>E213*G213/100</f>
      </c>
      <c r="Z213" s="7">
        <f>E213*H213</f>
      </c>
      <c r="AA213" s="7">
        <f>E213*J213</f>
      </c>
      <c r="AB213" s="6">
        <f>E213*I213/100</f>
      </c>
      <c r="AC213" s="15">
        <f>X213+Y213+AB213</f>
      </c>
      <c r="AD213" s="6">
        <f>F213+G213+I213</f>
      </c>
      <c r="AE213" s="3"/>
      <c r="AF213" s="6">
        <f>SUM(AM213:BC213)</f>
      </c>
      <c r="AG213" s="5">
        <f>IF(SUM(AM213:AO213)&gt;0.7*AF213,1,0)</f>
      </c>
      <c r="AH213" s="5">
        <f>IF(AN213&gt;0.4*AF213,1,0)</f>
      </c>
      <c r="AI213" s="5">
        <f>IF(SUM(AP213:AQ213)&gt;0.3*AF213,1,0)</f>
      </c>
      <c r="AJ213" s="5">
        <f>IF(AQ213&gt;0.2*AF213,1,0)</f>
      </c>
      <c r="AK213" s="5">
        <f>IF(SUM(AR213:BC213)&gt;0.3*AF213,1,0)</f>
      </c>
      <c r="AL213" s="3"/>
      <c r="AM213" s="6">
        <f>(F213/100)*AM$41</f>
      </c>
      <c r="AN213" s="6">
        <f>(G213/100)*AN$41</f>
      </c>
      <c r="AO213" s="6">
        <f>(H213/1000000)*AO$41</f>
      </c>
      <c r="AP213" s="6">
        <f>(I213/100)*AP$41</f>
      </c>
      <c r="AQ213" s="6">
        <f>(J213/1000000)*AQ$41</f>
      </c>
      <c r="AR213" s="6">
        <f>(K213/100)*AR$41</f>
      </c>
      <c r="AS213" s="6">
        <f>(L213/100)*AS$41</f>
      </c>
      <c r="AT213" s="6">
        <f>(M213/100)*AT$41</f>
      </c>
      <c r="AU213" s="6">
        <f>(N213/100)*AU$41</f>
      </c>
      <c r="AV213" s="6">
        <f>(O213/1000000)*AV$41</f>
      </c>
      <c r="AW213" s="6">
        <f>(P213/100)*AW$41</f>
      </c>
      <c r="AX213" s="6">
        <f>(Q213/100)*AX$41</f>
      </c>
      <c r="AY213" s="6">
        <f>(R213/100)*AY$41</f>
      </c>
      <c r="AZ213" s="6">
        <f>(S213/100)*AZ$41</f>
      </c>
      <c r="BA213" s="6">
        <f>(T213/100)*BA$41</f>
      </c>
      <c r="BB213" s="6">
        <f>(U213/100)*BB$41</f>
      </c>
      <c r="BC213" s="6"/>
      <c r="BD213" s="3"/>
      <c r="BE213" s="3"/>
      <c r="BF213" s="7">
        <f>AF213*E213</f>
      </c>
      <c r="BG213" s="6"/>
      <c r="BH213" s="3"/>
      <c r="BI213" s="6"/>
    </row>
    <row x14ac:dyDescent="0.25" r="214" customHeight="1" ht="12.75">
      <c r="A214" s="5" t="s">
        <v>849</v>
      </c>
      <c r="B214" s="3" t="s">
        <v>855</v>
      </c>
      <c r="C214" s="43" t="s">
        <v>1076</v>
      </c>
      <c r="D214" s="34"/>
      <c r="E214" s="6">
        <v>0.733</v>
      </c>
      <c r="F214" s="6">
        <v>0.9</v>
      </c>
      <c r="G214" s="6">
        <v>0.83</v>
      </c>
      <c r="H214" s="5">
        <v>49</v>
      </c>
      <c r="I214" s="6">
        <v>0.1</v>
      </c>
      <c r="J214" s="6">
        <v>0.06</v>
      </c>
      <c r="K214" s="7"/>
      <c r="L214" s="6"/>
      <c r="M214" s="6"/>
      <c r="N214" s="23"/>
      <c r="O214" s="5"/>
      <c r="P214" s="6"/>
      <c r="Q214" s="6"/>
      <c r="R214" s="6"/>
      <c r="S214" s="6"/>
      <c r="T214" s="6"/>
      <c r="U214" s="6"/>
      <c r="V214" s="5"/>
      <c r="W214" s="6"/>
      <c r="X214" s="6">
        <f>E214*F214/100</f>
      </c>
      <c r="Y214" s="6">
        <f>E214*G214/100</f>
      </c>
      <c r="Z214" s="7">
        <f>E214*H214</f>
      </c>
      <c r="AA214" s="7">
        <f>E214*J214</f>
      </c>
      <c r="AB214" s="6">
        <f>E214*I214/100</f>
      </c>
      <c r="AC214" s="15">
        <f>X214+Y214+AB214</f>
      </c>
      <c r="AD214" s="6">
        <f>F214+G214+I214</f>
      </c>
      <c r="AE214" s="3"/>
      <c r="AF214" s="6">
        <f>SUM(AM214:BC214)</f>
      </c>
      <c r="AG214" s="5">
        <f>IF(SUM(AM214:AO214)&gt;0.7*AF214,1,0)</f>
      </c>
      <c r="AH214" s="5">
        <f>IF(AN214&gt;0.4*AF214,1,0)</f>
      </c>
      <c r="AI214" s="5">
        <f>IF(SUM(AP214:AQ214)&gt;0.3*AF214,1,0)</f>
      </c>
      <c r="AJ214" s="5">
        <f>IF(AQ214&gt;0.2*AF214,1,0)</f>
      </c>
      <c r="AK214" s="5">
        <f>IF(SUM(AR214:BC214)&gt;0.3*AF214,1,0)</f>
      </c>
      <c r="AL214" s="3"/>
      <c r="AM214" s="6">
        <f>(F214/100)*AM$41</f>
      </c>
      <c r="AN214" s="6">
        <f>(G214/100)*AN$41</f>
      </c>
      <c r="AO214" s="6">
        <f>(H214/1000000)*AO$41</f>
      </c>
      <c r="AP214" s="6">
        <f>(I214/100)*AP$41</f>
      </c>
      <c r="AQ214" s="6">
        <f>(J214/1000000)*AQ$41</f>
      </c>
      <c r="AR214" s="6">
        <f>(K214/100)*AR$41</f>
      </c>
      <c r="AS214" s="6">
        <f>(L214/100)*AS$41</f>
      </c>
      <c r="AT214" s="6">
        <f>(M214/100)*AT$41</f>
      </c>
      <c r="AU214" s="6">
        <f>(N214/100)*AU$41</f>
      </c>
      <c r="AV214" s="6">
        <f>(O214/1000000)*AV$41</f>
      </c>
      <c r="AW214" s="6">
        <f>(P214/100)*AW$41</f>
      </c>
      <c r="AX214" s="6">
        <f>(Q214/100)*AX$41</f>
      </c>
      <c r="AY214" s="6">
        <f>(R214/100)*AY$41</f>
      </c>
      <c r="AZ214" s="6">
        <f>(S214/100)*AZ$41</f>
      </c>
      <c r="BA214" s="6">
        <f>(T214/100)*BA$41</f>
      </c>
      <c r="BB214" s="6">
        <f>(U214/100)*BB$41</f>
      </c>
      <c r="BC214" s="6"/>
      <c r="BD214" s="3"/>
      <c r="BE214" s="3"/>
      <c r="BF214" s="7">
        <f>AF214*E214</f>
      </c>
      <c r="BG214" s="6"/>
      <c r="BH214" s="3"/>
      <c r="BI214" s="6"/>
    </row>
    <row x14ac:dyDescent="0.25" r="215" customHeight="1" ht="12.75">
      <c r="A215" s="5" t="s">
        <v>326</v>
      </c>
      <c r="B215" s="38" t="s">
        <v>859</v>
      </c>
      <c r="C215" s="43" t="s">
        <v>1076</v>
      </c>
      <c r="D215" s="34"/>
      <c r="E215" s="7">
        <v>31</v>
      </c>
      <c r="F215" s="6"/>
      <c r="G215" s="6">
        <v>0.9</v>
      </c>
      <c r="H215" s="5">
        <v>11</v>
      </c>
      <c r="I215" s="6">
        <v>1.6</v>
      </c>
      <c r="J215" s="6">
        <v>0.8</v>
      </c>
      <c r="K215" s="7"/>
      <c r="L215" s="6"/>
      <c r="M215" s="6"/>
      <c r="N215" s="23"/>
      <c r="O215" s="5"/>
      <c r="P215" s="6"/>
      <c r="Q215" s="6"/>
      <c r="R215" s="6"/>
      <c r="S215" s="6"/>
      <c r="T215" s="6"/>
      <c r="U215" s="6"/>
      <c r="V215" s="23"/>
      <c r="W215" s="6"/>
      <c r="X215" s="6">
        <f>E215*F215/100</f>
      </c>
      <c r="Y215" s="6">
        <f>E215*G215/100</f>
      </c>
      <c r="Z215" s="7">
        <f>E215*H215</f>
      </c>
      <c r="AA215" s="7">
        <f>E215*J215</f>
      </c>
      <c r="AB215" s="6">
        <f>E215*I215/100</f>
      </c>
      <c r="AC215" s="15">
        <f>X215+Y215+AB215</f>
      </c>
      <c r="AD215" s="6">
        <f>F215+G215+I215</f>
      </c>
      <c r="AE215" s="3"/>
      <c r="AF215" s="6">
        <f>SUM(AM215:BC215)</f>
      </c>
      <c r="AG215" s="5">
        <f>IF(SUM(AM215:AO215)&gt;0.7*AF215,1,0)</f>
      </c>
      <c r="AH215" s="5">
        <f>IF(AN215&gt;0.4*AF215,1,0)</f>
      </c>
      <c r="AI215" s="5">
        <f>IF(SUM(AP215:AQ215)&gt;0.3*AF215,1,0)</f>
      </c>
      <c r="AJ215" s="5">
        <f>IF(AQ215&gt;0.2*AF215,1,0)</f>
      </c>
      <c r="AK215" s="5">
        <f>IF(SUM(AR215:BC215)&gt;0.3*AF215,1,0)</f>
      </c>
      <c r="AL215" s="3"/>
      <c r="AM215" s="6">
        <f>(F215/100)*AM$41</f>
      </c>
      <c r="AN215" s="6">
        <f>(G215/100)*AN$41</f>
      </c>
      <c r="AO215" s="6">
        <f>(H215/1000000)*AO$41</f>
      </c>
      <c r="AP215" s="6">
        <f>(I215/100)*AP$41</f>
      </c>
      <c r="AQ215" s="6">
        <f>(J215/1000000)*AQ$41</f>
      </c>
      <c r="AR215" s="6">
        <f>(K215/100)*AR$41</f>
      </c>
      <c r="AS215" s="6">
        <f>(L215/100)*AS$41</f>
      </c>
      <c r="AT215" s="6">
        <f>(M215/100)*AT$41</f>
      </c>
      <c r="AU215" s="6">
        <f>(N215/100)*AU$41</f>
      </c>
      <c r="AV215" s="6">
        <f>(O215/1000000)*AV$41</f>
      </c>
      <c r="AW215" s="6">
        <f>(P215/100)*AW$41</f>
      </c>
      <c r="AX215" s="6">
        <f>(Q215/100)*AX$41</f>
      </c>
      <c r="AY215" s="6">
        <f>(R215/100)*AY$41</f>
      </c>
      <c r="AZ215" s="6">
        <f>(S215/100)*AZ$41</f>
      </c>
      <c r="BA215" s="6">
        <f>(T215/100)*BA$41</f>
      </c>
      <c r="BB215" s="6">
        <f>(U215/100)*BB$41</f>
      </c>
      <c r="BC215" s="6"/>
      <c r="BD215" s="3"/>
      <c r="BE215" s="3"/>
      <c r="BF215" s="7">
        <f>AF215*E215</f>
      </c>
      <c r="BG215" s="6"/>
      <c r="BH215" s="3"/>
      <c r="BI215" s="6"/>
    </row>
    <row x14ac:dyDescent="0.25" r="216" customHeight="1" ht="12.75">
      <c r="A216" s="5" t="s">
        <v>19</v>
      </c>
      <c r="B216" s="3" t="s">
        <v>855</v>
      </c>
      <c r="C216" s="43" t="s">
        <v>865</v>
      </c>
      <c r="D216" s="34" t="s">
        <v>985</v>
      </c>
      <c r="E216" s="5">
        <v>3600</v>
      </c>
      <c r="F216" s="6"/>
      <c r="G216" s="17">
        <v>0.09</v>
      </c>
      <c r="H216" s="7"/>
      <c r="I216" s="6">
        <v>0.51</v>
      </c>
      <c r="J216" s="6"/>
      <c r="K216" s="7"/>
      <c r="L216" s="6"/>
      <c r="M216" s="6"/>
      <c r="N216" s="23"/>
      <c r="O216" s="5"/>
      <c r="P216" s="6"/>
      <c r="Q216" s="6"/>
      <c r="R216" s="6"/>
      <c r="S216" s="6"/>
      <c r="T216" s="6"/>
      <c r="U216" s="6"/>
      <c r="V216" s="5"/>
      <c r="W216" s="6"/>
      <c r="X216" s="6">
        <f>E216*F216/100</f>
      </c>
      <c r="Y216" s="6">
        <f>E216*G216/100</f>
      </c>
      <c r="Z216" s="7">
        <f>E216*H216</f>
      </c>
      <c r="AA216" s="7">
        <f>E216*J216</f>
      </c>
      <c r="AB216" s="6">
        <f>E216*I216/100</f>
      </c>
      <c r="AC216" s="15">
        <f>X216+Y216+AB216</f>
      </c>
      <c r="AD216" s="6">
        <f>F216+G216+I216</f>
      </c>
      <c r="AE216" s="3"/>
      <c r="AF216" s="6">
        <f>SUM(AM216:BC216)</f>
      </c>
      <c r="AG216" s="5">
        <f>IF(SUM(AM216:AO216)&gt;0.7*AF216,1,0)</f>
      </c>
      <c r="AH216" s="5">
        <f>IF(AN216&gt;0.4*AF216,1,0)</f>
      </c>
      <c r="AI216" s="5">
        <f>IF(SUM(AP216:AQ216)&gt;0.3*AF216,1,0)</f>
      </c>
      <c r="AJ216" s="5">
        <f>IF(AQ216&gt;0.2*AF216,1,0)</f>
      </c>
      <c r="AK216" s="5">
        <f>IF(SUM(AR216:BC216)&gt;0.3*AF216,1,0)</f>
      </c>
      <c r="AL216" s="3"/>
      <c r="AM216" s="6">
        <f>(F216/100)*AM$41</f>
      </c>
      <c r="AN216" s="6">
        <f>(G216/100)*AN$41</f>
      </c>
      <c r="AO216" s="6">
        <f>(H216/1000000)*AO$41</f>
      </c>
      <c r="AP216" s="6">
        <f>(I216/100)*AP$41</f>
      </c>
      <c r="AQ216" s="6">
        <f>(J216/1000000)*AQ$41</f>
      </c>
      <c r="AR216" s="6">
        <f>(K216/100)*AR$41</f>
      </c>
      <c r="AS216" s="6">
        <f>(L216/100)*AS$41</f>
      </c>
      <c r="AT216" s="6">
        <f>(M216/100)*AT$41</f>
      </c>
      <c r="AU216" s="6">
        <f>(N216/100)*AU$41</f>
      </c>
      <c r="AV216" s="6">
        <f>(O216/1000000)*AV$41</f>
      </c>
      <c r="AW216" s="6">
        <f>(P216/100)*AW$41</f>
      </c>
      <c r="AX216" s="6">
        <f>(Q216/100)*AX$41</f>
      </c>
      <c r="AY216" s="6">
        <f>(R216/100)*AY$41</f>
      </c>
      <c r="AZ216" s="6">
        <f>(S216/100)*AZ$41</f>
      </c>
      <c r="BA216" s="6">
        <f>(T216/100)*BA$41</f>
      </c>
      <c r="BB216" s="6">
        <f>(U216/100)*BB$41</f>
      </c>
      <c r="BC216" s="6"/>
      <c r="BD216" s="3"/>
      <c r="BE216" s="3"/>
      <c r="BF216" s="7">
        <f>AF216*E216</f>
      </c>
      <c r="BG216" s="6"/>
      <c r="BH216" s="3"/>
      <c r="BI216" s="6"/>
    </row>
    <row x14ac:dyDescent="0.25" r="217" customHeight="1" ht="12.75">
      <c r="A217" s="5" t="s">
        <v>32</v>
      </c>
      <c r="B217" s="3" t="s">
        <v>855</v>
      </c>
      <c r="C217" s="43" t="s">
        <v>865</v>
      </c>
      <c r="D217" s="34"/>
      <c r="E217" s="5">
        <v>1786</v>
      </c>
      <c r="F217" s="6">
        <v>0.01</v>
      </c>
      <c r="G217" s="6">
        <v>0.02217805151175812</v>
      </c>
      <c r="H217" s="7">
        <v>1.8782194848824187</v>
      </c>
      <c r="I217" s="6">
        <v>0.49702687569988807</v>
      </c>
      <c r="J217" s="6">
        <v>0.06217805151175812</v>
      </c>
      <c r="K217" s="7"/>
      <c r="L217" s="6"/>
      <c r="M217" s="6"/>
      <c r="N217" s="23"/>
      <c r="O217" s="5"/>
      <c r="P217" s="6"/>
      <c r="Q217" s="6"/>
      <c r="R217" s="6"/>
      <c r="S217" s="6"/>
      <c r="T217" s="6"/>
      <c r="U217" s="6"/>
      <c r="V217" s="5"/>
      <c r="W217" s="6"/>
      <c r="X217" s="6">
        <f>E217*F217/100</f>
      </c>
      <c r="Y217" s="6">
        <f>E217*G217/100</f>
      </c>
      <c r="Z217" s="7">
        <f>E217*H217</f>
      </c>
      <c r="AA217" s="7">
        <f>E217*J217</f>
      </c>
      <c r="AB217" s="6">
        <f>E217*I217/100</f>
      </c>
      <c r="AC217" s="15">
        <f>X217+Y217+AB217</f>
      </c>
      <c r="AD217" s="6">
        <f>F217+G217+I217</f>
      </c>
      <c r="AE217" s="3"/>
      <c r="AF217" s="6">
        <f>SUM(AM217:BC217)</f>
      </c>
      <c r="AG217" s="5">
        <f>IF(SUM(AM217:AO217)&gt;0.7*AF217,1,0)</f>
      </c>
      <c r="AH217" s="5">
        <f>IF(AN217&gt;0.4*AF217,1,0)</f>
      </c>
      <c r="AI217" s="5">
        <f>IF(SUM(AP217:AQ217)&gt;0.3*AF217,1,0)</f>
      </c>
      <c r="AJ217" s="5">
        <f>IF(AQ217&gt;0.2*AF217,1,0)</f>
      </c>
      <c r="AK217" s="5">
        <f>IF(SUM(AR217:BC217)&gt;0.3*AF217,1,0)</f>
      </c>
      <c r="AL217" s="3"/>
      <c r="AM217" s="6">
        <f>(F217/100)*AM$41</f>
      </c>
      <c r="AN217" s="6">
        <f>(G217/100)*AN$41</f>
      </c>
      <c r="AO217" s="6">
        <f>(H217/1000000)*AO$41</f>
      </c>
      <c r="AP217" s="6">
        <f>(I217/100)*AP$41</f>
      </c>
      <c r="AQ217" s="6">
        <f>(J217/1000000)*AQ$41</f>
      </c>
      <c r="AR217" s="6">
        <f>(K217/100)*AR$41</f>
      </c>
      <c r="AS217" s="6">
        <f>(L217/100)*AS$41</f>
      </c>
      <c r="AT217" s="6">
        <f>(M217/100)*AT$41</f>
      </c>
      <c r="AU217" s="6">
        <f>(N217/100)*AU$41</f>
      </c>
      <c r="AV217" s="6">
        <f>(O217/1000000)*AV$41</f>
      </c>
      <c r="AW217" s="6">
        <f>(P217/100)*AW$41</f>
      </c>
      <c r="AX217" s="6">
        <f>(Q217/100)*AX$41</f>
      </c>
      <c r="AY217" s="6">
        <f>(R217/100)*AY$41</f>
      </c>
      <c r="AZ217" s="6">
        <f>(S217/100)*AZ$41</f>
      </c>
      <c r="BA217" s="6">
        <f>(T217/100)*BA$41</f>
      </c>
      <c r="BB217" s="6">
        <f>(U217/100)*BB$41</f>
      </c>
      <c r="BC217" s="6"/>
      <c r="BD217" s="3"/>
      <c r="BE217" s="3"/>
      <c r="BF217" s="7">
        <f>AF217*E217</f>
      </c>
      <c r="BG217" s="6"/>
      <c r="BH217" s="3"/>
      <c r="BI217" s="6"/>
    </row>
    <row x14ac:dyDescent="0.25" r="218" customHeight="1" ht="12.75">
      <c r="A218" s="5" t="s">
        <v>28</v>
      </c>
      <c r="B218" s="3" t="s">
        <v>855</v>
      </c>
      <c r="C218" s="43" t="s">
        <v>865</v>
      </c>
      <c r="D218" s="34" t="s">
        <v>984</v>
      </c>
      <c r="E218" s="7">
        <v>1449</v>
      </c>
      <c r="F218" s="6">
        <v>0.04849137336093857</v>
      </c>
      <c r="G218" s="6">
        <v>0.029245686680469292</v>
      </c>
      <c r="H218" s="7">
        <v>4.9883285024154596</v>
      </c>
      <c r="I218" s="6">
        <v>0.4366335403726708</v>
      </c>
      <c r="J218" s="6">
        <v>0.10131400966183575</v>
      </c>
      <c r="K218" s="7"/>
      <c r="L218" s="6"/>
      <c r="M218" s="6"/>
      <c r="N218" s="23"/>
      <c r="O218" s="5"/>
      <c r="P218" s="23">
        <v>0.0371343685300207</v>
      </c>
      <c r="Q218" s="6"/>
      <c r="R218" s="6"/>
      <c r="S218" s="6"/>
      <c r="T218" s="6"/>
      <c r="U218" s="6"/>
      <c r="V218" s="5"/>
      <c r="W218" s="6"/>
      <c r="X218" s="6">
        <f>E218*F218/100</f>
      </c>
      <c r="Y218" s="6">
        <f>E218*G218/100</f>
      </c>
      <c r="Z218" s="7">
        <f>E218*H218</f>
      </c>
      <c r="AA218" s="7">
        <f>E218*J218</f>
      </c>
      <c r="AB218" s="6">
        <f>E218*I218/100</f>
      </c>
      <c r="AC218" s="15">
        <f>X218+Y218+AB218</f>
      </c>
      <c r="AD218" s="6">
        <f>F218+G218+I218</f>
      </c>
      <c r="AE218" s="3"/>
      <c r="AF218" s="6">
        <f>SUM(AM218:BC218)</f>
      </c>
      <c r="AG218" s="5">
        <f>IF(SUM(AM218:AO218)&gt;0.7*AF218,1,0)</f>
      </c>
      <c r="AH218" s="5">
        <f>IF(AN218&gt;0.4*AF218,1,0)</f>
      </c>
      <c r="AI218" s="5">
        <f>IF(SUM(AP218:AQ218)&gt;0.3*AF218,1,0)</f>
      </c>
      <c r="AJ218" s="5">
        <f>IF(AQ218&gt;0.2*AF218,1,0)</f>
      </c>
      <c r="AK218" s="5">
        <f>IF(SUM(AR218:BC218)&gt;0.3*AF218,1,0)</f>
      </c>
      <c r="AL218" s="3"/>
      <c r="AM218" s="6">
        <f>(F218/100)*AM$41</f>
      </c>
      <c r="AN218" s="6">
        <f>(G218/100)*AN$41</f>
      </c>
      <c r="AO218" s="6">
        <f>(H218/1000000)*AO$41</f>
      </c>
      <c r="AP218" s="6">
        <f>(I218/100)*AP$41</f>
      </c>
      <c r="AQ218" s="6">
        <f>(J218/1000000)*AQ$41</f>
      </c>
      <c r="AR218" s="6">
        <f>(K218/100)*AR$41</f>
      </c>
      <c r="AS218" s="6">
        <f>(L218/100)*AS$41</f>
      </c>
      <c r="AT218" s="6">
        <f>(M218/100)*AT$41</f>
      </c>
      <c r="AU218" s="6">
        <f>(N218/100)*AU$41</f>
      </c>
      <c r="AV218" s="6">
        <f>(O218/1000000)*AV$41</f>
      </c>
      <c r="AW218" s="6">
        <f>(P218/100)*AW$41</f>
      </c>
      <c r="AX218" s="6">
        <f>(Q218/100)*AX$41</f>
      </c>
      <c r="AY218" s="6">
        <f>(R218/100)*AY$41</f>
      </c>
      <c r="AZ218" s="6">
        <f>(S218/100)*AZ$41</f>
      </c>
      <c r="BA218" s="6">
        <f>(T218/100)*BA$41</f>
      </c>
      <c r="BB218" s="6">
        <f>(U218/100)*BB$41</f>
      </c>
      <c r="BC218" s="6"/>
      <c r="BD218" s="3"/>
      <c r="BE218" s="3"/>
      <c r="BF218" s="7">
        <f>AF218*E218</f>
      </c>
      <c r="BG218" s="6"/>
      <c r="BH218" s="3"/>
      <c r="BI218" s="6"/>
    </row>
    <row x14ac:dyDescent="0.25" r="219" customHeight="1" ht="12.75">
      <c r="A219" s="5" t="s">
        <v>93</v>
      </c>
      <c r="B219" s="3" t="s">
        <v>855</v>
      </c>
      <c r="C219" s="43" t="s">
        <v>865</v>
      </c>
      <c r="D219" s="34"/>
      <c r="E219" s="6">
        <v>940.62</v>
      </c>
      <c r="F219" s="23">
        <v>0.24821942761157534</v>
      </c>
      <c r="G219" s="23">
        <v>0.464107677914567</v>
      </c>
      <c r="H219" s="7">
        <v>17.624890412706513</v>
      </c>
      <c r="I219" s="6"/>
      <c r="J219" s="23">
        <v>0.0479425081329336</v>
      </c>
      <c r="K219" s="7"/>
      <c r="L219" s="6"/>
      <c r="M219" s="6"/>
      <c r="N219" s="23"/>
      <c r="O219" s="5"/>
      <c r="P219" s="6"/>
      <c r="Q219" s="6"/>
      <c r="R219" s="6"/>
      <c r="S219" s="6"/>
      <c r="T219" s="6"/>
      <c r="U219" s="6"/>
      <c r="V219" s="5"/>
      <c r="W219" s="6"/>
      <c r="X219" s="6">
        <f>E219*F219/100</f>
      </c>
      <c r="Y219" s="6">
        <f>E219*G219/100</f>
      </c>
      <c r="Z219" s="7">
        <f>E219*H219</f>
      </c>
      <c r="AA219" s="7">
        <f>E219*J219</f>
      </c>
      <c r="AB219" s="6">
        <f>E219*I219/100</f>
      </c>
      <c r="AC219" s="15">
        <f>X219+Y219+AB219</f>
      </c>
      <c r="AD219" s="6">
        <f>F219+G219+I219</f>
      </c>
      <c r="AE219" s="3"/>
      <c r="AF219" s="6">
        <f>SUM(AM219:BC219)</f>
      </c>
      <c r="AG219" s="5">
        <f>IF(SUM(AM219:AO219)&gt;0.7*AF219,1,0)</f>
      </c>
      <c r="AH219" s="5">
        <f>IF(AN219&gt;0.4*AF219,1,0)</f>
      </c>
      <c r="AI219" s="5">
        <f>IF(SUM(AP219:AQ219)&gt;0.3*AF219,1,0)</f>
      </c>
      <c r="AJ219" s="5">
        <f>IF(AQ219&gt;0.2*AF219,1,0)</f>
      </c>
      <c r="AK219" s="5">
        <f>IF(SUM(AR219:BC219)&gt;0.3*AF219,1,0)</f>
      </c>
      <c r="AL219" s="3"/>
      <c r="AM219" s="6">
        <f>(F219/100)*AM$41</f>
      </c>
      <c r="AN219" s="6">
        <f>(G219/100)*AN$41</f>
      </c>
      <c r="AO219" s="6">
        <f>(H219/1000000)*AO$41</f>
      </c>
      <c r="AP219" s="6">
        <f>(I219/100)*AP$41</f>
      </c>
      <c r="AQ219" s="6">
        <f>(J219/1000000)*AQ$41</f>
      </c>
      <c r="AR219" s="6">
        <f>(K219/100)*AR$41</f>
      </c>
      <c r="AS219" s="6">
        <f>(L219/100)*AS$41</f>
      </c>
      <c r="AT219" s="6">
        <f>(M219/100)*AT$41</f>
      </c>
      <c r="AU219" s="6">
        <f>(N219/100)*AU$41</f>
      </c>
      <c r="AV219" s="6">
        <f>(O219/1000000)*AV$41</f>
      </c>
      <c r="AW219" s="6">
        <f>(P219/100)*AW$41</f>
      </c>
      <c r="AX219" s="6">
        <f>(Q219/100)*AX$41</f>
      </c>
      <c r="AY219" s="6">
        <f>(R219/100)*AY$41</f>
      </c>
      <c r="AZ219" s="6">
        <f>(S219/100)*AZ$41</f>
      </c>
      <c r="BA219" s="6">
        <f>(T219/100)*BA$41</f>
      </c>
      <c r="BB219" s="6">
        <f>(U219/100)*BB$41</f>
      </c>
      <c r="BC219" s="6"/>
      <c r="BD219" s="3"/>
      <c r="BE219" s="3"/>
      <c r="BF219" s="7">
        <f>AF219*E219</f>
      </c>
      <c r="BG219" s="6"/>
      <c r="BH219" s="3"/>
      <c r="BI219" s="6"/>
    </row>
    <row x14ac:dyDescent="0.25" r="220" customHeight="1" ht="12.75">
      <c r="A220" s="5" t="s">
        <v>640</v>
      </c>
      <c r="B220" s="3" t="s">
        <v>855</v>
      </c>
      <c r="C220" s="43" t="s">
        <v>865</v>
      </c>
      <c r="D220" s="34"/>
      <c r="E220" s="23">
        <v>27.890774999999998</v>
      </c>
      <c r="F220" s="6">
        <v>0.23364687678990637</v>
      </c>
      <c r="G220" s="6">
        <v>0.8009406303697192</v>
      </c>
      <c r="H220" s="6">
        <v>8.280038548229657</v>
      </c>
      <c r="I220" s="6">
        <v>0.07545104107003123</v>
      </c>
      <c r="J220" s="6">
        <v>0.5327447946498439</v>
      </c>
      <c r="K220" s="7"/>
      <c r="L220" s="6"/>
      <c r="M220" s="6"/>
      <c r="N220" s="23"/>
      <c r="O220" s="5"/>
      <c r="P220" s="6"/>
      <c r="Q220" s="6"/>
      <c r="R220" s="6"/>
      <c r="S220" s="6"/>
      <c r="T220" s="6"/>
      <c r="U220" s="6"/>
      <c r="V220" s="5"/>
      <c r="W220" s="6"/>
      <c r="X220" s="6">
        <f>E220*F220/100</f>
      </c>
      <c r="Y220" s="6">
        <f>E220*G220/100</f>
      </c>
      <c r="Z220" s="7">
        <f>E220*H220</f>
      </c>
      <c r="AA220" s="7">
        <f>E220*J220</f>
      </c>
      <c r="AB220" s="6">
        <f>E220*I220/100</f>
      </c>
      <c r="AC220" s="15">
        <f>X220+Y220+AB220</f>
      </c>
      <c r="AD220" s="6">
        <f>F220+G220+I220</f>
      </c>
      <c r="AE220" s="3"/>
      <c r="AF220" s="6">
        <f>SUM(AM220:BC220)</f>
      </c>
      <c r="AG220" s="5">
        <f>IF(SUM(AM220:AO220)&gt;0.7*AF220,1,0)</f>
      </c>
      <c r="AH220" s="5">
        <f>IF(AN220&gt;0.4*AF220,1,0)</f>
      </c>
      <c r="AI220" s="5">
        <f>IF(SUM(AP220:AQ220)&gt;0.3*AF220,1,0)</f>
      </c>
      <c r="AJ220" s="5">
        <f>IF(AQ220&gt;0.2*AF220,1,0)</f>
      </c>
      <c r="AK220" s="5">
        <f>IF(SUM(AR220:BC220)&gt;0.3*AF220,1,0)</f>
      </c>
      <c r="AL220" s="3"/>
      <c r="AM220" s="6">
        <f>(F220/100)*AM$41</f>
      </c>
      <c r="AN220" s="6">
        <f>(G220/100)*AN$41</f>
      </c>
      <c r="AO220" s="6">
        <f>(H220/1000000)*AO$41</f>
      </c>
      <c r="AP220" s="6">
        <f>(I220/100)*AP$41</f>
      </c>
      <c r="AQ220" s="6">
        <f>(J220/1000000)*AQ$41</f>
      </c>
      <c r="AR220" s="6">
        <f>(K220/100)*AR$41</f>
      </c>
      <c r="AS220" s="6">
        <f>(L220/100)*AS$41</f>
      </c>
      <c r="AT220" s="6">
        <f>(M220/100)*AT$41</f>
      </c>
      <c r="AU220" s="6">
        <f>(N220/100)*AU$41</f>
      </c>
      <c r="AV220" s="6">
        <f>(O220/1000000)*AV$41</f>
      </c>
      <c r="AW220" s="6">
        <f>(P220/100)*AW$41</f>
      </c>
      <c r="AX220" s="6">
        <f>(Q220/100)*AX$41</f>
      </c>
      <c r="AY220" s="6">
        <f>(R220/100)*AY$41</f>
      </c>
      <c r="AZ220" s="6">
        <f>(S220/100)*AZ$41</f>
      </c>
      <c r="BA220" s="6">
        <f>(T220/100)*BA$41</f>
      </c>
      <c r="BB220" s="6">
        <f>(U220/100)*BB$41</f>
      </c>
      <c r="BC220" s="6"/>
      <c r="BD220" s="3"/>
      <c r="BE220" s="3"/>
      <c r="BF220" s="7">
        <f>AF220*E220</f>
      </c>
      <c r="BG220" s="6"/>
      <c r="BH220" s="3"/>
      <c r="BI220" s="6"/>
    </row>
    <row x14ac:dyDescent="0.25" r="221" customHeight="1" ht="12.75">
      <c r="A221" s="5" t="s">
        <v>676</v>
      </c>
      <c r="B221" s="3" t="s">
        <v>855</v>
      </c>
      <c r="C221" s="43" t="s">
        <v>865</v>
      </c>
      <c r="D221" s="34" t="s">
        <v>886</v>
      </c>
      <c r="E221" s="23">
        <v>34.2722016</v>
      </c>
      <c r="F221" s="6">
        <v>0.163</v>
      </c>
      <c r="G221" s="6">
        <v>0.476</v>
      </c>
      <c r="H221" s="6">
        <v>7.233355379188713</v>
      </c>
      <c r="I221" s="6"/>
      <c r="J221" s="6">
        <v>0.43880070546737215</v>
      </c>
      <c r="K221" s="7"/>
      <c r="L221" s="6"/>
      <c r="M221" s="6"/>
      <c r="N221" s="23"/>
      <c r="O221" s="5"/>
      <c r="P221" s="6"/>
      <c r="Q221" s="6"/>
      <c r="R221" s="6"/>
      <c r="S221" s="6"/>
      <c r="T221" s="6"/>
      <c r="U221" s="6"/>
      <c r="V221" s="5"/>
      <c r="W221" s="6"/>
      <c r="X221" s="6">
        <f>E221*F221/100</f>
      </c>
      <c r="Y221" s="6">
        <f>E221*G221/100</f>
      </c>
      <c r="Z221" s="7">
        <f>E221*H221</f>
      </c>
      <c r="AA221" s="7">
        <f>E221*J221</f>
      </c>
      <c r="AB221" s="6">
        <f>E221*I221/100</f>
      </c>
      <c r="AC221" s="15">
        <f>X221+Y221+AB221</f>
      </c>
      <c r="AD221" s="6">
        <f>F221+G221+I221</f>
      </c>
      <c r="AE221" s="3"/>
      <c r="AF221" s="6">
        <f>SUM(AM221:BC221)</f>
      </c>
      <c r="AG221" s="5">
        <f>IF(SUM(AM221:AO221)&gt;0.7*AF221,1,0)</f>
      </c>
      <c r="AH221" s="5">
        <f>IF(AN221&gt;0.4*AF221,1,0)</f>
      </c>
      <c r="AI221" s="5">
        <f>IF(SUM(AP221:AQ221)&gt;0.3*AF221,1,0)</f>
      </c>
      <c r="AJ221" s="5">
        <f>IF(AQ221&gt;0.2*AF221,1,0)</f>
      </c>
      <c r="AK221" s="5">
        <f>IF(SUM(AR221:BC221)&gt;0.3*AF221,1,0)</f>
      </c>
      <c r="AL221" s="3"/>
      <c r="AM221" s="6">
        <f>(F221/100)*AM$41</f>
      </c>
      <c r="AN221" s="6">
        <f>(G221/100)*AN$41</f>
      </c>
      <c r="AO221" s="6">
        <f>(H221/1000000)*AO$41</f>
      </c>
      <c r="AP221" s="6">
        <f>(I221/100)*AP$41</f>
      </c>
      <c r="AQ221" s="6">
        <f>(J221/1000000)*AQ$41</f>
      </c>
      <c r="AR221" s="6">
        <f>(K221/100)*AR$41</f>
      </c>
      <c r="AS221" s="6">
        <f>(L221/100)*AS$41</f>
      </c>
      <c r="AT221" s="6">
        <f>(M221/100)*AT$41</f>
      </c>
      <c r="AU221" s="6">
        <f>(N221/100)*AU$41</f>
      </c>
      <c r="AV221" s="6">
        <f>(O221/1000000)*AV$41</f>
      </c>
      <c r="AW221" s="6">
        <f>(P221/100)*AW$41</f>
      </c>
      <c r="AX221" s="6">
        <f>(Q221/100)*AX$41</f>
      </c>
      <c r="AY221" s="6">
        <f>(R221/100)*AY$41</f>
      </c>
      <c r="AZ221" s="6">
        <f>(S221/100)*AZ$41</f>
      </c>
      <c r="BA221" s="6">
        <f>(T221/100)*BA$41</f>
      </c>
      <c r="BB221" s="6">
        <f>(U221/100)*BB$41</f>
      </c>
      <c r="BC221" s="6"/>
      <c r="BD221" s="3"/>
      <c r="BE221" s="3"/>
      <c r="BF221" s="7">
        <f>AF221*E221</f>
      </c>
      <c r="BG221" s="6"/>
      <c r="BH221" s="3"/>
      <c r="BI221" s="6"/>
    </row>
    <row x14ac:dyDescent="0.25" r="222" customHeight="1" ht="12.75">
      <c r="A222" s="5" t="s">
        <v>392</v>
      </c>
      <c r="B222" s="3" t="s">
        <v>855</v>
      </c>
      <c r="C222" s="43" t="s">
        <v>865</v>
      </c>
      <c r="D222" s="34"/>
      <c r="E222" s="6">
        <v>3.268</v>
      </c>
      <c r="F222" s="6">
        <v>1.8</v>
      </c>
      <c r="G222" s="6">
        <v>1.4</v>
      </c>
      <c r="H222" s="6">
        <v>18.7</v>
      </c>
      <c r="I222" s="6">
        <v>2.84</v>
      </c>
      <c r="J222" s="6">
        <v>0.7</v>
      </c>
      <c r="K222" s="7"/>
      <c r="L222" s="6"/>
      <c r="M222" s="6"/>
      <c r="N222" s="23"/>
      <c r="O222" s="5"/>
      <c r="P222" s="6"/>
      <c r="Q222" s="6"/>
      <c r="R222" s="6"/>
      <c r="S222" s="6"/>
      <c r="T222" s="6"/>
      <c r="U222" s="6"/>
      <c r="V222" s="6">
        <v>0.01</v>
      </c>
      <c r="W222" s="6" t="s">
        <v>980</v>
      </c>
      <c r="X222" s="6">
        <f>E222*F222/100</f>
      </c>
      <c r="Y222" s="6">
        <f>E222*G222/100</f>
      </c>
      <c r="Z222" s="7">
        <f>E222*H222</f>
      </c>
      <c r="AA222" s="7">
        <f>E222*J222</f>
      </c>
      <c r="AB222" s="6">
        <f>E222*I222/100</f>
      </c>
      <c r="AC222" s="15">
        <f>X222+Y222+AB222</f>
      </c>
      <c r="AD222" s="6">
        <f>F222+G222+I222</f>
      </c>
      <c r="AE222" s="3"/>
      <c r="AF222" s="6">
        <f>SUM(AM222:BC222)</f>
      </c>
      <c r="AG222" s="5">
        <f>IF(SUM(AM222:AO222)&gt;0.7*AF222,1,0)</f>
      </c>
      <c r="AH222" s="5">
        <f>IF(AN222&gt;0.4*AF222,1,0)</f>
      </c>
      <c r="AI222" s="5">
        <f>IF(SUM(AP222:AQ222)&gt;0.3*AF222,1,0)</f>
      </c>
      <c r="AJ222" s="5">
        <f>IF(AQ222&gt;0.2*AF222,1,0)</f>
      </c>
      <c r="AK222" s="5">
        <f>IF(SUM(AR222:BC222)&gt;0.3*AF222,1,0)</f>
      </c>
      <c r="AL222" s="3"/>
      <c r="AM222" s="6">
        <f>(F222/100)*AM$41</f>
      </c>
      <c r="AN222" s="6">
        <f>(G222/100)*AN$41</f>
      </c>
      <c r="AO222" s="6">
        <f>(H222/1000000)*AO$41</f>
      </c>
      <c r="AP222" s="6">
        <f>(I222/100)*AP$41</f>
      </c>
      <c r="AQ222" s="6">
        <f>(J222/1000000)*AQ$41</f>
      </c>
      <c r="AR222" s="6">
        <f>(K222/100)*AR$41</f>
      </c>
      <c r="AS222" s="6">
        <f>(L222/100)*AS$41</f>
      </c>
      <c r="AT222" s="6">
        <f>(M222/100)*AT$41</f>
      </c>
      <c r="AU222" s="6">
        <f>(N222/100)*AU$41</f>
      </c>
      <c r="AV222" s="6">
        <f>(O222/1000000)*AV$41</f>
      </c>
      <c r="AW222" s="6">
        <f>(P222/100)*AW$41</f>
      </c>
      <c r="AX222" s="6">
        <f>(Q222/100)*AX$41</f>
      </c>
      <c r="AY222" s="6">
        <f>(R222/100)*AY$41</f>
      </c>
      <c r="AZ222" s="6">
        <f>(S222/100)*AZ$41</f>
      </c>
      <c r="BA222" s="6">
        <f>(T222/100)*BA$41</f>
      </c>
      <c r="BB222" s="6">
        <f>(U222/100)*BB$41</f>
      </c>
      <c r="BC222" s="6">
        <f>(V222/100)*(11.39*2204.6)</f>
      </c>
      <c r="BD222" s="3" t="s">
        <v>981</v>
      </c>
      <c r="BE222" s="3"/>
      <c r="BF222" s="7">
        <f>AF222*E222</f>
      </c>
      <c r="BG222" s="6"/>
      <c r="BH222" s="3"/>
      <c r="BI222" s="6"/>
    </row>
    <row x14ac:dyDescent="0.25" r="223" customHeight="1" ht="12.75">
      <c r="A223" s="5" t="s">
        <v>508</v>
      </c>
      <c r="B223" s="3" t="s">
        <v>855</v>
      </c>
      <c r="C223" s="43" t="s">
        <v>865</v>
      </c>
      <c r="D223" s="34" t="s">
        <v>983</v>
      </c>
      <c r="E223" s="6">
        <v>18.485</v>
      </c>
      <c r="F223" s="6"/>
      <c r="G223" s="6">
        <v>0.8016180687043549</v>
      </c>
      <c r="H223" s="7"/>
      <c r="I223" s="6">
        <v>0.10177387070597782</v>
      </c>
      <c r="J223" s="6"/>
      <c r="K223" s="7"/>
      <c r="L223" s="6"/>
      <c r="M223" s="6"/>
      <c r="N223" s="6">
        <v>0.3436256424127671</v>
      </c>
      <c r="O223" s="7">
        <v>67.4138436570192</v>
      </c>
      <c r="P223" s="6">
        <v>0.041909741673460614</v>
      </c>
      <c r="Q223" s="6"/>
      <c r="R223" s="6">
        <v>0.0858869353529889</v>
      </c>
      <c r="S223" s="6"/>
      <c r="T223" s="6">
        <v>0.8088268534170492</v>
      </c>
      <c r="U223" s="6"/>
      <c r="V223" s="6">
        <v>0.0604061820816228</v>
      </c>
      <c r="W223" s="6" t="s">
        <v>980</v>
      </c>
      <c r="X223" s="6">
        <f>E223*F223/100</f>
      </c>
      <c r="Y223" s="6">
        <f>E223*G223/100</f>
      </c>
      <c r="Z223" s="7">
        <f>E223*H223</f>
      </c>
      <c r="AA223" s="7">
        <f>E223*J223</f>
      </c>
      <c r="AB223" s="6">
        <f>E223*I223/100</f>
      </c>
      <c r="AC223" s="15">
        <f>X223+Y223+AB223</f>
      </c>
      <c r="AD223" s="6">
        <f>F223+G223+I223</f>
      </c>
      <c r="AE223" s="3"/>
      <c r="AF223" s="6">
        <f>SUM(AM223:BC223)</f>
      </c>
      <c r="AG223" s="5">
        <f>IF(SUM(AM223:AO223)&gt;0.7*AF223,1,0)</f>
      </c>
      <c r="AH223" s="5">
        <f>IF(AN223&gt;0.4*AF223,1,0)</f>
      </c>
      <c r="AI223" s="5">
        <f>IF(SUM(AP223:AQ223)&gt;0.3*AF223,1,0)</f>
      </c>
      <c r="AJ223" s="5">
        <f>IF(AQ223&gt;0.2*AF223,1,0)</f>
      </c>
      <c r="AK223" s="5">
        <f>IF(SUM(AR223:BC223)&gt;0.3*AF223,1,0)</f>
      </c>
      <c r="AL223" s="3"/>
      <c r="AM223" s="6">
        <f>(F223/100)*AM$41</f>
      </c>
      <c r="AN223" s="6">
        <f>(G223/100)*AN$41</f>
      </c>
      <c r="AO223" s="6">
        <f>(H223/1000000)*AO$41</f>
      </c>
      <c r="AP223" s="6">
        <f>(I223/100)*AP$41</f>
      </c>
      <c r="AQ223" s="6">
        <f>(J223/1000000)*AQ$41</f>
      </c>
      <c r="AR223" s="6">
        <f>(K223/100)*AR$41</f>
      </c>
      <c r="AS223" s="6">
        <f>(L223/100)*AS$41</f>
      </c>
      <c r="AT223" s="6">
        <f>(M223/100)*AT$41</f>
      </c>
      <c r="AU223" s="6">
        <f>(N223/100)*AU$41</f>
      </c>
      <c r="AV223" s="6">
        <f>(O223/1000000)*AV$41</f>
      </c>
      <c r="AW223" s="6">
        <f>(P223/100)*AW$41</f>
      </c>
      <c r="AX223" s="6">
        <f>(Q223/100)*AX$41</f>
      </c>
      <c r="AY223" s="6">
        <f>(R223/100)*AY$41</f>
      </c>
      <c r="AZ223" s="6">
        <f>(S223/100)*AZ$41</f>
      </c>
      <c r="BA223" s="6">
        <f>(T223/100)*BA$41</f>
      </c>
      <c r="BB223" s="6">
        <f>(U223/100)*BB$41</f>
      </c>
      <c r="BC223" s="6">
        <f>(V223/100)*(11.39*2204.6)</f>
      </c>
      <c r="BD223" s="3" t="s">
        <v>981</v>
      </c>
      <c r="BE223" s="3"/>
      <c r="BF223" s="7">
        <f>AF223*E223</f>
      </c>
      <c r="BG223" s="6"/>
      <c r="BH223" s="3"/>
      <c r="BI223" s="6"/>
    </row>
    <row x14ac:dyDescent="0.25" r="224" customHeight="1" ht="12.75">
      <c r="A224" s="5" t="s">
        <v>181</v>
      </c>
      <c r="B224" s="3" t="s">
        <v>855</v>
      </c>
      <c r="C224" s="43" t="s">
        <v>865</v>
      </c>
      <c r="D224" s="34" t="s">
        <v>982</v>
      </c>
      <c r="E224" s="6">
        <v>639.6</v>
      </c>
      <c r="F224" s="23">
        <v>0.02364968730456535</v>
      </c>
      <c r="G224" s="6"/>
      <c r="H224" s="7">
        <v>4.700625390869293</v>
      </c>
      <c r="I224" s="6"/>
      <c r="J224" s="6"/>
      <c r="K224" s="7"/>
      <c r="L224" s="6"/>
      <c r="M224" s="6"/>
      <c r="N224" s="23"/>
      <c r="O224" s="5"/>
      <c r="P224" s="23">
        <v>0.056093808630393996</v>
      </c>
      <c r="Q224" s="6"/>
      <c r="R224" s="6"/>
      <c r="S224" s="6"/>
      <c r="T224" s="6"/>
      <c r="U224" s="6"/>
      <c r="V224" s="5"/>
      <c r="W224" s="6"/>
      <c r="X224" s="6">
        <f>E224*F224/100</f>
      </c>
      <c r="Y224" s="6">
        <f>E224*G224/100</f>
      </c>
      <c r="Z224" s="7">
        <f>E224*H224</f>
      </c>
      <c r="AA224" s="7">
        <f>E224*J224</f>
      </c>
      <c r="AB224" s="6">
        <f>E224*I224/100</f>
      </c>
      <c r="AC224" s="15">
        <f>X224+Y224+AB224</f>
      </c>
      <c r="AD224" s="6">
        <f>F224+G224+I224</f>
      </c>
      <c r="AE224" s="3"/>
      <c r="AF224" s="6">
        <f>SUM(AM224:BC224)</f>
      </c>
      <c r="AG224" s="5">
        <f>IF(SUM(AM224:AO224)&gt;0.7*AF224,1,0)</f>
      </c>
      <c r="AH224" s="5">
        <f>IF(AN224&gt;0.4*AF224,1,0)</f>
      </c>
      <c r="AI224" s="5">
        <f>IF(SUM(AP224:AQ224)&gt;0.3*AF224,1,0)</f>
      </c>
      <c r="AJ224" s="5">
        <f>IF(AQ224&gt;0.2*AF224,1,0)</f>
      </c>
      <c r="AK224" s="5">
        <f>IF(SUM(AR224:BC224)&gt;0.3*AF224,1,0)</f>
      </c>
      <c r="AL224" s="3"/>
      <c r="AM224" s="6">
        <f>(F224/100)*AM$41</f>
      </c>
      <c r="AN224" s="6">
        <f>(G224/100)*AN$41</f>
      </c>
      <c r="AO224" s="6">
        <f>(H224/1000000)*AO$41</f>
      </c>
      <c r="AP224" s="6">
        <f>(I224/100)*AP$41</f>
      </c>
      <c r="AQ224" s="6">
        <f>(J224/1000000)*AQ$41</f>
      </c>
      <c r="AR224" s="6">
        <f>(K224/100)*AR$41</f>
      </c>
      <c r="AS224" s="6">
        <f>(L224/100)*AS$41</f>
      </c>
      <c r="AT224" s="6">
        <f>(M224/100)*AT$41</f>
      </c>
      <c r="AU224" s="6">
        <f>(N224/100)*AU$41</f>
      </c>
      <c r="AV224" s="6">
        <f>(O224/1000000)*AV$41</f>
      </c>
      <c r="AW224" s="6">
        <f>(P224/100)*AW$41</f>
      </c>
      <c r="AX224" s="6">
        <f>(Q224/100)*AX$41</f>
      </c>
      <c r="AY224" s="6">
        <f>(R224/100)*AY$41</f>
      </c>
      <c r="AZ224" s="6">
        <f>(S224/100)*AZ$41</f>
      </c>
      <c r="BA224" s="6">
        <f>(T224/100)*BA$41</f>
      </c>
      <c r="BB224" s="6">
        <f>(U224/100)*BB$41</f>
      </c>
      <c r="BC224" s="6"/>
      <c r="BD224" s="3"/>
      <c r="BE224" s="3"/>
      <c r="BF224" s="7">
        <f>AF224*E224</f>
      </c>
      <c r="BG224" s="6"/>
      <c r="BH224" s="3"/>
      <c r="BI224" s="6"/>
    </row>
    <row x14ac:dyDescent="0.25" r="225" customHeight="1" ht="12.75">
      <c r="A225" s="5" t="s">
        <v>823</v>
      </c>
      <c r="B225" s="3" t="s">
        <v>855</v>
      </c>
      <c r="C225" s="43" t="s">
        <v>865</v>
      </c>
      <c r="D225" s="34" t="s">
        <v>979</v>
      </c>
      <c r="E225" s="6">
        <v>2.75</v>
      </c>
      <c r="F225" s="7">
        <v>1</v>
      </c>
      <c r="G225" s="6">
        <v>1.3</v>
      </c>
      <c r="H225" s="5">
        <v>24</v>
      </c>
      <c r="I225" s="6">
        <v>0.18</v>
      </c>
      <c r="J225" s="6">
        <v>0.5</v>
      </c>
      <c r="K225" s="7"/>
      <c r="L225" s="6"/>
      <c r="M225" s="6"/>
      <c r="N225" s="23"/>
      <c r="O225" s="5"/>
      <c r="P225" s="6"/>
      <c r="Q225" s="6"/>
      <c r="R225" s="6"/>
      <c r="S225" s="6"/>
      <c r="T225" s="6"/>
      <c r="U225" s="6"/>
      <c r="V225" s="5"/>
      <c r="W225" s="6"/>
      <c r="X225" s="6">
        <f>E225*F225/100</f>
      </c>
      <c r="Y225" s="6">
        <f>E225*G225/100</f>
      </c>
      <c r="Z225" s="7">
        <f>E225*H225</f>
      </c>
      <c r="AA225" s="7">
        <f>E225*J225</f>
      </c>
      <c r="AB225" s="6">
        <f>E225*I225/100</f>
      </c>
      <c r="AC225" s="15">
        <f>X225+Y225+AB225</f>
      </c>
      <c r="AD225" s="6">
        <f>F225+G225+I225</f>
      </c>
      <c r="AE225" s="3"/>
      <c r="AF225" s="6">
        <f>SUM(AM225:BC225)</f>
      </c>
      <c r="AG225" s="5">
        <f>IF(SUM(AM225:AO225)&gt;0.7*AF225,1,0)</f>
      </c>
      <c r="AH225" s="5">
        <f>IF(AN225&gt;0.4*AF225,1,0)</f>
      </c>
      <c r="AI225" s="5">
        <f>IF(SUM(AP225:AQ225)&gt;0.3*AF225,1,0)</f>
      </c>
      <c r="AJ225" s="5">
        <f>IF(AQ225&gt;0.2*AF225,1,0)</f>
      </c>
      <c r="AK225" s="5">
        <f>IF(SUM(AR225:BC225)&gt;0.3*AF225,1,0)</f>
      </c>
      <c r="AL225" s="3"/>
      <c r="AM225" s="6">
        <f>(F225/100)*AM$41</f>
      </c>
      <c r="AN225" s="6">
        <f>(G225/100)*AN$41</f>
      </c>
      <c r="AO225" s="6">
        <f>(H225/1000000)*AO$41</f>
      </c>
      <c r="AP225" s="6">
        <f>(I225/100)*AP$41</f>
      </c>
      <c r="AQ225" s="6">
        <f>(J225/1000000)*AQ$41</f>
      </c>
      <c r="AR225" s="6">
        <f>(K225/100)*AR$41</f>
      </c>
      <c r="AS225" s="6">
        <f>(L225/100)*AS$41</f>
      </c>
      <c r="AT225" s="6">
        <f>(M225/100)*AT$41</f>
      </c>
      <c r="AU225" s="6">
        <f>(N225/100)*AU$41</f>
      </c>
      <c r="AV225" s="6">
        <f>(O225/1000000)*AV$41</f>
      </c>
      <c r="AW225" s="6">
        <f>(P225/100)*AW$41</f>
      </c>
      <c r="AX225" s="6">
        <f>(Q225/100)*AX$41</f>
      </c>
      <c r="AY225" s="6">
        <f>(R225/100)*AY$41</f>
      </c>
      <c r="AZ225" s="6">
        <f>(S225/100)*AZ$41</f>
      </c>
      <c r="BA225" s="6">
        <f>(T225/100)*BA$41</f>
      </c>
      <c r="BB225" s="6">
        <f>(U225/100)*BB$41</f>
      </c>
      <c r="BC225" s="6"/>
      <c r="BD225" s="3"/>
      <c r="BE225" s="3"/>
      <c r="BF225" s="7">
        <f>AF225*E225</f>
      </c>
      <c r="BG225" s="6"/>
      <c r="BH225" s="3"/>
      <c r="BI225" s="6"/>
    </row>
    <row x14ac:dyDescent="0.25" r="226" customHeight="1" ht="12.75">
      <c r="A226" s="5" t="s">
        <v>809</v>
      </c>
      <c r="B226" s="3" t="s">
        <v>855</v>
      </c>
      <c r="C226" s="43" t="s">
        <v>865</v>
      </c>
      <c r="D226" s="34" t="s">
        <v>978</v>
      </c>
      <c r="E226" s="23">
        <v>0.124</v>
      </c>
      <c r="F226" s="6">
        <v>0.5387096774193548</v>
      </c>
      <c r="G226" s="7">
        <v>2.6612903225806455</v>
      </c>
      <c r="H226" s="31">
        <v>25.258064516129032</v>
      </c>
      <c r="I226" s="6">
        <v>0.31048387096774194</v>
      </c>
      <c r="J226" s="6">
        <v>0.19564516129032258</v>
      </c>
      <c r="K226" s="7"/>
      <c r="L226" s="6"/>
      <c r="M226" s="6"/>
      <c r="N226" s="23"/>
      <c r="O226" s="5"/>
      <c r="P226" s="6"/>
      <c r="Q226" s="6"/>
      <c r="R226" s="6"/>
      <c r="S226" s="6"/>
      <c r="T226" s="6"/>
      <c r="U226" s="6"/>
      <c r="V226" s="5"/>
      <c r="W226" s="6"/>
      <c r="X226" s="6">
        <f>E226*F226/100</f>
      </c>
      <c r="Y226" s="6">
        <f>E226*G226/100</f>
      </c>
      <c r="Z226" s="7">
        <f>E226*H226</f>
      </c>
      <c r="AA226" s="7">
        <f>E226*J226</f>
      </c>
      <c r="AB226" s="6">
        <f>E226*I226/100</f>
      </c>
      <c r="AC226" s="15">
        <f>X226+Y226+AB226</f>
      </c>
      <c r="AD226" s="6">
        <f>F226+G226+I226</f>
      </c>
      <c r="AE226" s="3"/>
      <c r="AF226" s="6">
        <f>SUM(AM226:BC226)</f>
      </c>
      <c r="AG226" s="5">
        <f>IF(SUM(AM226:AO226)&gt;0.7*AF226,1,0)</f>
      </c>
      <c r="AH226" s="5">
        <f>IF(AN226&gt;0.4*AF226,1,0)</f>
      </c>
      <c r="AI226" s="5">
        <f>IF(SUM(AP226:AQ226)&gt;0.3*AF226,1,0)</f>
      </c>
      <c r="AJ226" s="5">
        <f>IF(AQ226&gt;0.2*AF226,1,0)</f>
      </c>
      <c r="AK226" s="5">
        <f>IF(SUM(AR226:BC226)&gt;0.3*AF226,1,0)</f>
      </c>
      <c r="AL226" s="3"/>
      <c r="AM226" s="6">
        <f>(F226/100)*AM$41</f>
      </c>
      <c r="AN226" s="6">
        <f>(G226/100)*AN$41</f>
      </c>
      <c r="AO226" s="6">
        <f>(H226/1000000)*AO$41</f>
      </c>
      <c r="AP226" s="6">
        <f>(I226/100)*AP$41</f>
      </c>
      <c r="AQ226" s="6">
        <f>(J226/1000000)*AQ$41</f>
      </c>
      <c r="AR226" s="6">
        <f>(K226/100)*AR$41</f>
      </c>
      <c r="AS226" s="6">
        <f>(L226/100)*AS$41</f>
      </c>
      <c r="AT226" s="6">
        <f>(M226/100)*AT$41</f>
      </c>
      <c r="AU226" s="6">
        <f>(N226/100)*AU$41</f>
      </c>
      <c r="AV226" s="6">
        <f>(O226/1000000)*AV$41</f>
      </c>
      <c r="AW226" s="6">
        <f>(P226/100)*AW$41</f>
      </c>
      <c r="AX226" s="6">
        <f>(Q226/100)*AX$41</f>
      </c>
      <c r="AY226" s="6">
        <f>(R226/100)*AY$41</f>
      </c>
      <c r="AZ226" s="6">
        <f>(S226/100)*AZ$41</f>
      </c>
      <c r="BA226" s="6">
        <f>(T226/100)*BA$41</f>
      </c>
      <c r="BB226" s="6">
        <f>(U226/100)*BB$41</f>
      </c>
      <c r="BC226" s="6"/>
      <c r="BD226" s="3"/>
      <c r="BE226" s="3"/>
      <c r="BF226" s="7">
        <f>AF226*E226</f>
      </c>
      <c r="BG226" s="6"/>
      <c r="BH226" s="3"/>
      <c r="BI226" s="6"/>
    </row>
    <row x14ac:dyDescent="0.25" r="227" customHeight="1" ht="12.75">
      <c r="A227" s="5" t="s">
        <v>13</v>
      </c>
      <c r="B227" s="3" t="s">
        <v>855</v>
      </c>
      <c r="C227" s="43" t="s">
        <v>986</v>
      </c>
      <c r="D227" s="34"/>
      <c r="E227" s="7">
        <v>5396.7660000000005</v>
      </c>
      <c r="F227" s="6"/>
      <c r="G227" s="6">
        <v>0.008461278476776647</v>
      </c>
      <c r="H227" s="6">
        <v>1.3946094049658628</v>
      </c>
      <c r="I227" s="6">
        <v>0.4015353417213197</v>
      </c>
      <c r="J227" s="6">
        <v>0.08153872152322335</v>
      </c>
      <c r="K227" s="7"/>
      <c r="L227" s="6"/>
      <c r="M227" s="6"/>
      <c r="N227" s="23"/>
      <c r="O227" s="5"/>
      <c r="P227" s="6">
        <v>0.01</v>
      </c>
      <c r="Q227" s="6"/>
      <c r="R227" s="6"/>
      <c r="S227" s="6"/>
      <c r="T227" s="6"/>
      <c r="U227" s="6"/>
      <c r="V227" s="5"/>
      <c r="W227" s="6"/>
      <c r="X227" s="6">
        <f>E227*F227/100</f>
      </c>
      <c r="Y227" s="6">
        <f>E227*G227/100</f>
      </c>
      <c r="Z227" s="7">
        <f>E227*H227</f>
      </c>
      <c r="AA227" s="7">
        <f>E227*J227</f>
      </c>
      <c r="AB227" s="6">
        <f>E227*I227/100</f>
      </c>
      <c r="AC227" s="15">
        <f>X227+Y227+AB227</f>
      </c>
      <c r="AD227" s="6">
        <f>F227+G227+I227</f>
      </c>
      <c r="AE227" s="3"/>
      <c r="AF227" s="6">
        <f>SUM(AM227:BC227)</f>
      </c>
      <c r="AG227" s="5">
        <f>IF(SUM(AM227:AO227)&gt;0.7*AF227,1,0)</f>
      </c>
      <c r="AH227" s="5">
        <f>IF(AN227&gt;0.4*AF227,1,0)</f>
      </c>
      <c r="AI227" s="5">
        <f>IF(SUM(AP227:AQ227)&gt;0.3*AF227,1,0)</f>
      </c>
      <c r="AJ227" s="5">
        <f>IF(AQ227&gt;0.2*AF227,1,0)</f>
      </c>
      <c r="AK227" s="5">
        <f>IF(SUM(AR227:BC227)&gt;0.3*AF227,1,0)</f>
      </c>
      <c r="AL227" s="3"/>
      <c r="AM227" s="6">
        <f>(F227/100)*AM$41</f>
      </c>
      <c r="AN227" s="6">
        <f>(G227/100)*AN$41</f>
      </c>
      <c r="AO227" s="6">
        <f>(H227/1000000)*AO$41</f>
      </c>
      <c r="AP227" s="6">
        <f>(I227/100)*AP$41</f>
      </c>
      <c r="AQ227" s="6">
        <f>(J227/1000000)*AQ$41</f>
      </c>
      <c r="AR227" s="6">
        <f>(K227/100)*AR$41</f>
      </c>
      <c r="AS227" s="6">
        <f>(L227/100)*AS$41</f>
      </c>
      <c r="AT227" s="6">
        <f>(M227/100)*AT$41</f>
      </c>
      <c r="AU227" s="6">
        <f>(N227/100)*AU$41</f>
      </c>
      <c r="AV227" s="6">
        <f>(O227/1000000)*AV$41</f>
      </c>
      <c r="AW227" s="6">
        <f>(P227/100)*AW$41</f>
      </c>
      <c r="AX227" s="6">
        <f>(Q227/100)*AX$41</f>
      </c>
      <c r="AY227" s="6">
        <f>(R227/100)*AY$41</f>
      </c>
      <c r="AZ227" s="6">
        <f>(S227/100)*AZ$41</f>
      </c>
      <c r="BA227" s="6">
        <f>(T227/100)*BA$41</f>
      </c>
      <c r="BB227" s="6">
        <f>(U227/100)*BB$41</f>
      </c>
      <c r="BC227" s="6"/>
      <c r="BD227" s="3"/>
      <c r="BE227" s="3"/>
      <c r="BF227" s="7">
        <f>AF227*E227</f>
      </c>
      <c r="BG227" s="6"/>
      <c r="BH227" s="3"/>
      <c r="BI227" s="6"/>
    </row>
    <row x14ac:dyDescent="0.25" r="228" customHeight="1" ht="12.75">
      <c r="A228" s="5" t="s">
        <v>82</v>
      </c>
      <c r="B228" s="3" t="s">
        <v>855</v>
      </c>
      <c r="C228" s="43" t="s">
        <v>987</v>
      </c>
      <c r="D228" s="34"/>
      <c r="E228" s="6">
        <v>604.685</v>
      </c>
      <c r="F228" s="6"/>
      <c r="G228" s="6">
        <v>0.5342247781902975</v>
      </c>
      <c r="H228" s="6">
        <v>3.910625151938614</v>
      </c>
      <c r="I228" s="6">
        <v>0.3937523173222422</v>
      </c>
      <c r="J228" s="6">
        <v>0.03173017356144108</v>
      </c>
      <c r="K228" s="7"/>
      <c r="L228" s="6"/>
      <c r="M228" s="6"/>
      <c r="N228" s="23"/>
      <c r="O228" s="5"/>
      <c r="P228" s="23">
        <v>0.007867410304538728</v>
      </c>
      <c r="Q228" s="6"/>
      <c r="R228" s="6"/>
      <c r="S228" s="6"/>
      <c r="T228" s="6"/>
      <c r="U228" s="6"/>
      <c r="V228" s="5"/>
      <c r="W228" s="6"/>
      <c r="X228" s="6">
        <f>E228*F228/100</f>
      </c>
      <c r="Y228" s="6">
        <f>E228*G228/100</f>
      </c>
      <c r="Z228" s="7">
        <f>E228*H228</f>
      </c>
      <c r="AA228" s="7">
        <f>E228*J228</f>
      </c>
      <c r="AB228" s="6">
        <f>E228*I228/100</f>
      </c>
      <c r="AC228" s="15">
        <f>X228+Y228+AB228</f>
      </c>
      <c r="AD228" s="6">
        <f>F228+G228+I228</f>
      </c>
      <c r="AE228" s="3"/>
      <c r="AF228" s="6">
        <f>SUM(AM228:BC228)</f>
      </c>
      <c r="AG228" s="5">
        <f>IF(SUM(AM228:AO228)&gt;0.7*AF228,1,0)</f>
      </c>
      <c r="AH228" s="5">
        <f>IF(AN228&gt;0.4*AF228,1,0)</f>
      </c>
      <c r="AI228" s="5">
        <f>IF(SUM(AP228:AQ228)&gt;0.3*AF228,1,0)</f>
      </c>
      <c r="AJ228" s="5">
        <f>IF(AQ228&gt;0.2*AF228,1,0)</f>
      </c>
      <c r="AK228" s="5">
        <f>IF(SUM(AR228:BC228)&gt;0.3*AF228,1,0)</f>
      </c>
      <c r="AL228" s="3"/>
      <c r="AM228" s="6">
        <f>(F228/100)*AM$41</f>
      </c>
      <c r="AN228" s="6">
        <f>(G228/100)*AN$41</f>
      </c>
      <c r="AO228" s="6">
        <f>(H228/1000000)*AO$41</f>
      </c>
      <c r="AP228" s="6">
        <f>(I228/100)*AP$41</f>
      </c>
      <c r="AQ228" s="6">
        <f>(J228/1000000)*AQ$41</f>
      </c>
      <c r="AR228" s="6">
        <f>(K228/100)*AR$41</f>
      </c>
      <c r="AS228" s="6">
        <f>(L228/100)*AS$41</f>
      </c>
      <c r="AT228" s="6">
        <f>(M228/100)*AT$41</f>
      </c>
      <c r="AU228" s="6">
        <f>(N228/100)*AU$41</f>
      </c>
      <c r="AV228" s="6">
        <f>(O228/1000000)*AV$41</f>
      </c>
      <c r="AW228" s="6">
        <f>(P228/100)*AW$41</f>
      </c>
      <c r="AX228" s="6">
        <f>(Q228/100)*AX$41</f>
      </c>
      <c r="AY228" s="6">
        <f>(R228/100)*AY$41</f>
      </c>
      <c r="AZ228" s="6">
        <f>(S228/100)*AZ$41</f>
      </c>
      <c r="BA228" s="6">
        <f>(T228/100)*BA$41</f>
      </c>
      <c r="BB228" s="6">
        <f>(U228/100)*BB$41</f>
      </c>
      <c r="BC228" s="6"/>
      <c r="BD228" s="3"/>
      <c r="BE228" s="3"/>
      <c r="BF228" s="7">
        <f>AF228*E228</f>
      </c>
      <c r="BG228" s="6"/>
      <c r="BH228" s="3"/>
      <c r="BI228" s="6"/>
    </row>
    <row x14ac:dyDescent="0.25" r="229" customHeight="1" ht="12.75">
      <c r="A229" s="5" t="s">
        <v>42</v>
      </c>
      <c r="B229" s="38" t="s">
        <v>859</v>
      </c>
      <c r="C229" s="43" t="s">
        <v>865</v>
      </c>
      <c r="D229" s="34"/>
      <c r="E229" s="5">
        <v>160</v>
      </c>
      <c r="F229" s="6">
        <v>3.2</v>
      </c>
      <c r="G229" s="6">
        <v>3.6</v>
      </c>
      <c r="H229" s="5">
        <v>180</v>
      </c>
      <c r="I229" s="6">
        <v>1.5</v>
      </c>
      <c r="J229" s="6">
        <v>0.6</v>
      </c>
      <c r="K229" s="7"/>
      <c r="L229" s="6"/>
      <c r="M229" s="6"/>
      <c r="N229" s="23"/>
      <c r="O229" s="5"/>
      <c r="P229" s="6"/>
      <c r="Q229" s="6"/>
      <c r="R229" s="6"/>
      <c r="S229" s="6"/>
      <c r="T229" s="6"/>
      <c r="U229" s="6"/>
      <c r="V229" s="5"/>
      <c r="W229" s="6"/>
      <c r="X229" s="6">
        <f>E229*F229/100</f>
      </c>
      <c r="Y229" s="6">
        <f>E229*G229/100</f>
      </c>
      <c r="Z229" s="7">
        <f>E229*H229</f>
      </c>
      <c r="AA229" s="7">
        <f>E229*J229</f>
      </c>
      <c r="AB229" s="6">
        <f>E229*I229/100</f>
      </c>
      <c r="AC229" s="15">
        <f>X229+Y229+AB229</f>
      </c>
      <c r="AD229" s="6">
        <f>F229+G229+I229</f>
      </c>
      <c r="AE229" s="3"/>
      <c r="AF229" s="6">
        <f>SUM(AM229:BC229)</f>
      </c>
      <c r="AG229" s="5">
        <f>IF(SUM(AM229:AO229)&gt;0.7*AF229,1,0)</f>
      </c>
      <c r="AH229" s="5">
        <f>IF(AN229&gt;0.4*AF229,1,0)</f>
      </c>
      <c r="AI229" s="5">
        <f>IF(SUM(AP229:AQ229)&gt;0.3*AF229,1,0)</f>
      </c>
      <c r="AJ229" s="5">
        <f>IF(AQ229&gt;0.2*AF229,1,0)</f>
      </c>
      <c r="AK229" s="5">
        <f>IF(SUM(AR229:BC229)&gt;0.3*AF229,1,0)</f>
      </c>
      <c r="AL229" s="3"/>
      <c r="AM229" s="6">
        <f>(F229/100)*AM$41</f>
      </c>
      <c r="AN229" s="6">
        <f>(G229/100)*AN$41</f>
      </c>
      <c r="AO229" s="6">
        <f>(H229/1000000)*AO$41</f>
      </c>
      <c r="AP229" s="6">
        <f>(I229/100)*AP$41</f>
      </c>
      <c r="AQ229" s="6">
        <f>(J229/1000000)*AQ$41</f>
      </c>
      <c r="AR229" s="6">
        <f>(K229/100)*AR$41</f>
      </c>
      <c r="AS229" s="6">
        <f>(L229/100)*AS$41</f>
      </c>
      <c r="AT229" s="6">
        <f>(M229/100)*AT$41</f>
      </c>
      <c r="AU229" s="6">
        <f>(N229/100)*AU$41</f>
      </c>
      <c r="AV229" s="6">
        <f>(O229/1000000)*AV$41</f>
      </c>
      <c r="AW229" s="6">
        <f>(P229/100)*AW$41</f>
      </c>
      <c r="AX229" s="6">
        <f>(Q229/100)*AX$41</f>
      </c>
      <c r="AY229" s="6">
        <f>(R229/100)*AY$41</f>
      </c>
      <c r="AZ229" s="6">
        <f>(S229/100)*AZ$41</f>
      </c>
      <c r="BA229" s="6">
        <f>(T229/100)*BA$41</f>
      </c>
      <c r="BB229" s="6">
        <f>(U229/100)*BB$41</f>
      </c>
      <c r="BC229" s="6"/>
      <c r="BD229" s="3"/>
      <c r="BE229" s="3"/>
      <c r="BF229" s="7">
        <f>AF229*E229</f>
      </c>
      <c r="BG229" s="6"/>
      <c r="BH229" s="3"/>
      <c r="BI229" s="6"/>
    </row>
    <row x14ac:dyDescent="0.25" r="230" customHeight="1" ht="12.75">
      <c r="A230" s="5" t="s">
        <v>662</v>
      </c>
      <c r="B230" s="38" t="s">
        <v>859</v>
      </c>
      <c r="C230" s="43" t="s">
        <v>865</v>
      </c>
      <c r="D230" s="34" t="s">
        <v>982</v>
      </c>
      <c r="E230" s="23">
        <v>0.786285</v>
      </c>
      <c r="F230" s="6">
        <v>0.42</v>
      </c>
      <c r="G230" s="6">
        <v>0.5</v>
      </c>
      <c r="H230" s="6">
        <v>311.9</v>
      </c>
      <c r="I230" s="6"/>
      <c r="J230" s="6"/>
      <c r="K230" s="7"/>
      <c r="L230" s="6"/>
      <c r="M230" s="6"/>
      <c r="N230" s="23"/>
      <c r="O230" s="5"/>
      <c r="P230" s="6"/>
      <c r="Q230" s="6"/>
      <c r="R230" s="6"/>
      <c r="S230" s="6"/>
      <c r="T230" s="6"/>
      <c r="U230" s="6"/>
      <c r="V230" s="5"/>
      <c r="W230" s="6"/>
      <c r="X230" s="6">
        <f>E230*F230/100</f>
      </c>
      <c r="Y230" s="6">
        <f>E230*G230/100</f>
      </c>
      <c r="Z230" s="7">
        <f>E230*H230</f>
      </c>
      <c r="AA230" s="7">
        <f>E230*J230</f>
      </c>
      <c r="AB230" s="6">
        <f>E230*I230/100</f>
      </c>
      <c r="AC230" s="15">
        <f>X230+Y230+AB230</f>
      </c>
      <c r="AD230" s="6">
        <f>F230+G230+I230</f>
      </c>
      <c r="AE230" s="3"/>
      <c r="AF230" s="6">
        <f>SUM(AM230:BC230)</f>
      </c>
      <c r="AG230" s="5">
        <f>IF(SUM(AM230:AO230)&gt;0.7*AF230,1,0)</f>
      </c>
      <c r="AH230" s="5">
        <f>IF(AN230&gt;0.4*AF230,1,0)</f>
      </c>
      <c r="AI230" s="5">
        <f>IF(SUM(AP230:AQ230)&gt;0.3*AF230,1,0)</f>
      </c>
      <c r="AJ230" s="5">
        <f>IF(AQ230&gt;0.2*AF230,1,0)</f>
      </c>
      <c r="AK230" s="5">
        <f>IF(SUM(AR230:BC230)&gt;0.3*AF230,1,0)</f>
      </c>
      <c r="AL230" s="3"/>
      <c r="AM230" s="6">
        <f>(F230/100)*AM$41</f>
      </c>
      <c r="AN230" s="6">
        <f>(G230/100)*AN$41</f>
      </c>
      <c r="AO230" s="6">
        <f>(H230/1000000)*AO$41</f>
      </c>
      <c r="AP230" s="6">
        <f>(I230/100)*AP$41</f>
      </c>
      <c r="AQ230" s="6">
        <f>(J230/1000000)*AQ$41</f>
      </c>
      <c r="AR230" s="6">
        <f>(K230/100)*AR$41</f>
      </c>
      <c r="AS230" s="6">
        <f>(L230/100)*AS$41</f>
      </c>
      <c r="AT230" s="6">
        <f>(M230/100)*AT$41</f>
      </c>
      <c r="AU230" s="6">
        <f>(N230/100)*AU$41</f>
      </c>
      <c r="AV230" s="6">
        <f>(O230/1000000)*AV$41</f>
      </c>
      <c r="AW230" s="6">
        <f>(P230/100)*AW$41</f>
      </c>
      <c r="AX230" s="6">
        <f>(Q230/100)*AX$41</f>
      </c>
      <c r="AY230" s="6">
        <f>(R230/100)*AY$41</f>
      </c>
      <c r="AZ230" s="6">
        <f>(S230/100)*AZ$41</f>
      </c>
      <c r="BA230" s="6">
        <f>(T230/100)*BA$41</f>
      </c>
      <c r="BB230" s="6">
        <f>(U230/100)*BB$41</f>
      </c>
      <c r="BC230" s="6"/>
      <c r="BD230" s="3"/>
      <c r="BE230" s="3"/>
      <c r="BF230" s="7">
        <f>AF230*E230</f>
      </c>
      <c r="BG230" s="6"/>
      <c r="BH230" s="3"/>
      <c r="BI230" s="6"/>
    </row>
    <row x14ac:dyDescent="0.25" r="231" customHeight="1" ht="12.75">
      <c r="A231" s="5" t="s">
        <v>630</v>
      </c>
      <c r="B231" s="38" t="s">
        <v>859</v>
      </c>
      <c r="C231" s="43" t="s">
        <v>865</v>
      </c>
      <c r="D231" s="34" t="s">
        <v>982</v>
      </c>
      <c r="E231" s="23">
        <v>0.485324</v>
      </c>
      <c r="F231" s="6">
        <v>0.59</v>
      </c>
      <c r="G231" s="6">
        <v>0.12</v>
      </c>
      <c r="H231" s="5">
        <v>336</v>
      </c>
      <c r="I231" s="6"/>
      <c r="J231" s="6"/>
      <c r="K231" s="7"/>
      <c r="L231" s="6"/>
      <c r="M231" s="6"/>
      <c r="N231" s="23"/>
      <c r="O231" s="5"/>
      <c r="P231" s="6"/>
      <c r="Q231" s="6"/>
      <c r="R231" s="6"/>
      <c r="S231" s="6"/>
      <c r="T231" s="6"/>
      <c r="U231" s="6"/>
      <c r="V231" s="5"/>
      <c r="W231" s="6"/>
      <c r="X231" s="6">
        <f>E231*F231/100</f>
      </c>
      <c r="Y231" s="6">
        <f>E231*G231/100</f>
      </c>
      <c r="Z231" s="7">
        <f>E231*H231</f>
      </c>
      <c r="AA231" s="7">
        <f>E231*J231</f>
      </c>
      <c r="AB231" s="6">
        <f>E231*I231/100</f>
      </c>
      <c r="AC231" s="15">
        <f>X231+Y231+AB231</f>
      </c>
      <c r="AD231" s="6">
        <f>F231+G231+I231</f>
      </c>
      <c r="AE231" s="3"/>
      <c r="AF231" s="6">
        <f>SUM(AM231:BC231)</f>
      </c>
      <c r="AG231" s="5">
        <f>IF(SUM(AM231:AO231)&gt;0.7*AF231,1,0)</f>
      </c>
      <c r="AH231" s="5">
        <f>IF(AN231&gt;0.4*AF231,1,0)</f>
      </c>
      <c r="AI231" s="5">
        <f>IF(SUM(AP231:AQ231)&gt;0.3*AF231,1,0)</f>
      </c>
      <c r="AJ231" s="5">
        <f>IF(AQ231&gt;0.2*AF231,1,0)</f>
      </c>
      <c r="AK231" s="5">
        <f>IF(SUM(AR231:BC231)&gt;0.3*AF231,1,0)</f>
      </c>
      <c r="AL231" s="3"/>
      <c r="AM231" s="6">
        <f>(F231/100)*AM$41</f>
      </c>
      <c r="AN231" s="6">
        <f>(G231/100)*AN$41</f>
      </c>
      <c r="AO231" s="6">
        <f>(H231/1000000)*AO$41</f>
      </c>
      <c r="AP231" s="6">
        <f>(I231/100)*AP$41</f>
      </c>
      <c r="AQ231" s="6">
        <f>(J231/1000000)*AQ$41</f>
      </c>
      <c r="AR231" s="6">
        <f>(K231/100)*AR$41</f>
      </c>
      <c r="AS231" s="6">
        <f>(L231/100)*AS$41</f>
      </c>
      <c r="AT231" s="6">
        <f>(M231/100)*AT$41</f>
      </c>
      <c r="AU231" s="6">
        <f>(N231/100)*AU$41</f>
      </c>
      <c r="AV231" s="6">
        <f>(O231/1000000)*AV$41</f>
      </c>
      <c r="AW231" s="6">
        <f>(P231/100)*AW$41</f>
      </c>
      <c r="AX231" s="6">
        <f>(Q231/100)*AX$41</f>
      </c>
      <c r="AY231" s="6">
        <f>(R231/100)*AY$41</f>
      </c>
      <c r="AZ231" s="6">
        <f>(S231/100)*AZ$41</f>
      </c>
      <c r="BA231" s="6">
        <f>(T231/100)*BA$41</f>
      </c>
      <c r="BB231" s="6">
        <f>(U231/100)*BB$41</f>
      </c>
      <c r="BC231" s="6"/>
      <c r="BD231" s="3"/>
      <c r="BE231" s="3"/>
      <c r="BF231" s="7">
        <f>AF231*E231</f>
      </c>
      <c r="BG231" s="6"/>
      <c r="BH231" s="3"/>
      <c r="BI231" s="6"/>
    </row>
    <row x14ac:dyDescent="0.25" r="232" customHeight="1" ht="12.75">
      <c r="A232" s="5" t="s">
        <v>8</v>
      </c>
      <c r="B232" s="3" t="s">
        <v>855</v>
      </c>
      <c r="C232" s="43" t="s">
        <v>866</v>
      </c>
      <c r="D232" s="34" t="s">
        <v>988</v>
      </c>
      <c r="E232" s="5">
        <v>194</v>
      </c>
      <c r="F232" s="7">
        <v>4.049536082474227</v>
      </c>
      <c r="G232" s="7">
        <v>9.206185567010309</v>
      </c>
      <c r="H232" s="7">
        <v>40.9680412371134</v>
      </c>
      <c r="I232" s="6"/>
      <c r="J232" s="6"/>
      <c r="K232" s="7"/>
      <c r="L232" s="6"/>
      <c r="M232" s="6"/>
      <c r="N232" s="23"/>
      <c r="O232" s="5"/>
      <c r="P232" s="6"/>
      <c r="Q232" s="6"/>
      <c r="R232" s="6"/>
      <c r="S232" s="6"/>
      <c r="T232" s="6"/>
      <c r="U232" s="6"/>
      <c r="V232" s="5"/>
      <c r="W232" s="6"/>
      <c r="X232" s="6">
        <f>E232*F232/100</f>
      </c>
      <c r="Y232" s="6">
        <f>E232*G232/100</f>
      </c>
      <c r="Z232" s="7">
        <f>E232*H232</f>
      </c>
      <c r="AA232" s="7">
        <f>E232*J232</f>
      </c>
      <c r="AB232" s="6">
        <f>E232*I232/100</f>
      </c>
      <c r="AC232" s="15">
        <f>X232+Y232+AB232</f>
      </c>
      <c r="AD232" s="6">
        <f>F232+G232+I232</f>
      </c>
      <c r="AE232" s="3"/>
      <c r="AF232" s="6">
        <f>SUM(AM232:BC232)</f>
      </c>
      <c r="AG232" s="5">
        <f>IF(SUM(AM232:AO232)&gt;0.7*AF232,1,0)</f>
      </c>
      <c r="AH232" s="5">
        <f>IF(AN232&gt;0.4*AF232,1,0)</f>
      </c>
      <c r="AI232" s="5">
        <f>IF(SUM(AP232:AQ232)&gt;0.3*AF232,1,0)</f>
      </c>
      <c r="AJ232" s="5">
        <f>IF(AQ232&gt;0.2*AF232,1,0)</f>
      </c>
      <c r="AK232" s="5">
        <f>IF(SUM(AR232:BC232)&gt;0.3*AF232,1,0)</f>
      </c>
      <c r="AL232" s="3"/>
      <c r="AM232" s="6">
        <f>(F232/100)*AM$41</f>
      </c>
      <c r="AN232" s="6">
        <f>(G232/100)*AN$41</f>
      </c>
      <c r="AO232" s="6">
        <f>(H232/1000000)*AO$41</f>
      </c>
      <c r="AP232" s="6">
        <f>(I232/100)*AP$41</f>
      </c>
      <c r="AQ232" s="6">
        <f>(J232/1000000)*AQ$41</f>
      </c>
      <c r="AR232" s="6">
        <f>(K232/100)*AR$41</f>
      </c>
      <c r="AS232" s="6">
        <f>(L232/100)*AS$41</f>
      </c>
      <c r="AT232" s="6">
        <f>(M232/100)*AT$41</f>
      </c>
      <c r="AU232" s="6">
        <f>(N232/100)*AU$41</f>
      </c>
      <c r="AV232" s="6">
        <f>(O232/1000000)*AV$41</f>
      </c>
      <c r="AW232" s="6">
        <f>(P232/100)*AW$41</f>
      </c>
      <c r="AX232" s="6">
        <f>(Q232/100)*AX$41</f>
      </c>
      <c r="AY232" s="6">
        <f>(R232/100)*AY$41</f>
      </c>
      <c r="AZ232" s="6">
        <f>(S232/100)*AZ$41</f>
      </c>
      <c r="BA232" s="6">
        <f>(T232/100)*BA$41</f>
      </c>
      <c r="BB232" s="6">
        <f>(U232/100)*BB$41</f>
      </c>
      <c r="BC232" s="6"/>
      <c r="BD232" s="3"/>
      <c r="BE232" s="3"/>
      <c r="BF232" s="7">
        <f>AF232*E232</f>
      </c>
      <c r="BG232" s="6"/>
      <c r="BH232" s="3"/>
      <c r="BI232" s="6"/>
    </row>
    <row x14ac:dyDescent="0.25" r="233" customHeight="1" ht="12.75">
      <c r="A233" s="5" t="s">
        <v>11</v>
      </c>
      <c r="B233" s="3" t="s">
        <v>855</v>
      </c>
      <c r="C233" s="43" t="s">
        <v>866</v>
      </c>
      <c r="D233" s="34" t="s">
        <v>988</v>
      </c>
      <c r="E233" s="6">
        <v>427.8</v>
      </c>
      <c r="F233" s="7">
        <v>2.4990042075736327</v>
      </c>
      <c r="G233" s="7">
        <v>3.3728190743338002</v>
      </c>
      <c r="H233" s="7">
        <v>51.676203833567094</v>
      </c>
      <c r="I233" s="6"/>
      <c r="J233" s="6"/>
      <c r="K233" s="7"/>
      <c r="L233" s="6"/>
      <c r="M233" s="6"/>
      <c r="N233" s="23"/>
      <c r="O233" s="5"/>
      <c r="P233" s="6"/>
      <c r="Q233" s="6"/>
      <c r="R233" s="6"/>
      <c r="S233" s="6"/>
      <c r="T233" s="6"/>
      <c r="U233" s="6"/>
      <c r="V233" s="5"/>
      <c r="W233" s="6"/>
      <c r="X233" s="6">
        <f>E233*F233/100</f>
      </c>
      <c r="Y233" s="6">
        <f>E233*G233/100</f>
      </c>
      <c r="Z233" s="7">
        <f>E233*H233</f>
      </c>
      <c r="AA233" s="7">
        <f>E233*J233</f>
      </c>
      <c r="AB233" s="6">
        <f>E233*I233/100</f>
      </c>
      <c r="AC233" s="15">
        <f>X233+Y233+AB233</f>
      </c>
      <c r="AD233" s="6">
        <f>F233+G233+I233</f>
      </c>
      <c r="AE233" s="3"/>
      <c r="AF233" s="6">
        <f>SUM(AM233:BC233)</f>
      </c>
      <c r="AG233" s="5">
        <f>IF(SUM(AM233:AO233)&gt;0.7*AF233,1,0)</f>
      </c>
      <c r="AH233" s="5">
        <f>IF(AN233&gt;0.4*AF233,1,0)</f>
      </c>
      <c r="AI233" s="5">
        <f>IF(SUM(AP233:AQ233)&gt;0.3*AF233,1,0)</f>
      </c>
      <c r="AJ233" s="5">
        <f>IF(AQ233&gt;0.2*AF233,1,0)</f>
      </c>
      <c r="AK233" s="5">
        <f>IF(SUM(AR233:BC233)&gt;0.3*AF233,1,0)</f>
      </c>
      <c r="AL233" s="3"/>
      <c r="AM233" s="6">
        <f>(F233/100)*AM$41</f>
      </c>
      <c r="AN233" s="6">
        <f>(G233/100)*AN$41</f>
      </c>
      <c r="AO233" s="6">
        <f>(H233/1000000)*AO$41</f>
      </c>
      <c r="AP233" s="6">
        <f>(I233/100)*AP$41</f>
      </c>
      <c r="AQ233" s="6">
        <f>(J233/1000000)*AQ$41</f>
      </c>
      <c r="AR233" s="6">
        <f>(K233/100)*AR$41</f>
      </c>
      <c r="AS233" s="6">
        <f>(L233/100)*AS$41</f>
      </c>
      <c r="AT233" s="6">
        <f>(M233/100)*AT$41</f>
      </c>
      <c r="AU233" s="6">
        <f>(N233/100)*AU$41</f>
      </c>
      <c r="AV233" s="6">
        <f>(O233/1000000)*AV$41</f>
      </c>
      <c r="AW233" s="6">
        <f>(P233/100)*AW$41</f>
      </c>
      <c r="AX233" s="6">
        <f>(Q233/100)*AX$41</f>
      </c>
      <c r="AY233" s="6">
        <f>(R233/100)*AY$41</f>
      </c>
      <c r="AZ233" s="6">
        <f>(S233/100)*AZ$41</f>
      </c>
      <c r="BA233" s="6">
        <f>(T233/100)*BA$41</f>
      </c>
      <c r="BB233" s="6">
        <f>(U233/100)*BB$41</f>
      </c>
      <c r="BC233" s="6"/>
      <c r="BD233" s="3"/>
      <c r="BE233" s="3"/>
      <c r="BF233" s="7">
        <f>AF233*E233</f>
      </c>
      <c r="BG233" s="6"/>
      <c r="BH233" s="3"/>
      <c r="BI233" s="6"/>
    </row>
    <row x14ac:dyDescent="0.25" r="234" customHeight="1" ht="12.75">
      <c r="A234" s="5" t="s">
        <v>20</v>
      </c>
      <c r="B234" s="3" t="s">
        <v>855</v>
      </c>
      <c r="C234" s="43" t="s">
        <v>866</v>
      </c>
      <c r="D234" s="34" t="s">
        <v>990</v>
      </c>
      <c r="E234" s="5">
        <v>394</v>
      </c>
      <c r="F234" s="6">
        <v>1.6</v>
      </c>
      <c r="G234" s="6">
        <v>4.2</v>
      </c>
      <c r="H234" s="5">
        <v>36</v>
      </c>
      <c r="I234" s="6"/>
      <c r="J234" s="6"/>
      <c r="K234" s="7"/>
      <c r="L234" s="6"/>
      <c r="M234" s="6"/>
      <c r="N234" s="23"/>
      <c r="O234" s="5"/>
      <c r="P234" s="6"/>
      <c r="Q234" s="6"/>
      <c r="R234" s="6"/>
      <c r="S234" s="6"/>
      <c r="T234" s="6"/>
      <c r="U234" s="6"/>
      <c r="V234" s="5"/>
      <c r="W234" s="6"/>
      <c r="X234" s="6">
        <f>E234*F234/100</f>
      </c>
      <c r="Y234" s="6">
        <f>E234*G234/100</f>
      </c>
      <c r="Z234" s="7">
        <f>E234*H234</f>
      </c>
      <c r="AA234" s="7">
        <f>E234*J234</f>
      </c>
      <c r="AB234" s="6">
        <f>E234*I234/100</f>
      </c>
      <c r="AC234" s="15">
        <f>X234+Y234+AB234</f>
      </c>
      <c r="AD234" s="6">
        <f>F234+G234+I234</f>
      </c>
      <c r="AE234" s="3"/>
      <c r="AF234" s="6">
        <f>SUM(AM234:BC234)</f>
      </c>
      <c r="AG234" s="5">
        <f>IF(SUM(AM234:AO234)&gt;0.7*AF234,1,0)</f>
      </c>
      <c r="AH234" s="5">
        <f>IF(AN234&gt;0.4*AF234,1,0)</f>
      </c>
      <c r="AI234" s="5">
        <f>IF(SUM(AP234:AQ234)&gt;0.3*AF234,1,0)</f>
      </c>
      <c r="AJ234" s="5">
        <f>IF(AQ234&gt;0.2*AF234,1,0)</f>
      </c>
      <c r="AK234" s="5">
        <f>IF(SUM(AR234:BC234)&gt;0.3*AF234,1,0)</f>
      </c>
      <c r="AL234" s="3"/>
      <c r="AM234" s="6">
        <f>(F234/100)*AM$41</f>
      </c>
      <c r="AN234" s="6">
        <f>(G234/100)*AN$41</f>
      </c>
      <c r="AO234" s="6">
        <f>(H234/1000000)*AO$41</f>
      </c>
      <c r="AP234" s="6">
        <f>(I234/100)*AP$41</f>
      </c>
      <c r="AQ234" s="6">
        <f>(J234/1000000)*AQ$41</f>
      </c>
      <c r="AR234" s="6">
        <f>(K234/100)*AR$41</f>
      </c>
      <c r="AS234" s="6">
        <f>(L234/100)*AS$41</f>
      </c>
      <c r="AT234" s="6">
        <f>(M234/100)*AT$41</f>
      </c>
      <c r="AU234" s="6">
        <f>(N234/100)*AU$41</f>
      </c>
      <c r="AV234" s="6">
        <f>(O234/1000000)*AV$41</f>
      </c>
      <c r="AW234" s="6">
        <f>(P234/100)*AW$41</f>
      </c>
      <c r="AX234" s="6">
        <f>(Q234/100)*AX$41</f>
      </c>
      <c r="AY234" s="6">
        <f>(R234/100)*AY$41</f>
      </c>
      <c r="AZ234" s="6">
        <f>(S234/100)*AZ$41</f>
      </c>
      <c r="BA234" s="6">
        <f>(T234/100)*BA$41</f>
      </c>
      <c r="BB234" s="6">
        <f>(U234/100)*BB$41</f>
      </c>
      <c r="BC234" s="6"/>
      <c r="BD234" s="3"/>
      <c r="BE234" s="3"/>
      <c r="BF234" s="7">
        <f>AF234*E234</f>
      </c>
      <c r="BG234" s="6"/>
      <c r="BH234" s="3"/>
      <c r="BI234" s="6"/>
    </row>
    <row x14ac:dyDescent="0.25" r="235" customHeight="1" ht="12.75">
      <c r="A235" s="5" t="s">
        <v>29</v>
      </c>
      <c r="B235" s="3" t="s">
        <v>855</v>
      </c>
      <c r="C235" s="43" t="s">
        <v>866</v>
      </c>
      <c r="D235" s="34" t="s">
        <v>988</v>
      </c>
      <c r="E235" s="6">
        <v>145.1</v>
      </c>
      <c r="F235" s="7">
        <v>3.9301585113714688</v>
      </c>
      <c r="G235" s="7">
        <v>8.34459682977257</v>
      </c>
      <c r="H235" s="31">
        <v>62.486836664369406</v>
      </c>
      <c r="I235" s="6"/>
      <c r="J235" s="6"/>
      <c r="K235" s="7"/>
      <c r="L235" s="6"/>
      <c r="M235" s="6"/>
      <c r="N235" s="23"/>
      <c r="O235" s="5"/>
      <c r="P235" s="6"/>
      <c r="Q235" s="6"/>
      <c r="R235" s="6"/>
      <c r="S235" s="6"/>
      <c r="T235" s="6"/>
      <c r="U235" s="6"/>
      <c r="V235" s="5"/>
      <c r="W235" s="6"/>
      <c r="X235" s="6">
        <f>E235*F235/100</f>
      </c>
      <c r="Y235" s="6">
        <f>E235*G235/100</f>
      </c>
      <c r="Z235" s="7">
        <f>E235*H235</f>
      </c>
      <c r="AA235" s="7">
        <f>E235*J235</f>
      </c>
      <c r="AB235" s="6">
        <f>E235*I235/100</f>
      </c>
      <c r="AC235" s="15">
        <f>X235+Y235+AB235</f>
      </c>
      <c r="AD235" s="6">
        <f>F235+G235+I235</f>
      </c>
      <c r="AE235" s="3"/>
      <c r="AF235" s="6">
        <f>SUM(AM235:BC235)</f>
      </c>
      <c r="AG235" s="5">
        <f>IF(SUM(AM235:AO235)&gt;0.7*AF235,1,0)</f>
      </c>
      <c r="AH235" s="5">
        <f>IF(AN235&gt;0.4*AF235,1,0)</f>
      </c>
      <c r="AI235" s="5">
        <f>IF(SUM(AP235:AQ235)&gt;0.3*AF235,1,0)</f>
      </c>
      <c r="AJ235" s="5">
        <f>IF(AQ235&gt;0.2*AF235,1,0)</f>
      </c>
      <c r="AK235" s="5">
        <f>IF(SUM(AR235:BC235)&gt;0.3*AF235,1,0)</f>
      </c>
      <c r="AL235" s="3"/>
      <c r="AM235" s="6">
        <f>(F235/100)*AM$41</f>
      </c>
      <c r="AN235" s="6">
        <f>(G235/100)*AN$41</f>
      </c>
      <c r="AO235" s="6">
        <f>(H235/1000000)*AO$41</f>
      </c>
      <c r="AP235" s="6">
        <f>(I235/100)*AP$41</f>
      </c>
      <c r="AQ235" s="6">
        <f>(J235/1000000)*AQ$41</f>
      </c>
      <c r="AR235" s="6">
        <f>(K235/100)*AR$41</f>
      </c>
      <c r="AS235" s="6">
        <f>(L235/100)*AS$41</f>
      </c>
      <c r="AT235" s="6">
        <f>(M235/100)*AT$41</f>
      </c>
      <c r="AU235" s="6">
        <f>(N235/100)*AU$41</f>
      </c>
      <c r="AV235" s="6">
        <f>(O235/1000000)*AV$41</f>
      </c>
      <c r="AW235" s="6">
        <f>(P235/100)*AW$41</f>
      </c>
      <c r="AX235" s="6">
        <f>(Q235/100)*AX$41</f>
      </c>
      <c r="AY235" s="6">
        <f>(R235/100)*AY$41</f>
      </c>
      <c r="AZ235" s="6">
        <f>(S235/100)*AZ$41</f>
      </c>
      <c r="BA235" s="6">
        <f>(T235/100)*BA$41</f>
      </c>
      <c r="BB235" s="6">
        <f>(U235/100)*BB$41</f>
      </c>
      <c r="BC235" s="6"/>
      <c r="BD235" s="3"/>
      <c r="BE235" s="3"/>
      <c r="BF235" s="7">
        <f>AF235*E235</f>
      </c>
      <c r="BG235" s="6"/>
      <c r="BH235" s="3"/>
      <c r="BI235" s="6"/>
    </row>
    <row x14ac:dyDescent="0.25" r="236" customHeight="1" ht="12.75">
      <c r="A236" s="5" t="s">
        <v>33</v>
      </c>
      <c r="B236" s="3" t="s">
        <v>855</v>
      </c>
      <c r="C236" s="43" t="s">
        <v>866</v>
      </c>
      <c r="D236" s="34" t="s">
        <v>988</v>
      </c>
      <c r="E236" s="6">
        <v>109.4</v>
      </c>
      <c r="F236" s="7">
        <v>1.9972577696526508</v>
      </c>
      <c r="G236" s="7">
        <v>12.785648994515538</v>
      </c>
      <c r="H236" s="31">
        <v>59.11334552102376</v>
      </c>
      <c r="I236" s="6"/>
      <c r="J236" s="6"/>
      <c r="K236" s="7"/>
      <c r="L236" s="6"/>
      <c r="M236" s="6"/>
      <c r="N236" s="23"/>
      <c r="O236" s="5"/>
      <c r="P236" s="6"/>
      <c r="Q236" s="6"/>
      <c r="R236" s="6"/>
      <c r="S236" s="6"/>
      <c r="T236" s="6"/>
      <c r="U236" s="6"/>
      <c r="V236" s="5"/>
      <c r="W236" s="6"/>
      <c r="X236" s="6">
        <f>E236*F236/100</f>
      </c>
      <c r="Y236" s="6">
        <f>E236*G236/100</f>
      </c>
      <c r="Z236" s="7">
        <f>E236*H236</f>
      </c>
      <c r="AA236" s="7">
        <f>E236*J236</f>
      </c>
      <c r="AB236" s="6">
        <f>E236*I236/100</f>
      </c>
      <c r="AC236" s="15">
        <f>X236+Y236+AB236</f>
      </c>
      <c r="AD236" s="6">
        <f>F236+G236+I236</f>
      </c>
      <c r="AE236" s="3"/>
      <c r="AF236" s="6">
        <f>SUM(AM236:BC236)</f>
      </c>
      <c r="AG236" s="5">
        <f>IF(SUM(AM236:AO236)&gt;0.7*AF236,1,0)</f>
      </c>
      <c r="AH236" s="5">
        <f>IF(AN236&gt;0.4*AF236,1,0)</f>
      </c>
      <c r="AI236" s="5">
        <f>IF(SUM(AP236:AQ236)&gt;0.3*AF236,1,0)</f>
      </c>
      <c r="AJ236" s="5">
        <f>IF(AQ236&gt;0.2*AF236,1,0)</f>
      </c>
      <c r="AK236" s="5">
        <f>IF(SUM(AR236:BC236)&gt;0.3*AF236,1,0)</f>
      </c>
      <c r="AL236" s="3"/>
      <c r="AM236" s="6">
        <f>(F236/100)*AM$41</f>
      </c>
      <c r="AN236" s="6">
        <f>(G236/100)*AN$41</f>
      </c>
      <c r="AO236" s="6">
        <f>(H236/1000000)*AO$41</f>
      </c>
      <c r="AP236" s="6">
        <f>(I236/100)*AP$41</f>
      </c>
      <c r="AQ236" s="6">
        <f>(J236/1000000)*AQ$41</f>
      </c>
      <c r="AR236" s="6">
        <f>(K236/100)*AR$41</f>
      </c>
      <c r="AS236" s="6">
        <f>(L236/100)*AS$41</f>
      </c>
      <c r="AT236" s="6">
        <f>(M236/100)*AT$41</f>
      </c>
      <c r="AU236" s="6">
        <f>(N236/100)*AU$41</f>
      </c>
      <c r="AV236" s="6">
        <f>(O236/1000000)*AV$41</f>
      </c>
      <c r="AW236" s="6">
        <f>(P236/100)*AW$41</f>
      </c>
      <c r="AX236" s="6">
        <f>(Q236/100)*AX$41</f>
      </c>
      <c r="AY236" s="6">
        <f>(R236/100)*AY$41</f>
      </c>
      <c r="AZ236" s="6">
        <f>(S236/100)*AZ$41</f>
      </c>
      <c r="BA236" s="6">
        <f>(T236/100)*BA$41</f>
      </c>
      <c r="BB236" s="6">
        <f>(U236/100)*BB$41</f>
      </c>
      <c r="BC236" s="6"/>
      <c r="BD236" s="3"/>
      <c r="BE236" s="3"/>
      <c r="BF236" s="7">
        <f>AF236*E236</f>
      </c>
      <c r="BG236" s="6"/>
      <c r="BH236" s="3"/>
      <c r="BI236" s="6"/>
    </row>
    <row x14ac:dyDescent="0.25" r="237" customHeight="1" ht="12.75">
      <c r="A237" s="5" t="s">
        <v>36</v>
      </c>
      <c r="B237" s="3" t="s">
        <v>855</v>
      </c>
      <c r="C237" s="43" t="s">
        <v>866</v>
      </c>
      <c r="D237" s="34" t="s">
        <v>988</v>
      </c>
      <c r="E237" s="6">
        <v>214.3</v>
      </c>
      <c r="F237" s="6">
        <v>0.44363975734951</v>
      </c>
      <c r="G237" s="6">
        <v>6.667372841810545</v>
      </c>
      <c r="H237" s="7"/>
      <c r="I237" s="6"/>
      <c r="J237" s="6"/>
      <c r="K237" s="7"/>
      <c r="L237" s="6"/>
      <c r="M237" s="6"/>
      <c r="N237" s="23"/>
      <c r="O237" s="5"/>
      <c r="P237" s="6"/>
      <c r="Q237" s="6"/>
      <c r="R237" s="6"/>
      <c r="S237" s="6"/>
      <c r="T237" s="6"/>
      <c r="U237" s="6"/>
      <c r="V237" s="5"/>
      <c r="W237" s="6"/>
      <c r="X237" s="6">
        <f>E237*F237/100</f>
      </c>
      <c r="Y237" s="6">
        <f>E237*G237/100</f>
      </c>
      <c r="Z237" s="7">
        <f>E237*H237</f>
      </c>
      <c r="AA237" s="7">
        <f>E237*J237</f>
      </c>
      <c r="AB237" s="6">
        <f>E237*I237/100</f>
      </c>
      <c r="AC237" s="15">
        <f>X237+Y237+AB237</f>
      </c>
      <c r="AD237" s="6">
        <f>F237+G237+I237</f>
      </c>
      <c r="AE237" s="3"/>
      <c r="AF237" s="6">
        <f>SUM(AM237:BC237)</f>
      </c>
      <c r="AG237" s="5">
        <f>IF(SUM(AM237:AO237)&gt;0.7*AF237,1,0)</f>
      </c>
      <c r="AH237" s="5">
        <f>IF(AN237&gt;0.4*AF237,1,0)</f>
      </c>
      <c r="AI237" s="5">
        <f>IF(SUM(AP237:AQ237)&gt;0.3*AF237,1,0)</f>
      </c>
      <c r="AJ237" s="5">
        <f>IF(AQ237&gt;0.2*AF237,1,0)</f>
      </c>
      <c r="AK237" s="5">
        <f>IF(SUM(AR237:BC237)&gt;0.3*AF237,1,0)</f>
      </c>
      <c r="AL237" s="3"/>
      <c r="AM237" s="6">
        <f>(F237/100)*AM$41</f>
      </c>
      <c r="AN237" s="6">
        <f>(G237/100)*AN$41</f>
      </c>
      <c r="AO237" s="6">
        <f>(H237/1000000)*AO$41</f>
      </c>
      <c r="AP237" s="6">
        <f>(I237/100)*AP$41</f>
      </c>
      <c r="AQ237" s="6">
        <f>(J237/1000000)*AQ$41</f>
      </c>
      <c r="AR237" s="6">
        <f>(K237/100)*AR$41</f>
      </c>
      <c r="AS237" s="6">
        <f>(L237/100)*AS$41</f>
      </c>
      <c r="AT237" s="6">
        <f>(M237/100)*AT$41</f>
      </c>
      <c r="AU237" s="6">
        <f>(N237/100)*AU$41</f>
      </c>
      <c r="AV237" s="6">
        <f>(O237/1000000)*AV$41</f>
      </c>
      <c r="AW237" s="6">
        <f>(P237/100)*AW$41</f>
      </c>
      <c r="AX237" s="6">
        <f>(Q237/100)*AX$41</f>
      </c>
      <c r="AY237" s="6">
        <f>(R237/100)*AY$41</f>
      </c>
      <c r="AZ237" s="6">
        <f>(S237/100)*AZ$41</f>
      </c>
      <c r="BA237" s="6">
        <f>(T237/100)*BA$41</f>
      </c>
      <c r="BB237" s="6">
        <f>(U237/100)*BB$41</f>
      </c>
      <c r="BC237" s="6"/>
      <c r="BD237" s="3"/>
      <c r="BE237" s="3"/>
      <c r="BF237" s="7">
        <f>AF237*E237</f>
      </c>
      <c r="BG237" s="6"/>
      <c r="BH237" s="3"/>
      <c r="BI237" s="6"/>
    </row>
    <row x14ac:dyDescent="0.25" r="238" customHeight="1" ht="12.75">
      <c r="A238" s="5" t="s">
        <v>48</v>
      </c>
      <c r="B238" s="3" t="s">
        <v>855</v>
      </c>
      <c r="C238" s="43" t="s">
        <v>866</v>
      </c>
      <c r="D238" s="34" t="s">
        <v>988</v>
      </c>
      <c r="E238" s="6">
        <v>53.1</v>
      </c>
      <c r="F238" s="7">
        <v>4.492843691148775</v>
      </c>
      <c r="G238" s="7">
        <v>17.179096045197742</v>
      </c>
      <c r="H238" s="7">
        <v>81.68173258003765</v>
      </c>
      <c r="I238" s="6"/>
      <c r="J238" s="6"/>
      <c r="K238" s="7"/>
      <c r="L238" s="6"/>
      <c r="M238" s="6"/>
      <c r="N238" s="23"/>
      <c r="O238" s="5"/>
      <c r="P238" s="6"/>
      <c r="Q238" s="6"/>
      <c r="R238" s="6"/>
      <c r="S238" s="6"/>
      <c r="T238" s="6"/>
      <c r="U238" s="6"/>
      <c r="V238" s="5"/>
      <c r="W238" s="6"/>
      <c r="X238" s="6">
        <f>E238*F238/100</f>
      </c>
      <c r="Y238" s="6">
        <f>E238*G238/100</f>
      </c>
      <c r="Z238" s="7">
        <f>E238*H238</f>
      </c>
      <c r="AA238" s="7">
        <f>E238*J238</f>
      </c>
      <c r="AB238" s="6">
        <f>E238*I238/100</f>
      </c>
      <c r="AC238" s="15">
        <f>X238+Y238+AB238</f>
      </c>
      <c r="AD238" s="6">
        <f>F238+G238+I238</f>
      </c>
      <c r="AE238" s="3"/>
      <c r="AF238" s="6">
        <f>SUM(AM238:BC238)</f>
      </c>
      <c r="AG238" s="5">
        <f>IF(SUM(AM238:AO238)&gt;0.7*AF238,1,0)</f>
      </c>
      <c r="AH238" s="5">
        <f>IF(AN238&gt;0.4*AF238,1,0)</f>
      </c>
      <c r="AI238" s="5">
        <f>IF(SUM(AP238:AQ238)&gt;0.3*AF238,1,0)</f>
      </c>
      <c r="AJ238" s="5">
        <f>IF(AQ238&gt;0.2*AF238,1,0)</f>
      </c>
      <c r="AK238" s="5">
        <f>IF(SUM(AR238:BC238)&gt;0.3*AF238,1,0)</f>
      </c>
      <c r="AL238" s="3"/>
      <c r="AM238" s="6">
        <f>(F238/100)*AM$41</f>
      </c>
      <c r="AN238" s="6">
        <f>(G238/100)*AN$41</f>
      </c>
      <c r="AO238" s="6">
        <f>(H238/1000000)*AO$41</f>
      </c>
      <c r="AP238" s="6">
        <f>(I238/100)*AP$41</f>
      </c>
      <c r="AQ238" s="6">
        <f>(J238/1000000)*AQ$41</f>
      </c>
      <c r="AR238" s="6">
        <f>(K238/100)*AR$41</f>
      </c>
      <c r="AS238" s="6">
        <f>(L238/100)*AS$41</f>
      </c>
      <c r="AT238" s="6">
        <f>(M238/100)*AT$41</f>
      </c>
      <c r="AU238" s="6">
        <f>(N238/100)*AU$41</f>
      </c>
      <c r="AV238" s="6">
        <f>(O238/1000000)*AV$41</f>
      </c>
      <c r="AW238" s="6">
        <f>(P238/100)*AW$41</f>
      </c>
      <c r="AX238" s="6">
        <f>(Q238/100)*AX$41</f>
      </c>
      <c r="AY238" s="6">
        <f>(R238/100)*AY$41</f>
      </c>
      <c r="AZ238" s="6">
        <f>(S238/100)*AZ$41</f>
      </c>
      <c r="BA238" s="6">
        <f>(T238/100)*BA$41</f>
      </c>
      <c r="BB238" s="6">
        <f>(U238/100)*BB$41</f>
      </c>
      <c r="BC238" s="6"/>
      <c r="BD238" s="3"/>
      <c r="BE238" s="3"/>
      <c r="BF238" s="7">
        <f>AF238*E238</f>
      </c>
      <c r="BG238" s="6"/>
      <c r="BH238" s="3"/>
      <c r="BI238" s="6"/>
    </row>
    <row x14ac:dyDescent="0.25" r="239" customHeight="1" ht="12.75">
      <c r="A239" s="5" t="s">
        <v>52</v>
      </c>
      <c r="B239" s="3" t="s">
        <v>855</v>
      </c>
      <c r="C239" s="43" t="s">
        <v>866</v>
      </c>
      <c r="D239" s="34" t="s">
        <v>988</v>
      </c>
      <c r="E239" s="5">
        <v>274</v>
      </c>
      <c r="F239" s="7">
        <v>0.7613138686131387</v>
      </c>
      <c r="G239" s="7">
        <v>3.0919708029197084</v>
      </c>
      <c r="H239" s="7"/>
      <c r="I239" s="6"/>
      <c r="J239" s="6"/>
      <c r="K239" s="7"/>
      <c r="L239" s="6"/>
      <c r="M239" s="6"/>
      <c r="N239" s="23"/>
      <c r="O239" s="5"/>
      <c r="P239" s="6"/>
      <c r="Q239" s="6"/>
      <c r="R239" s="6"/>
      <c r="S239" s="6"/>
      <c r="T239" s="6"/>
      <c r="U239" s="6"/>
      <c r="V239" s="5"/>
      <c r="W239" s="6"/>
      <c r="X239" s="6">
        <f>E239*F239/100</f>
      </c>
      <c r="Y239" s="6">
        <f>E239*G239/100</f>
      </c>
      <c r="Z239" s="7">
        <f>E239*H239</f>
      </c>
      <c r="AA239" s="7">
        <f>E239*J239</f>
      </c>
      <c r="AB239" s="6">
        <f>E239*I239/100</f>
      </c>
      <c r="AC239" s="15">
        <f>X239+Y239+AB239</f>
      </c>
      <c r="AD239" s="6">
        <f>F239+G239+I239</f>
      </c>
      <c r="AE239" s="3"/>
      <c r="AF239" s="6">
        <f>SUM(AM239:BC239)</f>
      </c>
      <c r="AG239" s="5">
        <f>IF(SUM(AM239:AO239)&gt;0.7*AF239,1,0)</f>
      </c>
      <c r="AH239" s="5">
        <f>IF(AN239&gt;0.4*AF239,1,0)</f>
      </c>
      <c r="AI239" s="5">
        <f>IF(SUM(AP239:AQ239)&gt;0.3*AF239,1,0)</f>
      </c>
      <c r="AJ239" s="5">
        <f>IF(AQ239&gt;0.2*AF239,1,0)</f>
      </c>
      <c r="AK239" s="5">
        <f>IF(SUM(AR239:BC239)&gt;0.3*AF239,1,0)</f>
      </c>
      <c r="AL239" s="3"/>
      <c r="AM239" s="6">
        <f>(F239/100)*AM$41</f>
      </c>
      <c r="AN239" s="6">
        <f>(G239/100)*AN$41</f>
      </c>
      <c r="AO239" s="6">
        <f>(H239/1000000)*AO$41</f>
      </c>
      <c r="AP239" s="6">
        <f>(I239/100)*AP$41</f>
      </c>
      <c r="AQ239" s="6">
        <f>(J239/1000000)*AQ$41</f>
      </c>
      <c r="AR239" s="6">
        <f>(K239/100)*AR$41</f>
      </c>
      <c r="AS239" s="6">
        <f>(L239/100)*AS$41</f>
      </c>
      <c r="AT239" s="6">
        <f>(M239/100)*AT$41</f>
      </c>
      <c r="AU239" s="6">
        <f>(N239/100)*AU$41</f>
      </c>
      <c r="AV239" s="6">
        <f>(O239/1000000)*AV$41</f>
      </c>
      <c r="AW239" s="6">
        <f>(P239/100)*AW$41</f>
      </c>
      <c r="AX239" s="6">
        <f>(Q239/100)*AX$41</f>
      </c>
      <c r="AY239" s="6">
        <f>(R239/100)*AY$41</f>
      </c>
      <c r="AZ239" s="6">
        <f>(S239/100)*AZ$41</f>
      </c>
      <c r="BA239" s="6">
        <f>(T239/100)*BA$41</f>
      </c>
      <c r="BB239" s="6">
        <f>(U239/100)*BB$41</f>
      </c>
      <c r="BC239" s="6"/>
      <c r="BD239" s="3"/>
      <c r="BE239" s="3"/>
      <c r="BF239" s="7">
        <f>AF239*E239</f>
      </c>
      <c r="BG239" s="6"/>
      <c r="BH239" s="3"/>
      <c r="BI239" s="6"/>
    </row>
    <row x14ac:dyDescent="0.25" r="240" customHeight="1" ht="12.75">
      <c r="A240" s="5" t="s">
        <v>55</v>
      </c>
      <c r="B240" s="3" t="s">
        <v>855</v>
      </c>
      <c r="C240" s="43" t="s">
        <v>866</v>
      </c>
      <c r="D240" s="34" t="s">
        <v>988</v>
      </c>
      <c r="E240" s="6">
        <v>135.058</v>
      </c>
      <c r="F240" s="6">
        <v>1.1591302255327343</v>
      </c>
      <c r="G240" s="6">
        <v>6.121593463548995</v>
      </c>
      <c r="H240" s="7">
        <v>36.723171526307226</v>
      </c>
      <c r="I240" s="6"/>
      <c r="J240" s="6"/>
      <c r="K240" s="7"/>
      <c r="L240" s="6"/>
      <c r="M240" s="6"/>
      <c r="N240" s="23"/>
      <c r="O240" s="5"/>
      <c r="P240" s="6"/>
      <c r="Q240" s="6"/>
      <c r="R240" s="6"/>
      <c r="S240" s="6"/>
      <c r="T240" s="6"/>
      <c r="U240" s="6"/>
      <c r="V240" s="23">
        <v>0.015855069673769786</v>
      </c>
      <c r="W240" s="6" t="s">
        <v>932</v>
      </c>
      <c r="X240" s="6">
        <f>E240*F240/100</f>
      </c>
      <c r="Y240" s="6">
        <f>E240*G240/100</f>
      </c>
      <c r="Z240" s="7">
        <f>E240*H240</f>
      </c>
      <c r="AA240" s="7">
        <f>E240*J240</f>
      </c>
      <c r="AB240" s="6">
        <f>E240*I240/100</f>
      </c>
      <c r="AC240" s="15">
        <f>X240+Y240+AB240</f>
      </c>
      <c r="AD240" s="6">
        <f>F240+G240+I240</f>
      </c>
      <c r="AE240" s="3"/>
      <c r="AF240" s="6">
        <f>SUM(AM240:BC240)</f>
      </c>
      <c r="AG240" s="5">
        <f>IF(SUM(AM240:AO240)&gt;0.7*AF240,1,0)</f>
      </c>
      <c r="AH240" s="5">
        <f>IF(AN240&gt;0.4*AF240,1,0)</f>
      </c>
      <c r="AI240" s="5">
        <f>IF(SUM(AP240:AQ240)&gt;0.3*AF240,1,0)</f>
      </c>
      <c r="AJ240" s="5">
        <f>IF(AQ240&gt;0.2*AF240,1,0)</f>
      </c>
      <c r="AK240" s="5">
        <f>IF(SUM(AR240:BC240)&gt;0.3*AF240,1,0)</f>
      </c>
      <c r="AL240" s="3"/>
      <c r="AM240" s="6">
        <f>(F240/100)*AM$41</f>
      </c>
      <c r="AN240" s="6">
        <f>(G240/100)*AN$41</f>
      </c>
      <c r="AO240" s="6">
        <f>(H240/1000000)*AO$41</f>
      </c>
      <c r="AP240" s="6">
        <f>(I240/100)*AP$41</f>
      </c>
      <c r="AQ240" s="6">
        <f>(J240/1000000)*AQ$41</f>
      </c>
      <c r="AR240" s="6">
        <f>(K240/100)*AR$41</f>
      </c>
      <c r="AS240" s="6">
        <f>(L240/100)*AS$41</f>
      </c>
      <c r="AT240" s="6">
        <f>(M240/100)*AT$41</f>
      </c>
      <c r="AU240" s="6">
        <f>(N240/100)*AU$41</f>
      </c>
      <c r="AV240" s="6">
        <f>(O240/1000000)*AV$41</f>
      </c>
      <c r="AW240" s="6">
        <f>(P240/100)*AW$41</f>
      </c>
      <c r="AX240" s="6">
        <f>(Q240/100)*AX$41</f>
      </c>
      <c r="AY240" s="6">
        <f>(R240/100)*AY$41</f>
      </c>
      <c r="AZ240" s="6">
        <f>(S240/100)*AZ$41</f>
      </c>
      <c r="BA240" s="6">
        <f>(T240/100)*BA$41</f>
      </c>
      <c r="BB240" s="6">
        <f>(U240/100)*BB$41</f>
      </c>
      <c r="BC240" s="6">
        <f>(V240/100)*1940</f>
      </c>
      <c r="BD240" s="3" t="s">
        <v>933</v>
      </c>
      <c r="BE240" s="3"/>
      <c r="BF240" s="7">
        <f>AF240*E240</f>
      </c>
      <c r="BG240" s="6"/>
      <c r="BH240" s="3"/>
      <c r="BI240" s="6"/>
    </row>
    <row x14ac:dyDescent="0.25" r="241" customHeight="1" ht="12.75">
      <c r="A241" s="5" t="s">
        <v>63</v>
      </c>
      <c r="B241" s="3" t="s">
        <v>855</v>
      </c>
      <c r="C241" s="43" t="s">
        <v>866</v>
      </c>
      <c r="D241" s="34" t="s">
        <v>988</v>
      </c>
      <c r="E241" s="23">
        <v>130.1617</v>
      </c>
      <c r="F241" s="6">
        <v>1.6859105712356246</v>
      </c>
      <c r="G241" s="6">
        <v>5.285875092289054</v>
      </c>
      <c r="H241" s="7"/>
      <c r="I241" s="6"/>
      <c r="J241" s="6"/>
      <c r="K241" s="7"/>
      <c r="L241" s="6"/>
      <c r="M241" s="6"/>
      <c r="N241" s="23"/>
      <c r="O241" s="5"/>
      <c r="P241" s="6"/>
      <c r="Q241" s="6"/>
      <c r="R241" s="6"/>
      <c r="S241" s="6"/>
      <c r="T241" s="6"/>
      <c r="U241" s="6"/>
      <c r="V241" s="5"/>
      <c r="W241" s="6"/>
      <c r="X241" s="6">
        <f>E241*F241/100</f>
      </c>
      <c r="Y241" s="6">
        <f>E241*G241/100</f>
      </c>
      <c r="Z241" s="7">
        <f>E241*H241</f>
      </c>
      <c r="AA241" s="7">
        <f>E241*J241</f>
      </c>
      <c r="AB241" s="6">
        <f>E241*I241/100</f>
      </c>
      <c r="AC241" s="15">
        <f>X241+Y241+AB241</f>
      </c>
      <c r="AD241" s="6">
        <f>F241+G241+I241</f>
      </c>
      <c r="AE241" s="3"/>
      <c r="AF241" s="6">
        <f>SUM(AM241:BC241)</f>
      </c>
      <c r="AG241" s="5">
        <f>IF(SUM(AM241:AO241)&gt;0.7*AF241,1,0)</f>
      </c>
      <c r="AH241" s="5">
        <f>IF(AN241&gt;0.4*AF241,1,0)</f>
      </c>
      <c r="AI241" s="5">
        <f>IF(SUM(AP241:AQ241)&gt;0.3*AF241,1,0)</f>
      </c>
      <c r="AJ241" s="5">
        <f>IF(AQ241&gt;0.2*AF241,1,0)</f>
      </c>
      <c r="AK241" s="5">
        <f>IF(SUM(AR241:BC241)&gt;0.3*AF241,1,0)</f>
      </c>
      <c r="AL241" s="3"/>
      <c r="AM241" s="6">
        <f>(F241/100)*AM$41</f>
      </c>
      <c r="AN241" s="6">
        <f>(G241/100)*AN$41</f>
      </c>
      <c r="AO241" s="6">
        <f>(H241/1000000)*AO$41</f>
      </c>
      <c r="AP241" s="6">
        <f>(I241/100)*AP$41</f>
      </c>
      <c r="AQ241" s="6">
        <f>(J241/1000000)*AQ$41</f>
      </c>
      <c r="AR241" s="6">
        <f>(K241/100)*AR$41</f>
      </c>
      <c r="AS241" s="6">
        <f>(L241/100)*AS$41</f>
      </c>
      <c r="AT241" s="6">
        <f>(M241/100)*AT$41</f>
      </c>
      <c r="AU241" s="6">
        <f>(N241/100)*AU$41</f>
      </c>
      <c r="AV241" s="6">
        <f>(O241/1000000)*AV$41</f>
      </c>
      <c r="AW241" s="6">
        <f>(P241/100)*AW$41</f>
      </c>
      <c r="AX241" s="6">
        <f>(Q241/100)*AX$41</f>
      </c>
      <c r="AY241" s="6">
        <f>(R241/100)*AY$41</f>
      </c>
      <c r="AZ241" s="6">
        <f>(S241/100)*AZ$41</f>
      </c>
      <c r="BA241" s="6">
        <f>(T241/100)*BA$41</f>
      </c>
      <c r="BB241" s="6">
        <f>(U241/100)*BB$41</f>
      </c>
      <c r="BC241" s="6"/>
      <c r="BD241" s="3"/>
      <c r="BE241" s="3"/>
      <c r="BF241" s="7">
        <f>AF241*E241</f>
      </c>
      <c r="BG241" s="6"/>
      <c r="BH241" s="3"/>
      <c r="BI241" s="6"/>
    </row>
    <row x14ac:dyDescent="0.25" r="242" customHeight="1" ht="12.75">
      <c r="A242" s="5" t="s">
        <v>66</v>
      </c>
      <c r="B242" s="3" t="s">
        <v>855</v>
      </c>
      <c r="C242" s="43" t="s">
        <v>866</v>
      </c>
      <c r="D242" s="34" t="s">
        <v>988</v>
      </c>
      <c r="E242" s="5">
        <v>63</v>
      </c>
      <c r="F242" s="7">
        <v>1.8079365079365077</v>
      </c>
      <c r="G242" s="7">
        <v>12.095238095238095</v>
      </c>
      <c r="H242" s="31">
        <v>31.523809523809526</v>
      </c>
      <c r="I242" s="6"/>
      <c r="J242" s="6"/>
      <c r="K242" s="7"/>
      <c r="L242" s="6"/>
      <c r="M242" s="6"/>
      <c r="N242" s="23"/>
      <c r="O242" s="5"/>
      <c r="P242" s="6"/>
      <c r="Q242" s="6"/>
      <c r="R242" s="6"/>
      <c r="S242" s="6"/>
      <c r="T242" s="6"/>
      <c r="U242" s="6"/>
      <c r="V242" s="5"/>
      <c r="W242" s="6"/>
      <c r="X242" s="6">
        <f>E242*F242/100</f>
      </c>
      <c r="Y242" s="6">
        <f>E242*G242/100</f>
      </c>
      <c r="Z242" s="7">
        <f>E242*H242</f>
      </c>
      <c r="AA242" s="7">
        <f>E242*J242</f>
      </c>
      <c r="AB242" s="6">
        <f>E242*I242/100</f>
      </c>
      <c r="AC242" s="15">
        <f>X242+Y242+AB242</f>
      </c>
      <c r="AD242" s="6">
        <f>F242+G242+I242</f>
      </c>
      <c r="AE242" s="3"/>
      <c r="AF242" s="6">
        <f>SUM(AM242:BC242)</f>
      </c>
      <c r="AG242" s="5">
        <f>IF(SUM(AM242:AO242)&gt;0.7*AF242,1,0)</f>
      </c>
      <c r="AH242" s="5">
        <f>IF(AN242&gt;0.4*AF242,1,0)</f>
      </c>
      <c r="AI242" s="5">
        <f>IF(SUM(AP242:AQ242)&gt;0.3*AF242,1,0)</f>
      </c>
      <c r="AJ242" s="5">
        <f>IF(AQ242&gt;0.2*AF242,1,0)</f>
      </c>
      <c r="AK242" s="5">
        <f>IF(SUM(AR242:BC242)&gt;0.3*AF242,1,0)</f>
      </c>
      <c r="AL242" s="3"/>
      <c r="AM242" s="6">
        <f>(F242/100)*AM$41</f>
      </c>
      <c r="AN242" s="6">
        <f>(G242/100)*AN$41</f>
      </c>
      <c r="AO242" s="6">
        <f>(H242/1000000)*AO$41</f>
      </c>
      <c r="AP242" s="6">
        <f>(I242/100)*AP$41</f>
      </c>
      <c r="AQ242" s="6">
        <f>(J242/1000000)*AQ$41</f>
      </c>
      <c r="AR242" s="6">
        <f>(K242/100)*AR$41</f>
      </c>
      <c r="AS242" s="6">
        <f>(L242/100)*AS$41</f>
      </c>
      <c r="AT242" s="6">
        <f>(M242/100)*AT$41</f>
      </c>
      <c r="AU242" s="6">
        <f>(N242/100)*AU$41</f>
      </c>
      <c r="AV242" s="6">
        <f>(O242/1000000)*AV$41</f>
      </c>
      <c r="AW242" s="6">
        <f>(P242/100)*AW$41</f>
      </c>
      <c r="AX242" s="6">
        <f>(Q242/100)*AX$41</f>
      </c>
      <c r="AY242" s="6">
        <f>(R242/100)*AY$41</f>
      </c>
      <c r="AZ242" s="6">
        <f>(S242/100)*AZ$41</f>
      </c>
      <c r="BA242" s="6">
        <f>(T242/100)*BA$41</f>
      </c>
      <c r="BB242" s="6">
        <f>(U242/100)*BB$41</f>
      </c>
      <c r="BC242" s="6"/>
      <c r="BD242" s="3"/>
      <c r="BE242" s="3"/>
      <c r="BF242" s="7">
        <f>AF242*E242</f>
      </c>
      <c r="BG242" s="6"/>
      <c r="BH242" s="3"/>
      <c r="BI242" s="6"/>
    </row>
    <row x14ac:dyDescent="0.25" r="243" customHeight="1" ht="12.75">
      <c r="A243" s="5" t="s">
        <v>76</v>
      </c>
      <c r="B243" s="3" t="s">
        <v>855</v>
      </c>
      <c r="C243" s="43" t="s">
        <v>866</v>
      </c>
      <c r="D243" s="34" t="s">
        <v>988</v>
      </c>
      <c r="E243" s="7">
        <v>96.3</v>
      </c>
      <c r="F243" s="6">
        <v>4.865659397715473</v>
      </c>
      <c r="G243" s="6">
        <v>2.9767912772585667</v>
      </c>
      <c r="H243" s="31">
        <v>163.6957424714434</v>
      </c>
      <c r="I243" s="6"/>
      <c r="J243" s="6"/>
      <c r="K243" s="7"/>
      <c r="L243" s="6"/>
      <c r="M243" s="6"/>
      <c r="N243" s="23"/>
      <c r="O243" s="5"/>
      <c r="P243" s="6"/>
      <c r="Q243" s="6"/>
      <c r="R243" s="6"/>
      <c r="S243" s="6"/>
      <c r="T243" s="6"/>
      <c r="U243" s="6"/>
      <c r="V243" s="5"/>
      <c r="W243" s="6"/>
      <c r="X243" s="6">
        <f>E243*F243/100</f>
      </c>
      <c r="Y243" s="6">
        <f>E243*G243/100</f>
      </c>
      <c r="Z243" s="7">
        <f>E243*H243</f>
      </c>
      <c r="AA243" s="7">
        <f>E243*J243</f>
      </c>
      <c r="AB243" s="6">
        <f>E243*I243/100</f>
      </c>
      <c r="AC243" s="15">
        <f>X243+Y243+AB243</f>
      </c>
      <c r="AD243" s="6">
        <f>F243+G243+I243</f>
      </c>
      <c r="AE243" s="3"/>
      <c r="AF243" s="6">
        <f>SUM(AM243:BC243)</f>
      </c>
      <c r="AG243" s="5">
        <f>IF(SUM(AM243:AO243)&gt;0.7*AF243,1,0)</f>
      </c>
      <c r="AH243" s="5">
        <f>IF(AN243&gt;0.4*AF243,1,0)</f>
      </c>
      <c r="AI243" s="5">
        <f>IF(SUM(AP243:AQ243)&gt;0.3*AF243,1,0)</f>
      </c>
      <c r="AJ243" s="5">
        <f>IF(AQ243&gt;0.2*AF243,1,0)</f>
      </c>
      <c r="AK243" s="5">
        <f>IF(SUM(AR243:BC243)&gt;0.3*AF243,1,0)</f>
      </c>
      <c r="AL243" s="3"/>
      <c r="AM243" s="6">
        <f>(F243/100)*AM$41</f>
      </c>
      <c r="AN243" s="6">
        <f>(G243/100)*AN$41</f>
      </c>
      <c r="AO243" s="6">
        <f>(H243/1000000)*AO$41</f>
      </c>
      <c r="AP243" s="6">
        <f>(I243/100)*AP$41</f>
      </c>
      <c r="AQ243" s="6">
        <f>(J243/1000000)*AQ$41</f>
      </c>
      <c r="AR243" s="6">
        <f>(K243/100)*AR$41</f>
      </c>
      <c r="AS243" s="6">
        <f>(L243/100)*AS$41</f>
      </c>
      <c r="AT243" s="6">
        <f>(M243/100)*AT$41</f>
      </c>
      <c r="AU243" s="6">
        <f>(N243/100)*AU$41</f>
      </c>
      <c r="AV243" s="6">
        <f>(O243/1000000)*AV$41</f>
      </c>
      <c r="AW243" s="6">
        <f>(P243/100)*AW$41</f>
      </c>
      <c r="AX243" s="6">
        <f>(Q243/100)*AX$41</f>
      </c>
      <c r="AY243" s="6">
        <f>(R243/100)*AY$41</f>
      </c>
      <c r="AZ243" s="6">
        <f>(S243/100)*AZ$41</f>
      </c>
      <c r="BA243" s="6">
        <f>(T243/100)*BA$41</f>
      </c>
      <c r="BB243" s="6">
        <f>(U243/100)*BB$41</f>
      </c>
      <c r="BC243" s="6"/>
      <c r="BD243" s="3"/>
      <c r="BE243" s="3"/>
      <c r="BF243" s="7">
        <f>AF243*E243</f>
      </c>
      <c r="BG243" s="6"/>
      <c r="BH243" s="3"/>
      <c r="BI243" s="6"/>
    </row>
    <row x14ac:dyDescent="0.25" r="244" customHeight="1" ht="12.75">
      <c r="A244" s="5" t="s">
        <v>83</v>
      </c>
      <c r="B244" s="3" t="s">
        <v>855</v>
      </c>
      <c r="C244" s="43" t="s">
        <v>866</v>
      </c>
      <c r="D244" s="34" t="s">
        <v>988</v>
      </c>
      <c r="E244" s="5">
        <v>58</v>
      </c>
      <c r="F244" s="6">
        <v>1.6</v>
      </c>
      <c r="G244" s="6">
        <v>11.1</v>
      </c>
      <c r="H244" s="31"/>
      <c r="I244" s="6"/>
      <c r="J244" s="6"/>
      <c r="K244" s="7"/>
      <c r="L244" s="6"/>
      <c r="M244" s="6"/>
      <c r="N244" s="23"/>
      <c r="O244" s="5"/>
      <c r="P244" s="6"/>
      <c r="Q244" s="6"/>
      <c r="R244" s="6"/>
      <c r="S244" s="6"/>
      <c r="T244" s="6"/>
      <c r="U244" s="6"/>
      <c r="V244" s="5"/>
      <c r="W244" s="6"/>
      <c r="X244" s="6">
        <f>E244*F244/100</f>
      </c>
      <c r="Y244" s="6">
        <f>E244*G244/100</f>
      </c>
      <c r="Z244" s="7">
        <f>E244*H244</f>
      </c>
      <c r="AA244" s="7">
        <f>E244*J244</f>
      </c>
      <c r="AB244" s="6">
        <f>E244*I244/100</f>
      </c>
      <c r="AC244" s="15">
        <f>X244+Y244+AB244</f>
      </c>
      <c r="AD244" s="6">
        <f>F244+G244+I244</f>
      </c>
      <c r="AE244" s="3"/>
      <c r="AF244" s="6">
        <f>SUM(AM244:BC244)</f>
      </c>
      <c r="AG244" s="5">
        <f>IF(SUM(AM244:AO244)&gt;0.7*AF244,1,0)</f>
      </c>
      <c r="AH244" s="5">
        <f>IF(AN244&gt;0.4*AF244,1,0)</f>
      </c>
      <c r="AI244" s="5">
        <f>IF(SUM(AP244:AQ244)&gt;0.3*AF244,1,0)</f>
      </c>
      <c r="AJ244" s="5">
        <f>IF(AQ244&gt;0.2*AF244,1,0)</f>
      </c>
      <c r="AK244" s="5">
        <f>IF(SUM(AR244:BC244)&gt;0.3*AF244,1,0)</f>
      </c>
      <c r="AL244" s="3"/>
      <c r="AM244" s="6">
        <f>(F244/100)*AM$41</f>
      </c>
      <c r="AN244" s="6">
        <f>(G244/100)*AN$41</f>
      </c>
      <c r="AO244" s="6">
        <f>(H244/1000000)*AO$41</f>
      </c>
      <c r="AP244" s="6">
        <f>(I244/100)*AP$41</f>
      </c>
      <c r="AQ244" s="6">
        <f>(J244/1000000)*AQ$41</f>
      </c>
      <c r="AR244" s="6">
        <f>(K244/100)*AR$41</f>
      </c>
      <c r="AS244" s="6">
        <f>(L244/100)*AS$41</f>
      </c>
      <c r="AT244" s="6">
        <f>(M244/100)*AT$41</f>
      </c>
      <c r="AU244" s="6">
        <f>(N244/100)*AU$41</f>
      </c>
      <c r="AV244" s="6">
        <f>(O244/1000000)*AV$41</f>
      </c>
      <c r="AW244" s="6">
        <f>(P244/100)*AW$41</f>
      </c>
      <c r="AX244" s="6">
        <f>(Q244/100)*AX$41</f>
      </c>
      <c r="AY244" s="6">
        <f>(R244/100)*AY$41</f>
      </c>
      <c r="AZ244" s="6">
        <f>(S244/100)*AZ$41</f>
      </c>
      <c r="BA244" s="6">
        <f>(T244/100)*BA$41</f>
      </c>
      <c r="BB244" s="6">
        <f>(U244/100)*BB$41</f>
      </c>
      <c r="BC244" s="6"/>
      <c r="BD244" s="3"/>
      <c r="BE244" s="3"/>
      <c r="BF244" s="7">
        <f>AF244*E244</f>
      </c>
      <c r="BG244" s="6"/>
      <c r="BH244" s="3"/>
      <c r="BI244" s="6"/>
    </row>
    <row x14ac:dyDescent="0.25" r="245" customHeight="1" ht="12.75">
      <c r="A245" s="5" t="s">
        <v>87</v>
      </c>
      <c r="B245" s="3" t="s">
        <v>855</v>
      </c>
      <c r="C245" s="43" t="s">
        <v>866</v>
      </c>
      <c r="D245" s="34" t="s">
        <v>988</v>
      </c>
      <c r="E245" s="7">
        <v>56</v>
      </c>
      <c r="F245" s="7">
        <v>5.310714285714285</v>
      </c>
      <c r="G245" s="7">
        <v>7.821785714285714</v>
      </c>
      <c r="H245" s="31">
        <v>106.26785714285714</v>
      </c>
      <c r="I245" s="6"/>
      <c r="J245" s="6"/>
      <c r="K245" s="7"/>
      <c r="L245" s="6"/>
      <c r="M245" s="6"/>
      <c r="N245" s="23"/>
      <c r="O245" s="5"/>
      <c r="P245" s="6"/>
      <c r="Q245" s="6"/>
      <c r="R245" s="6"/>
      <c r="S245" s="6"/>
      <c r="T245" s="6"/>
      <c r="U245" s="6"/>
      <c r="V245" s="5"/>
      <c r="W245" s="6"/>
      <c r="X245" s="6">
        <f>E245*F245/100</f>
      </c>
      <c r="Y245" s="6">
        <f>E245*G245/100</f>
      </c>
      <c r="Z245" s="7">
        <f>E245*H245</f>
      </c>
      <c r="AA245" s="7">
        <f>E245*J245</f>
      </c>
      <c r="AB245" s="6">
        <f>E245*I245/100</f>
      </c>
      <c r="AC245" s="15">
        <f>X245+Y245+AB245</f>
      </c>
      <c r="AD245" s="6">
        <f>F245+G245+I245</f>
      </c>
      <c r="AE245" s="3"/>
      <c r="AF245" s="6">
        <f>SUM(AM245:BC245)</f>
      </c>
      <c r="AG245" s="5">
        <f>IF(SUM(AM245:AO245)&gt;0.7*AF245,1,0)</f>
      </c>
      <c r="AH245" s="5">
        <f>IF(AN245&gt;0.4*AF245,1,0)</f>
      </c>
      <c r="AI245" s="5">
        <f>IF(SUM(AP245:AQ245)&gt;0.3*AF245,1,0)</f>
      </c>
      <c r="AJ245" s="5">
        <f>IF(AQ245&gt;0.2*AF245,1,0)</f>
      </c>
      <c r="AK245" s="5">
        <f>IF(SUM(AR245:BC245)&gt;0.3*AF245,1,0)</f>
      </c>
      <c r="AL245" s="3"/>
      <c r="AM245" s="6">
        <f>(F245/100)*AM$41</f>
      </c>
      <c r="AN245" s="6">
        <f>(G245/100)*AN$41</f>
      </c>
      <c r="AO245" s="6">
        <f>(H245/1000000)*AO$41</f>
      </c>
      <c r="AP245" s="6">
        <f>(I245/100)*AP$41</f>
      </c>
      <c r="AQ245" s="6">
        <f>(J245/1000000)*AQ$41</f>
      </c>
      <c r="AR245" s="6">
        <f>(K245/100)*AR$41</f>
      </c>
      <c r="AS245" s="6">
        <f>(L245/100)*AS$41</f>
      </c>
      <c r="AT245" s="6">
        <f>(M245/100)*AT$41</f>
      </c>
      <c r="AU245" s="6">
        <f>(N245/100)*AU$41</f>
      </c>
      <c r="AV245" s="6">
        <f>(O245/1000000)*AV$41</f>
      </c>
      <c r="AW245" s="6">
        <f>(P245/100)*AW$41</f>
      </c>
      <c r="AX245" s="6">
        <f>(Q245/100)*AX$41</f>
      </c>
      <c r="AY245" s="6">
        <f>(R245/100)*AY$41</f>
      </c>
      <c r="AZ245" s="6">
        <f>(S245/100)*AZ$41</f>
      </c>
      <c r="BA245" s="6">
        <f>(T245/100)*BA$41</f>
      </c>
      <c r="BB245" s="6">
        <f>(U245/100)*BB$41</f>
      </c>
      <c r="BC245" s="6"/>
      <c r="BD245" s="3"/>
      <c r="BE245" s="3"/>
      <c r="BF245" s="7">
        <f>AF245*E245</f>
      </c>
      <c r="BG245" s="6"/>
      <c r="BH245" s="3"/>
      <c r="BI245" s="6"/>
    </row>
    <row x14ac:dyDescent="0.25" r="246" customHeight="1" ht="12.75">
      <c r="A246" s="5" t="s">
        <v>90</v>
      </c>
      <c r="B246" s="3" t="s">
        <v>855</v>
      </c>
      <c r="C246" s="43" t="s">
        <v>866</v>
      </c>
      <c r="D246" s="34" t="s">
        <v>988</v>
      </c>
      <c r="E246" s="23">
        <v>109.3014</v>
      </c>
      <c r="F246" s="6">
        <v>1.8219353548993882</v>
      </c>
      <c r="G246" s="6">
        <v>4.798740327205325</v>
      </c>
      <c r="H246" s="7"/>
      <c r="I246" s="6"/>
      <c r="J246" s="6"/>
      <c r="K246" s="7"/>
      <c r="L246" s="6"/>
      <c r="M246" s="6"/>
      <c r="N246" s="23"/>
      <c r="O246" s="5"/>
      <c r="P246" s="6"/>
      <c r="Q246" s="6"/>
      <c r="R246" s="6"/>
      <c r="S246" s="6"/>
      <c r="T246" s="6"/>
      <c r="U246" s="6"/>
      <c r="V246" s="5"/>
      <c r="W246" s="6"/>
      <c r="X246" s="6">
        <f>E246*F246/100</f>
      </c>
      <c r="Y246" s="6">
        <f>E246*G246/100</f>
      </c>
      <c r="Z246" s="7">
        <f>E246*H246</f>
      </c>
      <c r="AA246" s="7">
        <f>E246*J246</f>
      </c>
      <c r="AB246" s="6">
        <f>E246*I246/100</f>
      </c>
      <c r="AC246" s="15">
        <f>X246+Y246+AB246</f>
      </c>
      <c r="AD246" s="6">
        <f>F246+G246+I246</f>
      </c>
      <c r="AE246" s="3"/>
      <c r="AF246" s="6">
        <f>SUM(AM246:BC246)</f>
      </c>
      <c r="AG246" s="5">
        <f>IF(SUM(AM246:AO246)&gt;0.7*AF246,1,0)</f>
      </c>
      <c r="AH246" s="5">
        <f>IF(AN246&gt;0.4*AF246,1,0)</f>
      </c>
      <c r="AI246" s="5">
        <f>IF(SUM(AP246:AQ246)&gt;0.3*AF246,1,0)</f>
      </c>
      <c r="AJ246" s="5">
        <f>IF(AQ246&gt;0.2*AF246,1,0)</f>
      </c>
      <c r="AK246" s="5">
        <f>IF(SUM(AR246:BC246)&gt;0.3*AF246,1,0)</f>
      </c>
      <c r="AL246" s="3"/>
      <c r="AM246" s="6">
        <f>(F246/100)*AM$41</f>
      </c>
      <c r="AN246" s="6">
        <f>(G246/100)*AN$41</f>
      </c>
      <c r="AO246" s="6">
        <f>(H246/1000000)*AO$41</f>
      </c>
      <c r="AP246" s="6">
        <f>(I246/100)*AP$41</f>
      </c>
      <c r="AQ246" s="6">
        <f>(J246/1000000)*AQ$41</f>
      </c>
      <c r="AR246" s="6">
        <f>(K246/100)*AR$41</f>
      </c>
      <c r="AS246" s="6">
        <f>(L246/100)*AS$41</f>
      </c>
      <c r="AT246" s="6">
        <f>(M246/100)*AT$41</f>
      </c>
      <c r="AU246" s="6">
        <f>(N246/100)*AU$41</f>
      </c>
      <c r="AV246" s="6">
        <f>(O246/1000000)*AV$41</f>
      </c>
      <c r="AW246" s="6">
        <f>(P246/100)*AW$41</f>
      </c>
      <c r="AX246" s="6">
        <f>(Q246/100)*AX$41</f>
      </c>
      <c r="AY246" s="6">
        <f>(R246/100)*AY$41</f>
      </c>
      <c r="AZ246" s="6">
        <f>(S246/100)*AZ$41</f>
      </c>
      <c r="BA246" s="6">
        <f>(T246/100)*BA$41</f>
      </c>
      <c r="BB246" s="6">
        <f>(U246/100)*BB$41</f>
      </c>
      <c r="BC246" s="6"/>
      <c r="BD246" s="3"/>
      <c r="BE246" s="3"/>
      <c r="BF246" s="7">
        <f>AF246*E246</f>
      </c>
      <c r="BG246" s="6"/>
      <c r="BH246" s="3"/>
      <c r="BI246" s="6"/>
    </row>
    <row x14ac:dyDescent="0.25" r="247" customHeight="1" ht="12.75">
      <c r="A247" s="5" t="s">
        <v>94</v>
      </c>
      <c r="B247" s="3" t="s">
        <v>855</v>
      </c>
      <c r="C247" s="43" t="s">
        <v>866</v>
      </c>
      <c r="D247" s="34" t="s">
        <v>988</v>
      </c>
      <c r="E247" s="6">
        <v>99.1</v>
      </c>
      <c r="F247" s="7">
        <v>2.5931382441977804</v>
      </c>
      <c r="G247" s="7">
        <v>4.320383451059535</v>
      </c>
      <c r="H247" s="31">
        <v>134.32088799192735</v>
      </c>
      <c r="I247" s="6"/>
      <c r="J247" s="6"/>
      <c r="K247" s="7"/>
      <c r="L247" s="6"/>
      <c r="M247" s="6"/>
      <c r="N247" s="23"/>
      <c r="O247" s="5"/>
      <c r="P247" s="6"/>
      <c r="Q247" s="6"/>
      <c r="R247" s="6"/>
      <c r="S247" s="6"/>
      <c r="T247" s="6"/>
      <c r="U247" s="6"/>
      <c r="V247" s="5"/>
      <c r="W247" s="6"/>
      <c r="X247" s="6">
        <f>E247*F247/100</f>
      </c>
      <c r="Y247" s="6">
        <f>E247*G247/100</f>
      </c>
      <c r="Z247" s="7">
        <f>E247*H247</f>
      </c>
      <c r="AA247" s="7">
        <f>E247*J247</f>
      </c>
      <c r="AB247" s="6">
        <f>E247*I247/100</f>
      </c>
      <c r="AC247" s="15">
        <f>X247+Y247+AB247</f>
      </c>
      <c r="AD247" s="6">
        <f>F247+G247+I247</f>
      </c>
      <c r="AE247" s="3"/>
      <c r="AF247" s="6">
        <f>SUM(AM247:BC247)</f>
      </c>
      <c r="AG247" s="5">
        <f>IF(SUM(AM247:AO247)&gt;0.7*AF247,1,0)</f>
      </c>
      <c r="AH247" s="5">
        <f>IF(AN247&gt;0.4*AF247,1,0)</f>
      </c>
      <c r="AI247" s="5">
        <f>IF(SUM(AP247:AQ247)&gt;0.3*AF247,1,0)</f>
      </c>
      <c r="AJ247" s="5">
        <f>IF(AQ247&gt;0.2*AF247,1,0)</f>
      </c>
      <c r="AK247" s="5">
        <f>IF(SUM(AR247:BC247)&gt;0.3*AF247,1,0)</f>
      </c>
      <c r="AL247" s="3"/>
      <c r="AM247" s="6">
        <f>(F247/100)*AM$41</f>
      </c>
      <c r="AN247" s="6">
        <f>(G247/100)*AN$41</f>
      </c>
      <c r="AO247" s="6">
        <f>(H247/1000000)*AO$41</f>
      </c>
      <c r="AP247" s="6">
        <f>(I247/100)*AP$41</f>
      </c>
      <c r="AQ247" s="6">
        <f>(J247/1000000)*AQ$41</f>
      </c>
      <c r="AR247" s="6">
        <f>(K247/100)*AR$41</f>
      </c>
      <c r="AS247" s="6">
        <f>(L247/100)*AS$41</f>
      </c>
      <c r="AT247" s="6">
        <f>(M247/100)*AT$41</f>
      </c>
      <c r="AU247" s="6">
        <f>(N247/100)*AU$41</f>
      </c>
      <c r="AV247" s="6">
        <f>(O247/1000000)*AV$41</f>
      </c>
      <c r="AW247" s="6">
        <f>(P247/100)*AW$41</f>
      </c>
      <c r="AX247" s="6">
        <f>(Q247/100)*AX$41</f>
      </c>
      <c r="AY247" s="6">
        <f>(R247/100)*AY$41</f>
      </c>
      <c r="AZ247" s="6">
        <f>(S247/100)*AZ$41</f>
      </c>
      <c r="BA247" s="6">
        <f>(T247/100)*BA$41</f>
      </c>
      <c r="BB247" s="6">
        <f>(U247/100)*BB$41</f>
      </c>
      <c r="BC247" s="6"/>
      <c r="BD247" s="3"/>
      <c r="BE247" s="3"/>
      <c r="BF247" s="7">
        <f>AF247*E247</f>
      </c>
      <c r="BG247" s="6"/>
      <c r="BH247" s="3"/>
      <c r="BI247" s="6"/>
    </row>
    <row x14ac:dyDescent="0.25" r="248" customHeight="1" ht="12.75">
      <c r="A248" s="5" t="s">
        <v>101</v>
      </c>
      <c r="B248" s="3" t="s">
        <v>855</v>
      </c>
      <c r="C248" s="43" t="s">
        <v>866</v>
      </c>
      <c r="D248" s="34" t="s">
        <v>988</v>
      </c>
      <c r="E248" s="7">
        <v>132</v>
      </c>
      <c r="F248" s="6">
        <v>0.4</v>
      </c>
      <c r="G248" s="7">
        <v>4</v>
      </c>
      <c r="H248" s="7"/>
      <c r="I248" s="6"/>
      <c r="J248" s="6"/>
      <c r="K248" s="7"/>
      <c r="L248" s="6"/>
      <c r="M248" s="6"/>
      <c r="N248" s="23"/>
      <c r="O248" s="5"/>
      <c r="P248" s="6"/>
      <c r="Q248" s="6"/>
      <c r="R248" s="6"/>
      <c r="S248" s="6"/>
      <c r="T248" s="6"/>
      <c r="U248" s="6"/>
      <c r="V248" s="5"/>
      <c r="W248" s="6"/>
      <c r="X248" s="6">
        <f>E248*F248/100</f>
      </c>
      <c r="Y248" s="6">
        <f>E248*G248/100</f>
      </c>
      <c r="Z248" s="7">
        <f>E248*H248</f>
      </c>
      <c r="AA248" s="7">
        <f>E248*J248</f>
      </c>
      <c r="AB248" s="6">
        <f>E248*I248/100</f>
      </c>
      <c r="AC248" s="15">
        <f>X248+Y248+AB248</f>
      </c>
      <c r="AD248" s="6">
        <f>F248+G248+I248</f>
      </c>
      <c r="AE248" s="3"/>
      <c r="AF248" s="6">
        <f>SUM(AM248:BC248)</f>
      </c>
      <c r="AG248" s="5">
        <f>IF(SUM(AM248:AO248)&gt;0.7*AF248,1,0)</f>
      </c>
      <c r="AH248" s="5">
        <f>IF(AN248&gt;0.4*AF248,1,0)</f>
      </c>
      <c r="AI248" s="5">
        <f>IF(SUM(AP248:AQ248)&gt;0.3*AF248,1,0)</f>
      </c>
      <c r="AJ248" s="5">
        <f>IF(AQ248&gt;0.2*AF248,1,0)</f>
      </c>
      <c r="AK248" s="5">
        <f>IF(SUM(AR248:BC248)&gt;0.3*AF248,1,0)</f>
      </c>
      <c r="AL248" s="3"/>
      <c r="AM248" s="6">
        <f>(F248/100)*AM$41</f>
      </c>
      <c r="AN248" s="6">
        <f>(G248/100)*AN$41</f>
      </c>
      <c r="AO248" s="6">
        <f>(H248/1000000)*AO$41</f>
      </c>
      <c r="AP248" s="6">
        <f>(I248/100)*AP$41</f>
      </c>
      <c r="AQ248" s="6">
        <f>(J248/1000000)*AQ$41</f>
      </c>
      <c r="AR248" s="6">
        <f>(K248/100)*AR$41</f>
      </c>
      <c r="AS248" s="6">
        <f>(L248/100)*AS$41</f>
      </c>
      <c r="AT248" s="6">
        <f>(M248/100)*AT$41</f>
      </c>
      <c r="AU248" s="6">
        <f>(N248/100)*AU$41</f>
      </c>
      <c r="AV248" s="6">
        <f>(O248/1000000)*AV$41</f>
      </c>
      <c r="AW248" s="6">
        <f>(P248/100)*AW$41</f>
      </c>
      <c r="AX248" s="6">
        <f>(Q248/100)*AX$41</f>
      </c>
      <c r="AY248" s="6">
        <f>(R248/100)*AY$41</f>
      </c>
      <c r="AZ248" s="6">
        <f>(S248/100)*AZ$41</f>
      </c>
      <c r="BA248" s="6">
        <f>(T248/100)*BA$41</f>
      </c>
      <c r="BB248" s="6">
        <f>(U248/100)*BB$41</f>
      </c>
      <c r="BC248" s="6"/>
      <c r="BD248" s="3"/>
      <c r="BE248" s="3"/>
      <c r="BF248" s="7">
        <f>AF248*E248</f>
      </c>
      <c r="BG248" s="6"/>
      <c r="BH248" s="3"/>
      <c r="BI248" s="6"/>
    </row>
    <row x14ac:dyDescent="0.25" r="249" customHeight="1" ht="12.75">
      <c r="A249" s="5" t="s">
        <v>104</v>
      </c>
      <c r="B249" s="3" t="s">
        <v>855</v>
      </c>
      <c r="C249" s="43" t="s">
        <v>866</v>
      </c>
      <c r="D249" s="34" t="s">
        <v>988</v>
      </c>
      <c r="E249" s="6">
        <v>97.94999999999999</v>
      </c>
      <c r="F249" s="6">
        <v>1.3554405308831037</v>
      </c>
      <c r="G249" s="6">
        <v>4.407036242981113</v>
      </c>
      <c r="H249" s="7"/>
      <c r="I249" s="6"/>
      <c r="J249" s="6"/>
      <c r="K249" s="7"/>
      <c r="L249" s="6"/>
      <c r="M249" s="6"/>
      <c r="N249" s="23"/>
      <c r="O249" s="5"/>
      <c r="P249" s="6"/>
      <c r="Q249" s="6"/>
      <c r="R249" s="6"/>
      <c r="S249" s="6"/>
      <c r="T249" s="6"/>
      <c r="U249" s="6"/>
      <c r="V249" s="5"/>
      <c r="W249" s="6"/>
      <c r="X249" s="6">
        <f>E249*F249/100</f>
      </c>
      <c r="Y249" s="6">
        <f>E249*G249/100</f>
      </c>
      <c r="Z249" s="7">
        <f>E249*H249</f>
      </c>
      <c r="AA249" s="7">
        <f>E249*J249</f>
      </c>
      <c r="AB249" s="6">
        <f>E249*I249/100</f>
      </c>
      <c r="AC249" s="15">
        <f>X249+Y249+AB249</f>
      </c>
      <c r="AD249" s="6">
        <f>F249+G249+I249</f>
      </c>
      <c r="AE249" s="3"/>
      <c r="AF249" s="6">
        <f>SUM(AM249:BC249)</f>
      </c>
      <c r="AG249" s="5">
        <f>IF(SUM(AM249:AO249)&gt;0.7*AF249,1,0)</f>
      </c>
      <c r="AH249" s="5">
        <f>IF(AN249&gt;0.4*AF249,1,0)</f>
      </c>
      <c r="AI249" s="5">
        <f>IF(SUM(AP249:AQ249)&gt;0.3*AF249,1,0)</f>
      </c>
      <c r="AJ249" s="5">
        <f>IF(AQ249&gt;0.2*AF249,1,0)</f>
      </c>
      <c r="AK249" s="5">
        <f>IF(SUM(AR249:BC249)&gt;0.3*AF249,1,0)</f>
      </c>
      <c r="AL249" s="3"/>
      <c r="AM249" s="6">
        <f>(F249/100)*AM$41</f>
      </c>
      <c r="AN249" s="6">
        <f>(G249/100)*AN$41</f>
      </c>
      <c r="AO249" s="6">
        <f>(H249/1000000)*AO$41</f>
      </c>
      <c r="AP249" s="6">
        <f>(I249/100)*AP$41</f>
      </c>
      <c r="AQ249" s="6">
        <f>(J249/1000000)*AQ$41</f>
      </c>
      <c r="AR249" s="6">
        <f>(K249/100)*AR$41</f>
      </c>
      <c r="AS249" s="6">
        <f>(L249/100)*AS$41</f>
      </c>
      <c r="AT249" s="6">
        <f>(M249/100)*AT$41</f>
      </c>
      <c r="AU249" s="6">
        <f>(N249/100)*AU$41</f>
      </c>
      <c r="AV249" s="6">
        <f>(O249/1000000)*AV$41</f>
      </c>
      <c r="AW249" s="6">
        <f>(P249/100)*AW$41</f>
      </c>
      <c r="AX249" s="6">
        <f>(Q249/100)*AX$41</f>
      </c>
      <c r="AY249" s="6">
        <f>(R249/100)*AY$41</f>
      </c>
      <c r="AZ249" s="6">
        <f>(S249/100)*AZ$41</f>
      </c>
      <c r="BA249" s="6">
        <f>(T249/100)*BA$41</f>
      </c>
      <c r="BB249" s="6">
        <f>(U249/100)*BB$41</f>
      </c>
      <c r="BC249" s="6"/>
      <c r="BD249" s="3"/>
      <c r="BE249" s="3"/>
      <c r="BF249" s="7">
        <f>AF249*E249</f>
      </c>
      <c r="BG249" s="6"/>
      <c r="BH249" s="3"/>
      <c r="BI249" s="6"/>
    </row>
    <row x14ac:dyDescent="0.25" r="250" customHeight="1" ht="12.75">
      <c r="A250" s="5" t="s">
        <v>116</v>
      </c>
      <c r="B250" s="3" t="s">
        <v>855</v>
      </c>
      <c r="C250" s="43" t="s">
        <v>866</v>
      </c>
      <c r="D250" s="34" t="s">
        <v>988</v>
      </c>
      <c r="E250" s="6">
        <v>78.5</v>
      </c>
      <c r="F250" s="7">
        <v>2.097324840764331</v>
      </c>
      <c r="G250" s="7">
        <v>4.79171974522293</v>
      </c>
      <c r="H250" s="31">
        <v>48.698089171974516</v>
      </c>
      <c r="I250" s="6"/>
      <c r="J250" s="6"/>
      <c r="K250" s="7"/>
      <c r="L250" s="6"/>
      <c r="M250" s="6"/>
      <c r="N250" s="23"/>
      <c r="O250" s="5"/>
      <c r="P250" s="6"/>
      <c r="Q250" s="6"/>
      <c r="R250" s="6"/>
      <c r="S250" s="6"/>
      <c r="T250" s="6"/>
      <c r="U250" s="6"/>
      <c r="V250" s="5"/>
      <c r="W250" s="6"/>
      <c r="X250" s="6">
        <f>E250*F250/100</f>
      </c>
      <c r="Y250" s="6">
        <f>E250*G250/100</f>
      </c>
      <c r="Z250" s="7">
        <f>E250*H250</f>
      </c>
      <c r="AA250" s="7">
        <f>E250*J250</f>
      </c>
      <c r="AB250" s="6">
        <f>E250*I250/100</f>
      </c>
      <c r="AC250" s="15">
        <f>X250+Y250+AB250</f>
      </c>
      <c r="AD250" s="6">
        <f>F250+G250+I250</f>
      </c>
      <c r="AE250" s="3"/>
      <c r="AF250" s="6">
        <f>SUM(AM250:BC250)</f>
      </c>
      <c r="AG250" s="5">
        <f>IF(SUM(AM250:AO250)&gt;0.7*AF250,1,0)</f>
      </c>
      <c r="AH250" s="5">
        <f>IF(AN250&gt;0.4*AF250,1,0)</f>
      </c>
      <c r="AI250" s="5">
        <f>IF(SUM(AP250:AQ250)&gt;0.3*AF250,1,0)</f>
      </c>
      <c r="AJ250" s="5">
        <f>IF(AQ250&gt;0.2*AF250,1,0)</f>
      </c>
      <c r="AK250" s="5">
        <f>IF(SUM(AR250:BC250)&gt;0.3*AF250,1,0)</f>
      </c>
      <c r="AL250" s="3"/>
      <c r="AM250" s="6">
        <f>(F250/100)*AM$41</f>
      </c>
      <c r="AN250" s="6">
        <f>(G250/100)*AN$41</f>
      </c>
      <c r="AO250" s="6">
        <f>(H250/1000000)*AO$41</f>
      </c>
      <c r="AP250" s="6">
        <f>(I250/100)*AP$41</f>
      </c>
      <c r="AQ250" s="6">
        <f>(J250/1000000)*AQ$41</f>
      </c>
      <c r="AR250" s="6">
        <f>(K250/100)*AR$41</f>
      </c>
      <c r="AS250" s="6">
        <f>(L250/100)*AS$41</f>
      </c>
      <c r="AT250" s="6">
        <f>(M250/100)*AT$41</f>
      </c>
      <c r="AU250" s="6">
        <f>(N250/100)*AU$41</f>
      </c>
      <c r="AV250" s="6">
        <f>(O250/1000000)*AV$41</f>
      </c>
      <c r="AW250" s="6">
        <f>(P250/100)*AW$41</f>
      </c>
      <c r="AX250" s="6">
        <f>(Q250/100)*AX$41</f>
      </c>
      <c r="AY250" s="6">
        <f>(R250/100)*AY$41</f>
      </c>
      <c r="AZ250" s="6">
        <f>(S250/100)*AZ$41</f>
      </c>
      <c r="BA250" s="6">
        <f>(T250/100)*BA$41</f>
      </c>
      <c r="BB250" s="6">
        <f>(U250/100)*BB$41</f>
      </c>
      <c r="BC250" s="6"/>
      <c r="BD250" s="3"/>
      <c r="BE250" s="3"/>
      <c r="BF250" s="7">
        <f>AF250*E250</f>
      </c>
      <c r="BG250" s="6"/>
      <c r="BH250" s="3"/>
      <c r="BI250" s="6"/>
    </row>
    <row x14ac:dyDescent="0.25" r="251" customHeight="1" ht="12.75">
      <c r="A251" s="5" t="s">
        <v>127</v>
      </c>
      <c r="B251" s="3" t="s">
        <v>855</v>
      </c>
      <c r="C251" s="43" t="s">
        <v>866</v>
      </c>
      <c r="D251" s="34" t="s">
        <v>989</v>
      </c>
      <c r="E251" s="6">
        <v>96.7</v>
      </c>
      <c r="F251" s="6">
        <v>2.9</v>
      </c>
      <c r="G251" s="6">
        <v>2.4</v>
      </c>
      <c r="H251" s="5">
        <v>15</v>
      </c>
      <c r="I251" s="6"/>
      <c r="J251" s="6"/>
      <c r="K251" s="7">
        <v>16</v>
      </c>
      <c r="L251" s="6"/>
      <c r="M251" s="6"/>
      <c r="N251" s="23"/>
      <c r="O251" s="5"/>
      <c r="P251" s="6"/>
      <c r="Q251" s="6"/>
      <c r="R251" s="6"/>
      <c r="S251" s="6"/>
      <c r="T251" s="6"/>
      <c r="U251" s="6"/>
      <c r="V251" s="5"/>
      <c r="W251" s="6"/>
      <c r="X251" s="6">
        <f>E251*F251/100</f>
      </c>
      <c r="Y251" s="6">
        <f>E251*G251/100</f>
      </c>
      <c r="Z251" s="7">
        <f>E251*H251</f>
      </c>
      <c r="AA251" s="7">
        <f>E251*J251</f>
      </c>
      <c r="AB251" s="6">
        <f>E251*I251/100</f>
      </c>
      <c r="AC251" s="15">
        <f>X251+Y251+AB251</f>
      </c>
      <c r="AD251" s="6">
        <f>F251+G251+I251</f>
      </c>
      <c r="AE251" s="3"/>
      <c r="AF251" s="6">
        <f>SUM(AM251:BC251)</f>
      </c>
      <c r="AG251" s="5">
        <f>IF(SUM(AM251:AO251)&gt;0.7*AF251,1,0)</f>
      </c>
      <c r="AH251" s="5">
        <f>IF(AN251&gt;0.4*AF251,1,0)</f>
      </c>
      <c r="AI251" s="5">
        <f>IF(SUM(AP251:AQ251)&gt;0.3*AF251,1,0)</f>
      </c>
      <c r="AJ251" s="5">
        <f>IF(AQ251&gt;0.2*AF251,1,0)</f>
      </c>
      <c r="AK251" s="5">
        <f>IF(SUM(AR251:BC251)&gt;0.3*AF251,1,0)</f>
      </c>
      <c r="AL251" s="3"/>
      <c r="AM251" s="6">
        <f>(F251/100)*AM$41</f>
      </c>
      <c r="AN251" s="6">
        <f>(G251/100)*AN$41</f>
      </c>
      <c r="AO251" s="6">
        <f>(H251/1000000)*AO$41</f>
      </c>
      <c r="AP251" s="6">
        <f>(I251/100)*AP$41</f>
      </c>
      <c r="AQ251" s="6">
        <f>(J251/1000000)*AQ$41</f>
      </c>
      <c r="AR251" s="6">
        <f>(K251/100)*AR$41</f>
      </c>
      <c r="AS251" s="6">
        <f>(L251/100)*AS$41</f>
      </c>
      <c r="AT251" s="6">
        <f>(M251/100)*AT$41</f>
      </c>
      <c r="AU251" s="6">
        <f>(N251/100)*AU$41</f>
      </c>
      <c r="AV251" s="6">
        <f>(O251/1000000)*AV$41</f>
      </c>
      <c r="AW251" s="6">
        <f>(P251/100)*AW$41</f>
      </c>
      <c r="AX251" s="6">
        <f>(Q251/100)*AX$41</f>
      </c>
      <c r="AY251" s="6">
        <f>(R251/100)*AY$41</f>
      </c>
      <c r="AZ251" s="6">
        <f>(S251/100)*AZ$41</f>
      </c>
      <c r="BA251" s="6">
        <f>(T251/100)*BA$41</f>
      </c>
      <c r="BB251" s="6">
        <f>(U251/100)*BB$41</f>
      </c>
      <c r="BC251" s="6"/>
      <c r="BD251" s="3"/>
      <c r="BE251" s="3"/>
      <c r="BF251" s="7">
        <f>AF251*E251</f>
      </c>
      <c r="BG251" s="6"/>
      <c r="BH251" s="3"/>
      <c r="BI251" s="6"/>
    </row>
    <row x14ac:dyDescent="0.25" r="252" customHeight="1" ht="12.75">
      <c r="A252" s="5" t="s">
        <v>129</v>
      </c>
      <c r="B252" s="3" t="s">
        <v>855</v>
      </c>
      <c r="C252" s="43" t="s">
        <v>866</v>
      </c>
      <c r="D252" s="34" t="s">
        <v>988</v>
      </c>
      <c r="E252" s="6">
        <v>54.2</v>
      </c>
      <c r="F252" s="7">
        <v>2.0411439114391143</v>
      </c>
      <c r="G252" s="7">
        <v>6.892250922509223</v>
      </c>
      <c r="H252" s="31">
        <v>74.66420664206642</v>
      </c>
      <c r="I252" s="6">
        <v>0.15</v>
      </c>
      <c r="J252" s="6">
        <v>0.28</v>
      </c>
      <c r="K252" s="7"/>
      <c r="L252" s="6"/>
      <c r="M252" s="6"/>
      <c r="N252" s="23"/>
      <c r="O252" s="5"/>
      <c r="P252" s="6"/>
      <c r="Q252" s="6"/>
      <c r="R252" s="6"/>
      <c r="S252" s="6"/>
      <c r="T252" s="6"/>
      <c r="U252" s="6"/>
      <c r="V252" s="5"/>
      <c r="W252" s="6"/>
      <c r="X252" s="6">
        <f>E252*F252/100</f>
      </c>
      <c r="Y252" s="6">
        <f>E252*G252/100</f>
      </c>
      <c r="Z252" s="7">
        <f>E252*H252</f>
      </c>
      <c r="AA252" s="7">
        <f>E252*J252</f>
      </c>
      <c r="AB252" s="6">
        <f>E252*I252/100</f>
      </c>
      <c r="AC252" s="15">
        <f>X252+Y252+AB252</f>
      </c>
      <c r="AD252" s="6">
        <f>F252+G252+I252</f>
      </c>
      <c r="AE252" s="3"/>
      <c r="AF252" s="6">
        <f>SUM(AM252:BC252)</f>
      </c>
      <c r="AG252" s="5">
        <f>IF(SUM(AM252:AO252)&gt;0.7*AF252,1,0)</f>
      </c>
      <c r="AH252" s="5">
        <f>IF(AN252&gt;0.4*AF252,1,0)</f>
      </c>
      <c r="AI252" s="5">
        <f>IF(SUM(AP252:AQ252)&gt;0.3*AF252,1,0)</f>
      </c>
      <c r="AJ252" s="5">
        <f>IF(AQ252&gt;0.2*AF252,1,0)</f>
      </c>
      <c r="AK252" s="5">
        <f>IF(SUM(AR252:BC252)&gt;0.3*AF252,1,0)</f>
      </c>
      <c r="AL252" s="3"/>
      <c r="AM252" s="6">
        <f>(F252/100)*AM$41</f>
      </c>
      <c r="AN252" s="6">
        <f>(G252/100)*AN$41</f>
      </c>
      <c r="AO252" s="6">
        <f>(H252/1000000)*AO$41</f>
      </c>
      <c r="AP252" s="6">
        <f>(I252/100)*AP$41</f>
      </c>
      <c r="AQ252" s="6">
        <f>(J252/1000000)*AQ$41</f>
      </c>
      <c r="AR252" s="6">
        <f>(K252/100)*AR$41</f>
      </c>
      <c r="AS252" s="6">
        <f>(L252/100)*AS$41</f>
      </c>
      <c r="AT252" s="6">
        <f>(M252/100)*AT$41</f>
      </c>
      <c r="AU252" s="6">
        <f>(N252/100)*AU$41</f>
      </c>
      <c r="AV252" s="6">
        <f>(O252/1000000)*AV$41</f>
      </c>
      <c r="AW252" s="6">
        <f>(P252/100)*AW$41</f>
      </c>
      <c r="AX252" s="6">
        <f>(Q252/100)*AX$41</f>
      </c>
      <c r="AY252" s="6">
        <f>(R252/100)*AY$41</f>
      </c>
      <c r="AZ252" s="6">
        <f>(S252/100)*AZ$41</f>
      </c>
      <c r="BA252" s="6">
        <f>(T252/100)*BA$41</f>
      </c>
      <c r="BB252" s="6">
        <f>(U252/100)*BB$41</f>
      </c>
      <c r="BC252" s="6"/>
      <c r="BD252" s="3"/>
      <c r="BE252" s="3"/>
      <c r="BF252" s="7">
        <f>AF252*E252</f>
      </c>
      <c r="BG252" s="6"/>
      <c r="BH252" s="3"/>
      <c r="BI252" s="6"/>
    </row>
    <row x14ac:dyDescent="0.25" r="253" customHeight="1" ht="12.75">
      <c r="A253" s="5" t="s">
        <v>137</v>
      </c>
      <c r="B253" s="3" t="s">
        <v>855</v>
      </c>
      <c r="C253" s="43" t="s">
        <v>866</v>
      </c>
      <c r="D253" s="34" t="s">
        <v>988</v>
      </c>
      <c r="E253" s="6">
        <v>68.19</v>
      </c>
      <c r="F253" s="6">
        <v>0.9714025516937966</v>
      </c>
      <c r="G253" s="6">
        <v>5.200339639243291</v>
      </c>
      <c r="H253" s="7">
        <v>9.013224813022438</v>
      </c>
      <c r="I253" s="6"/>
      <c r="J253" s="6"/>
      <c r="K253" s="7"/>
      <c r="L253" s="6"/>
      <c r="M253" s="6"/>
      <c r="N253" s="23"/>
      <c r="O253" s="5"/>
      <c r="P253" s="6"/>
      <c r="Q253" s="6"/>
      <c r="R253" s="6"/>
      <c r="S253" s="6"/>
      <c r="T253" s="6"/>
      <c r="U253" s="6"/>
      <c r="V253" s="5"/>
      <c r="W253" s="6"/>
      <c r="X253" s="6">
        <f>E253*F253/100</f>
      </c>
      <c r="Y253" s="6">
        <f>E253*G253/100</f>
      </c>
      <c r="Z253" s="7">
        <f>E253*H253</f>
      </c>
      <c r="AA253" s="7">
        <f>E253*J253</f>
      </c>
      <c r="AB253" s="6">
        <f>E253*I253/100</f>
      </c>
      <c r="AC253" s="15">
        <f>X253+Y253+AB253</f>
      </c>
      <c r="AD253" s="6">
        <f>F253+G253+I253</f>
      </c>
      <c r="AE253" s="3"/>
      <c r="AF253" s="6">
        <f>SUM(AM253:BC253)</f>
      </c>
      <c r="AG253" s="5">
        <f>IF(SUM(AM253:AO253)&gt;0.7*AF253,1,0)</f>
      </c>
      <c r="AH253" s="5">
        <f>IF(AN253&gt;0.4*AF253,1,0)</f>
      </c>
      <c r="AI253" s="5">
        <f>IF(SUM(AP253:AQ253)&gt;0.3*AF253,1,0)</f>
      </c>
      <c r="AJ253" s="5">
        <f>IF(AQ253&gt;0.2*AF253,1,0)</f>
      </c>
      <c r="AK253" s="5">
        <f>IF(SUM(AR253:BC253)&gt;0.3*AF253,1,0)</f>
      </c>
      <c r="AL253" s="3"/>
      <c r="AM253" s="6">
        <f>(F253/100)*AM$41</f>
      </c>
      <c r="AN253" s="6">
        <f>(G253/100)*AN$41</f>
      </c>
      <c r="AO253" s="6">
        <f>(H253/1000000)*AO$41</f>
      </c>
      <c r="AP253" s="6">
        <f>(I253/100)*AP$41</f>
      </c>
      <c r="AQ253" s="6">
        <f>(J253/1000000)*AQ$41</f>
      </c>
      <c r="AR253" s="6">
        <f>(K253/100)*AR$41</f>
      </c>
      <c r="AS253" s="6">
        <f>(L253/100)*AS$41</f>
      </c>
      <c r="AT253" s="6">
        <f>(M253/100)*AT$41</f>
      </c>
      <c r="AU253" s="6">
        <f>(N253/100)*AU$41</f>
      </c>
      <c r="AV253" s="6">
        <f>(O253/1000000)*AV$41</f>
      </c>
      <c r="AW253" s="6">
        <f>(P253/100)*AW$41</f>
      </c>
      <c r="AX253" s="6">
        <f>(Q253/100)*AX$41</f>
      </c>
      <c r="AY253" s="6">
        <f>(R253/100)*AY$41</f>
      </c>
      <c r="AZ253" s="6">
        <f>(S253/100)*AZ$41</f>
      </c>
      <c r="BA253" s="6">
        <f>(T253/100)*BA$41</f>
      </c>
      <c r="BB253" s="6">
        <f>(U253/100)*BB$41</f>
      </c>
      <c r="BC253" s="6"/>
      <c r="BD253" s="3"/>
      <c r="BE253" s="3"/>
      <c r="BF253" s="7">
        <f>AF253*E253</f>
      </c>
      <c r="BG253" s="6"/>
      <c r="BH253" s="3"/>
      <c r="BI253" s="6"/>
    </row>
    <row x14ac:dyDescent="0.25" r="254" customHeight="1" ht="12.75">
      <c r="A254" s="5" t="s">
        <v>150</v>
      </c>
      <c r="B254" s="3" t="s">
        <v>855</v>
      </c>
      <c r="C254" s="43" t="s">
        <v>866</v>
      </c>
      <c r="D254" s="34" t="s">
        <v>988</v>
      </c>
      <c r="E254" s="5">
        <v>133</v>
      </c>
      <c r="F254" s="6">
        <v>0.5</v>
      </c>
      <c r="G254" s="6">
        <v>2.25</v>
      </c>
      <c r="H254" s="7"/>
      <c r="I254" s="6"/>
      <c r="J254" s="6"/>
      <c r="K254" s="7"/>
      <c r="L254" s="6"/>
      <c r="M254" s="6"/>
      <c r="N254" s="23"/>
      <c r="O254" s="5"/>
      <c r="P254" s="6"/>
      <c r="Q254" s="6"/>
      <c r="R254" s="6"/>
      <c r="S254" s="6"/>
      <c r="T254" s="6"/>
      <c r="U254" s="6"/>
      <c r="V254" s="5"/>
      <c r="W254" s="6"/>
      <c r="X254" s="6">
        <f>E254*F254/100</f>
      </c>
      <c r="Y254" s="6">
        <f>E254*G254/100</f>
      </c>
      <c r="Z254" s="7">
        <f>E254*H254</f>
      </c>
      <c r="AA254" s="7">
        <f>E254*J254</f>
      </c>
      <c r="AB254" s="6">
        <f>E254*I254/100</f>
      </c>
      <c r="AC254" s="15">
        <f>X254+Y254+AB254</f>
      </c>
      <c r="AD254" s="6">
        <f>F254+G254+I254</f>
      </c>
      <c r="AE254" s="3"/>
      <c r="AF254" s="6">
        <f>SUM(AM254:BC254)</f>
      </c>
      <c r="AG254" s="5">
        <f>IF(SUM(AM254:AO254)&gt;0.7*AF254,1,0)</f>
      </c>
      <c r="AH254" s="5">
        <f>IF(AN254&gt;0.4*AF254,1,0)</f>
      </c>
      <c r="AI254" s="5">
        <f>IF(SUM(AP254:AQ254)&gt;0.3*AF254,1,0)</f>
      </c>
      <c r="AJ254" s="5">
        <f>IF(AQ254&gt;0.2*AF254,1,0)</f>
      </c>
      <c r="AK254" s="5">
        <f>IF(SUM(AR254:BC254)&gt;0.3*AF254,1,0)</f>
      </c>
      <c r="AL254" s="3"/>
      <c r="AM254" s="6">
        <f>(F254/100)*AM$41</f>
      </c>
      <c r="AN254" s="6">
        <f>(G254/100)*AN$41</f>
      </c>
      <c r="AO254" s="6">
        <f>(H254/1000000)*AO$41</f>
      </c>
      <c r="AP254" s="6">
        <f>(I254/100)*AP$41</f>
      </c>
      <c r="AQ254" s="6">
        <f>(J254/1000000)*AQ$41</f>
      </c>
      <c r="AR254" s="6">
        <f>(K254/100)*AR$41</f>
      </c>
      <c r="AS254" s="6">
        <f>(L254/100)*AS$41</f>
      </c>
      <c r="AT254" s="6">
        <f>(M254/100)*AT$41</f>
      </c>
      <c r="AU254" s="6">
        <f>(N254/100)*AU$41</f>
      </c>
      <c r="AV254" s="6">
        <f>(O254/1000000)*AV$41</f>
      </c>
      <c r="AW254" s="6">
        <f>(P254/100)*AW$41</f>
      </c>
      <c r="AX254" s="6">
        <f>(Q254/100)*AX$41</f>
      </c>
      <c r="AY254" s="6">
        <f>(R254/100)*AY$41</f>
      </c>
      <c r="AZ254" s="6">
        <f>(S254/100)*AZ$41</f>
      </c>
      <c r="BA254" s="6">
        <f>(T254/100)*BA$41</f>
      </c>
      <c r="BB254" s="6">
        <f>(U254/100)*BB$41</f>
      </c>
      <c r="BC254" s="6"/>
      <c r="BD254" s="3"/>
      <c r="BE254" s="3"/>
      <c r="BF254" s="7">
        <f>AF254*E254</f>
      </c>
      <c r="BG254" s="6"/>
      <c r="BH254" s="3"/>
      <c r="BI254" s="6"/>
    </row>
    <row x14ac:dyDescent="0.25" r="255" customHeight="1" ht="12.75">
      <c r="A255" s="5" t="s">
        <v>112</v>
      </c>
      <c r="B255" s="3" t="s">
        <v>855</v>
      </c>
      <c r="C255" s="43" t="s">
        <v>866</v>
      </c>
      <c r="D255" s="34" t="s">
        <v>988</v>
      </c>
      <c r="E255" s="6">
        <v>21.7</v>
      </c>
      <c r="F255" s="7">
        <v>7</v>
      </c>
      <c r="G255" s="6">
        <v>9.2</v>
      </c>
      <c r="H255" s="5">
        <v>89</v>
      </c>
      <c r="I255" s="6"/>
      <c r="J255" s="6"/>
      <c r="K255" s="7"/>
      <c r="L255" s="6"/>
      <c r="M255" s="6"/>
      <c r="N255" s="23"/>
      <c r="O255" s="5"/>
      <c r="P255" s="6"/>
      <c r="Q255" s="6"/>
      <c r="R255" s="6"/>
      <c r="S255" s="6"/>
      <c r="T255" s="6"/>
      <c r="U255" s="6"/>
      <c r="V255" s="5"/>
      <c r="W255" s="6"/>
      <c r="X255" s="6">
        <f>E255*F255/100</f>
      </c>
      <c r="Y255" s="6">
        <f>E255*G255/100</f>
      </c>
      <c r="Z255" s="7">
        <f>E255*H255</f>
      </c>
      <c r="AA255" s="7">
        <f>E255*J255</f>
      </c>
      <c r="AB255" s="6">
        <f>E255*I255/100</f>
      </c>
      <c r="AC255" s="15">
        <f>X255+Y255+AB255</f>
      </c>
      <c r="AD255" s="6">
        <f>F255+G255+I255</f>
      </c>
      <c r="AE255" s="3"/>
      <c r="AF255" s="6">
        <f>SUM(AM255:BC255)</f>
      </c>
      <c r="AG255" s="5">
        <f>IF(SUM(AM255:AO255)&gt;0.7*AF255,1,0)</f>
      </c>
      <c r="AH255" s="5">
        <f>IF(AN255&gt;0.4*AF255,1,0)</f>
      </c>
      <c r="AI255" s="5">
        <f>IF(SUM(AP255:AQ255)&gt;0.3*AF255,1,0)</f>
      </c>
      <c r="AJ255" s="5">
        <f>IF(AQ255&gt;0.2*AF255,1,0)</f>
      </c>
      <c r="AK255" s="5">
        <f>IF(SUM(AR255:BC255)&gt;0.3*AF255,1,0)</f>
      </c>
      <c r="AL255" s="3"/>
      <c r="AM255" s="6">
        <f>(F255/100)*AM$41</f>
      </c>
      <c r="AN255" s="6">
        <f>(G255/100)*AN$41</f>
      </c>
      <c r="AO255" s="6">
        <f>(H255/1000000)*AO$41</f>
      </c>
      <c r="AP255" s="6">
        <f>(I255/100)*AP$41</f>
      </c>
      <c r="AQ255" s="6">
        <f>(J255/1000000)*AQ$41</f>
      </c>
      <c r="AR255" s="6">
        <f>(K255/100)*AR$41</f>
      </c>
      <c r="AS255" s="6">
        <f>(L255/100)*AS$41</f>
      </c>
      <c r="AT255" s="6">
        <f>(M255/100)*AT$41</f>
      </c>
      <c r="AU255" s="6">
        <f>(N255/100)*AU$41</f>
      </c>
      <c r="AV255" s="6">
        <f>(O255/1000000)*AV$41</f>
      </c>
      <c r="AW255" s="6">
        <f>(P255/100)*AW$41</f>
      </c>
      <c r="AX255" s="6">
        <f>(Q255/100)*AX$41</f>
      </c>
      <c r="AY255" s="6">
        <f>(R255/100)*AY$41</f>
      </c>
      <c r="AZ255" s="6">
        <f>(S255/100)*AZ$41</f>
      </c>
      <c r="BA255" s="6">
        <f>(T255/100)*BA$41</f>
      </c>
      <c r="BB255" s="6">
        <f>(U255/100)*BB$41</f>
      </c>
      <c r="BC255" s="6"/>
      <c r="BD255" s="3"/>
      <c r="BE255" s="3"/>
      <c r="BF255" s="7">
        <f>AF255*E255</f>
      </c>
      <c r="BG255" s="6"/>
      <c r="BH255" s="3"/>
      <c r="BI255" s="6"/>
    </row>
    <row x14ac:dyDescent="0.25" r="256" customHeight="1" ht="12.75">
      <c r="A256" s="5" t="s">
        <v>154</v>
      </c>
      <c r="B256" s="3" t="s">
        <v>855</v>
      </c>
      <c r="C256" s="43" t="s">
        <v>866</v>
      </c>
      <c r="D256" s="34" t="s">
        <v>988</v>
      </c>
      <c r="E256" s="6">
        <v>57.87</v>
      </c>
      <c r="F256" s="6">
        <v>1.3148107827890099</v>
      </c>
      <c r="G256" s="6">
        <v>4.691866251944012</v>
      </c>
      <c r="H256" s="7"/>
      <c r="I256" s="6"/>
      <c r="J256" s="6"/>
      <c r="K256" s="7"/>
      <c r="L256" s="6"/>
      <c r="M256" s="6"/>
      <c r="N256" s="23"/>
      <c r="O256" s="5"/>
      <c r="P256" s="6"/>
      <c r="Q256" s="6"/>
      <c r="R256" s="6"/>
      <c r="S256" s="6"/>
      <c r="T256" s="6"/>
      <c r="U256" s="6"/>
      <c r="V256" s="5"/>
      <c r="W256" s="6"/>
      <c r="X256" s="6">
        <f>E256*F256/100</f>
      </c>
      <c r="Y256" s="6">
        <f>E256*G256/100</f>
      </c>
      <c r="Z256" s="7">
        <f>E256*H256</f>
      </c>
      <c r="AA256" s="7">
        <f>E256*J256</f>
      </c>
      <c r="AB256" s="6">
        <f>E256*I256/100</f>
      </c>
      <c r="AC256" s="15">
        <f>X256+Y256+AB256</f>
      </c>
      <c r="AD256" s="6">
        <f>F256+G256+I256</f>
      </c>
      <c r="AE256" s="3"/>
      <c r="AF256" s="6">
        <f>SUM(AM256:BC256)</f>
      </c>
      <c r="AG256" s="5">
        <f>IF(SUM(AM256:AO256)&gt;0.7*AF256,1,0)</f>
      </c>
      <c r="AH256" s="5">
        <f>IF(AN256&gt;0.4*AF256,1,0)</f>
      </c>
      <c r="AI256" s="5">
        <f>IF(SUM(AP256:AQ256)&gt;0.3*AF256,1,0)</f>
      </c>
      <c r="AJ256" s="5">
        <f>IF(AQ256&gt;0.2*AF256,1,0)</f>
      </c>
      <c r="AK256" s="5">
        <f>IF(SUM(AR256:BC256)&gt;0.3*AF256,1,0)</f>
      </c>
      <c r="AL256" s="3"/>
      <c r="AM256" s="6">
        <f>(F256/100)*AM$41</f>
      </c>
      <c r="AN256" s="6">
        <f>(G256/100)*AN$41</f>
      </c>
      <c r="AO256" s="6">
        <f>(H256/1000000)*AO$41</f>
      </c>
      <c r="AP256" s="6">
        <f>(I256/100)*AP$41</f>
      </c>
      <c r="AQ256" s="6">
        <f>(J256/1000000)*AQ$41</f>
      </c>
      <c r="AR256" s="6">
        <f>(K256/100)*AR$41</f>
      </c>
      <c r="AS256" s="6">
        <f>(L256/100)*AS$41</f>
      </c>
      <c r="AT256" s="6">
        <f>(M256/100)*AT$41</f>
      </c>
      <c r="AU256" s="6">
        <f>(N256/100)*AU$41</f>
      </c>
      <c r="AV256" s="6">
        <f>(O256/1000000)*AV$41</f>
      </c>
      <c r="AW256" s="6">
        <f>(P256/100)*AW$41</f>
      </c>
      <c r="AX256" s="6">
        <f>(Q256/100)*AX$41</f>
      </c>
      <c r="AY256" s="6">
        <f>(R256/100)*AY$41</f>
      </c>
      <c r="AZ256" s="6">
        <f>(S256/100)*AZ$41</f>
      </c>
      <c r="BA256" s="6">
        <f>(T256/100)*BA$41</f>
      </c>
      <c r="BB256" s="6">
        <f>(U256/100)*BB$41</f>
      </c>
      <c r="BC256" s="6"/>
      <c r="BD256" s="3"/>
      <c r="BE256" s="3"/>
      <c r="BF256" s="7">
        <f>AF256*E256</f>
      </c>
      <c r="BG256" s="6"/>
      <c r="BH256" s="3"/>
      <c r="BI256" s="6"/>
    </row>
    <row x14ac:dyDescent="0.25" r="257" customHeight="1" ht="12.75">
      <c r="A257" s="5" t="s">
        <v>162</v>
      </c>
      <c r="B257" s="3" t="s">
        <v>855</v>
      </c>
      <c r="C257" s="43" t="s">
        <v>866</v>
      </c>
      <c r="D257" s="34" t="s">
        <v>989</v>
      </c>
      <c r="E257" s="5">
        <v>42</v>
      </c>
      <c r="F257" s="5">
        <v>1</v>
      </c>
      <c r="G257" s="5">
        <v>7</v>
      </c>
      <c r="H257" s="7"/>
      <c r="I257" s="6"/>
      <c r="J257" s="6"/>
      <c r="K257" s="7"/>
      <c r="L257" s="6"/>
      <c r="M257" s="6"/>
      <c r="N257" s="23"/>
      <c r="O257" s="5"/>
      <c r="P257" s="6"/>
      <c r="Q257" s="6"/>
      <c r="R257" s="6"/>
      <c r="S257" s="6"/>
      <c r="T257" s="6"/>
      <c r="U257" s="6"/>
      <c r="V257" s="5"/>
      <c r="W257" s="6"/>
      <c r="X257" s="6">
        <f>E257*F257/100</f>
      </c>
      <c r="Y257" s="6">
        <f>E257*G257/100</f>
      </c>
      <c r="Z257" s="7">
        <f>E257*H257</f>
      </c>
      <c r="AA257" s="7">
        <f>E257*J257</f>
      </c>
      <c r="AB257" s="6">
        <f>E257*I257/100</f>
      </c>
      <c r="AC257" s="15">
        <f>X257+Y257+AB257</f>
      </c>
      <c r="AD257" s="6">
        <f>F257+G257+I257</f>
      </c>
      <c r="AE257" s="3"/>
      <c r="AF257" s="6">
        <f>SUM(AM257:BC257)</f>
      </c>
      <c r="AG257" s="5">
        <f>IF(SUM(AM257:AO257)&gt;0.7*AF257,1,0)</f>
      </c>
      <c r="AH257" s="5">
        <f>IF(AN257&gt;0.4*AF257,1,0)</f>
      </c>
      <c r="AI257" s="5">
        <f>IF(SUM(AP257:AQ257)&gt;0.3*AF257,1,0)</f>
      </c>
      <c r="AJ257" s="5">
        <f>IF(AQ257&gt;0.2*AF257,1,0)</f>
      </c>
      <c r="AK257" s="5">
        <f>IF(SUM(AR257:BC257)&gt;0.3*AF257,1,0)</f>
      </c>
      <c r="AL257" s="3"/>
      <c r="AM257" s="6">
        <f>(F257/100)*AM$41</f>
      </c>
      <c r="AN257" s="6">
        <f>(G257/100)*AN$41</f>
      </c>
      <c r="AO257" s="6">
        <f>(H257/1000000)*AO$41</f>
      </c>
      <c r="AP257" s="6">
        <f>(I257/100)*AP$41</f>
      </c>
      <c r="AQ257" s="6">
        <f>(J257/1000000)*AQ$41</f>
      </c>
      <c r="AR257" s="6">
        <f>(K257/100)*AR$41</f>
      </c>
      <c r="AS257" s="6">
        <f>(L257/100)*AS$41</f>
      </c>
      <c r="AT257" s="6">
        <f>(M257/100)*AT$41</f>
      </c>
      <c r="AU257" s="6">
        <f>(N257/100)*AU$41</f>
      </c>
      <c r="AV257" s="6">
        <f>(O257/1000000)*AV$41</f>
      </c>
      <c r="AW257" s="6">
        <f>(P257/100)*AW$41</f>
      </c>
      <c r="AX257" s="6">
        <f>(Q257/100)*AX$41</f>
      </c>
      <c r="AY257" s="6">
        <f>(R257/100)*AY$41</f>
      </c>
      <c r="AZ257" s="6">
        <f>(S257/100)*AZ$41</f>
      </c>
      <c r="BA257" s="6">
        <f>(T257/100)*BA$41</f>
      </c>
      <c r="BB257" s="6">
        <f>(U257/100)*BB$41</f>
      </c>
      <c r="BC257" s="6"/>
      <c r="BD257" s="3"/>
      <c r="BE257" s="3"/>
      <c r="BF257" s="7">
        <f>AF257*E257</f>
      </c>
      <c r="BG257" s="6"/>
      <c r="BH257" s="3"/>
      <c r="BI257" s="6"/>
    </row>
    <row x14ac:dyDescent="0.25" r="258" customHeight="1" ht="12.75">
      <c r="A258" s="5" t="s">
        <v>49</v>
      </c>
      <c r="B258" s="3" t="s">
        <v>855</v>
      </c>
      <c r="C258" s="43" t="s">
        <v>866</v>
      </c>
      <c r="D258" s="34" t="s">
        <v>988</v>
      </c>
      <c r="E258" s="6">
        <v>14.27</v>
      </c>
      <c r="F258" s="7">
        <v>5.727512263489839</v>
      </c>
      <c r="G258" s="7">
        <v>16.0697967764541</v>
      </c>
      <c r="H258" s="31">
        <v>97.4989488437281</v>
      </c>
      <c r="I258" s="6"/>
      <c r="J258" s="6"/>
      <c r="K258" s="7"/>
      <c r="L258" s="6"/>
      <c r="M258" s="6"/>
      <c r="N258" s="23"/>
      <c r="O258" s="5"/>
      <c r="P258" s="6"/>
      <c r="Q258" s="6"/>
      <c r="R258" s="6"/>
      <c r="S258" s="6"/>
      <c r="T258" s="6"/>
      <c r="U258" s="6"/>
      <c r="V258" s="5"/>
      <c r="W258" s="6"/>
      <c r="X258" s="6">
        <f>E258*F258/100</f>
      </c>
      <c r="Y258" s="6">
        <f>E258*G258/100</f>
      </c>
      <c r="Z258" s="7">
        <f>E258*H258</f>
      </c>
      <c r="AA258" s="7">
        <f>E258*J258</f>
      </c>
      <c r="AB258" s="6">
        <f>E258*I258/100</f>
      </c>
      <c r="AC258" s="15">
        <f>X258+Y258+AB258</f>
      </c>
      <c r="AD258" s="6">
        <f>F258+G258+I258</f>
      </c>
      <c r="AE258" s="3"/>
      <c r="AF258" s="6">
        <f>SUM(AM258:BC258)</f>
      </c>
      <c r="AG258" s="5">
        <f>IF(SUM(AM258:AO258)&gt;0.7*AF258,1,0)</f>
      </c>
      <c r="AH258" s="5">
        <f>IF(AN258&gt;0.4*AF258,1,0)</f>
      </c>
      <c r="AI258" s="5">
        <f>IF(SUM(AP258:AQ258)&gt;0.3*AF258,1,0)</f>
      </c>
      <c r="AJ258" s="5">
        <f>IF(AQ258&gt;0.2*AF258,1,0)</f>
      </c>
      <c r="AK258" s="5">
        <f>IF(SUM(AR258:BC258)&gt;0.3*AF258,1,0)</f>
      </c>
      <c r="AL258" s="3"/>
      <c r="AM258" s="6">
        <f>(F258/100)*AM$41</f>
      </c>
      <c r="AN258" s="6">
        <f>(G258/100)*AN$41</f>
      </c>
      <c r="AO258" s="6">
        <f>(H258/1000000)*AO$41</f>
      </c>
      <c r="AP258" s="6">
        <f>(I258/100)*AP$41</f>
      </c>
      <c r="AQ258" s="6">
        <f>(J258/1000000)*AQ$41</f>
      </c>
      <c r="AR258" s="6">
        <f>(K258/100)*AR$41</f>
      </c>
      <c r="AS258" s="6">
        <f>(L258/100)*AS$41</f>
      </c>
      <c r="AT258" s="6">
        <f>(M258/100)*AT$41</f>
      </c>
      <c r="AU258" s="6">
        <f>(N258/100)*AU$41</f>
      </c>
      <c r="AV258" s="6">
        <f>(O258/1000000)*AV$41</f>
      </c>
      <c r="AW258" s="6">
        <f>(P258/100)*AW$41</f>
      </c>
      <c r="AX258" s="6">
        <f>(Q258/100)*AX$41</f>
      </c>
      <c r="AY258" s="6">
        <f>(R258/100)*AY$41</f>
      </c>
      <c r="AZ258" s="6">
        <f>(S258/100)*AZ$41</f>
      </c>
      <c r="BA258" s="6">
        <f>(T258/100)*BA$41</f>
      </c>
      <c r="BB258" s="6">
        <f>(U258/100)*BB$41</f>
      </c>
      <c r="BC258" s="6"/>
      <c r="BD258" s="3"/>
      <c r="BE258" s="3"/>
      <c r="BF258" s="7">
        <f>AF258*E258</f>
      </c>
      <c r="BG258" s="6"/>
      <c r="BH258" s="3"/>
      <c r="BI258" s="6"/>
    </row>
    <row x14ac:dyDescent="0.25" r="259" customHeight="1" ht="12.75">
      <c r="A259" s="5" t="s">
        <v>171</v>
      </c>
      <c r="B259" s="3" t="s">
        <v>855</v>
      </c>
      <c r="C259" s="43" t="s">
        <v>866</v>
      </c>
      <c r="D259" s="34" t="s">
        <v>988</v>
      </c>
      <c r="E259" s="6">
        <v>26.198</v>
      </c>
      <c r="F259" s="7">
        <v>3.2012367356286737</v>
      </c>
      <c r="G259" s="7">
        <v>7.709817543323918</v>
      </c>
      <c r="H259" s="31">
        <v>79.55668371631421</v>
      </c>
      <c r="I259" s="7">
        <v>0.5210474081990992</v>
      </c>
      <c r="J259" s="6"/>
      <c r="K259" s="7"/>
      <c r="L259" s="6"/>
      <c r="M259" s="6"/>
      <c r="N259" s="23"/>
      <c r="O259" s="5"/>
      <c r="P259" s="6"/>
      <c r="Q259" s="6"/>
      <c r="R259" s="6"/>
      <c r="S259" s="6"/>
      <c r="T259" s="6"/>
      <c r="U259" s="6"/>
      <c r="V259" s="5"/>
      <c r="W259" s="6"/>
      <c r="X259" s="6">
        <f>E259*F259/100</f>
      </c>
      <c r="Y259" s="6">
        <f>E259*G259/100</f>
      </c>
      <c r="Z259" s="7">
        <f>E259*H259</f>
      </c>
      <c r="AA259" s="7">
        <f>E259*J259</f>
      </c>
      <c r="AB259" s="6">
        <f>E259*I259/100</f>
      </c>
      <c r="AC259" s="15">
        <f>X259+Y259+AB259</f>
      </c>
      <c r="AD259" s="6">
        <f>F259+G259+I259</f>
      </c>
      <c r="AE259" s="3"/>
      <c r="AF259" s="6">
        <f>SUM(AM259:BC259)</f>
      </c>
      <c r="AG259" s="5">
        <f>IF(SUM(AM259:AO259)&gt;0.7*AF259,1,0)</f>
      </c>
      <c r="AH259" s="5">
        <f>IF(AN259&gt;0.4*AF259,1,0)</f>
      </c>
      <c r="AI259" s="5">
        <f>IF(SUM(AP259:AQ259)&gt;0.3*AF259,1,0)</f>
      </c>
      <c r="AJ259" s="5">
        <f>IF(AQ259&gt;0.2*AF259,1,0)</f>
      </c>
      <c r="AK259" s="5">
        <f>IF(SUM(AR259:BC259)&gt;0.3*AF259,1,0)</f>
      </c>
      <c r="AL259" s="3"/>
      <c r="AM259" s="6">
        <f>(F259/100)*AM$41</f>
      </c>
      <c r="AN259" s="6">
        <f>(G259/100)*AN$41</f>
      </c>
      <c r="AO259" s="6">
        <f>(H259/1000000)*AO$41</f>
      </c>
      <c r="AP259" s="6">
        <f>(I259/100)*AP$41</f>
      </c>
      <c r="AQ259" s="6">
        <f>(J259/1000000)*AQ$41</f>
      </c>
      <c r="AR259" s="6">
        <f>(K259/100)*AR$41</f>
      </c>
      <c r="AS259" s="6">
        <f>(L259/100)*AS$41</f>
      </c>
      <c r="AT259" s="6">
        <f>(M259/100)*AT$41</f>
      </c>
      <c r="AU259" s="6">
        <f>(N259/100)*AU$41</f>
      </c>
      <c r="AV259" s="6">
        <f>(O259/1000000)*AV$41</f>
      </c>
      <c r="AW259" s="6">
        <f>(P259/100)*AW$41</f>
      </c>
      <c r="AX259" s="6">
        <f>(Q259/100)*AX$41</f>
      </c>
      <c r="AY259" s="6">
        <f>(R259/100)*AY$41</f>
      </c>
      <c r="AZ259" s="6">
        <f>(S259/100)*AZ$41</f>
      </c>
      <c r="BA259" s="6">
        <f>(T259/100)*BA$41</f>
      </c>
      <c r="BB259" s="6">
        <f>(U259/100)*BB$41</f>
      </c>
      <c r="BC259" s="6"/>
      <c r="BD259" s="3"/>
      <c r="BE259" s="3"/>
      <c r="BF259" s="7">
        <f>AF259*E259</f>
      </c>
      <c r="BG259" s="6"/>
      <c r="BH259" s="3"/>
      <c r="BI259" s="6"/>
    </row>
    <row x14ac:dyDescent="0.25" r="260" customHeight="1" ht="12.75">
      <c r="A260" s="5" t="s">
        <v>27</v>
      </c>
      <c r="B260" s="3" t="s">
        <v>855</v>
      </c>
      <c r="C260" s="43" t="s">
        <v>866</v>
      </c>
      <c r="D260" s="34" t="s">
        <v>989</v>
      </c>
      <c r="E260" s="23">
        <v>11.67</v>
      </c>
      <c r="F260" s="7">
        <v>10.918080548414737</v>
      </c>
      <c r="G260" s="7">
        <v>12.775638389031705</v>
      </c>
      <c r="H260" s="31">
        <v>196.7997429305913</v>
      </c>
      <c r="I260" s="6">
        <v>0.44782776349614395</v>
      </c>
      <c r="J260" s="6"/>
      <c r="K260" s="7"/>
      <c r="L260" s="6"/>
      <c r="M260" s="6"/>
      <c r="N260" s="23"/>
      <c r="O260" s="5"/>
      <c r="P260" s="6"/>
      <c r="Q260" s="6"/>
      <c r="R260" s="6"/>
      <c r="S260" s="6"/>
      <c r="T260" s="6"/>
      <c r="U260" s="6"/>
      <c r="V260" s="5"/>
      <c r="W260" s="6"/>
      <c r="X260" s="6">
        <f>E260*F260/100</f>
      </c>
      <c r="Y260" s="6">
        <f>E260*G260/100</f>
      </c>
      <c r="Z260" s="7">
        <f>E260*H260</f>
      </c>
      <c r="AA260" s="7">
        <f>E260*J260</f>
      </c>
      <c r="AB260" s="6">
        <f>E260*I260/100</f>
      </c>
      <c r="AC260" s="15">
        <f>X260+Y260+AB260</f>
      </c>
      <c r="AD260" s="6">
        <f>F260+G260+I260</f>
      </c>
      <c r="AE260" s="3"/>
      <c r="AF260" s="6">
        <f>SUM(AM260:BC260)</f>
      </c>
      <c r="AG260" s="5">
        <f>IF(SUM(AM260:AO260)&gt;0.7*AF260,1,0)</f>
      </c>
      <c r="AH260" s="5">
        <f>IF(AN260&gt;0.4*AF260,1,0)</f>
      </c>
      <c r="AI260" s="5">
        <f>IF(SUM(AP260:AQ260)&gt;0.3*AF260,1,0)</f>
      </c>
      <c r="AJ260" s="5">
        <f>IF(AQ260&gt;0.2*AF260,1,0)</f>
      </c>
      <c r="AK260" s="5">
        <f>IF(SUM(AR260:BC260)&gt;0.3*AF260,1,0)</f>
      </c>
      <c r="AL260" s="3"/>
      <c r="AM260" s="6">
        <f>(F260/100)*AM$41</f>
      </c>
      <c r="AN260" s="6">
        <f>(G260/100)*AN$41</f>
      </c>
      <c r="AO260" s="6">
        <f>(H260/1000000)*AO$41</f>
      </c>
      <c r="AP260" s="6">
        <f>(I260/100)*AP$41</f>
      </c>
      <c r="AQ260" s="6">
        <f>(J260/1000000)*AQ$41</f>
      </c>
      <c r="AR260" s="6">
        <f>(K260/100)*AR$41</f>
      </c>
      <c r="AS260" s="6">
        <f>(L260/100)*AS$41</f>
      </c>
      <c r="AT260" s="6">
        <f>(M260/100)*AT$41</f>
      </c>
      <c r="AU260" s="6">
        <f>(N260/100)*AU$41</f>
      </c>
      <c r="AV260" s="6">
        <f>(O260/1000000)*AV$41</f>
      </c>
      <c r="AW260" s="6">
        <f>(P260/100)*AW$41</f>
      </c>
      <c r="AX260" s="6">
        <f>(Q260/100)*AX$41</f>
      </c>
      <c r="AY260" s="6">
        <f>(R260/100)*AY$41</f>
      </c>
      <c r="AZ260" s="6">
        <f>(S260/100)*AZ$41</f>
      </c>
      <c r="BA260" s="6">
        <f>(T260/100)*BA$41</f>
      </c>
      <c r="BB260" s="6">
        <f>(U260/100)*BB$41</f>
      </c>
      <c r="BC260" s="6"/>
      <c r="BD260" s="3"/>
      <c r="BE260" s="3"/>
      <c r="BF260" s="7">
        <f>AF260*E260</f>
      </c>
      <c r="BG260" s="6"/>
      <c r="BH260" s="3"/>
      <c r="BI260" s="6"/>
    </row>
    <row x14ac:dyDescent="0.25" r="261" customHeight="1" ht="12.75">
      <c r="A261" s="5" t="s">
        <v>201</v>
      </c>
      <c r="B261" s="3" t="s">
        <v>855</v>
      </c>
      <c r="C261" s="43" t="s">
        <v>866</v>
      </c>
      <c r="D261" s="34" t="s">
        <v>988</v>
      </c>
      <c r="E261" s="6">
        <v>23.45</v>
      </c>
      <c r="F261" s="6">
        <v>2.713168443496802</v>
      </c>
      <c r="G261" s="6">
        <v>8.227522388059702</v>
      </c>
      <c r="H261" s="7">
        <v>47.421833688699365</v>
      </c>
      <c r="I261" s="6"/>
      <c r="J261" s="6"/>
      <c r="K261" s="7"/>
      <c r="L261" s="6"/>
      <c r="M261" s="6"/>
      <c r="N261" s="23"/>
      <c r="O261" s="5"/>
      <c r="P261" s="6"/>
      <c r="Q261" s="6"/>
      <c r="R261" s="6"/>
      <c r="S261" s="6"/>
      <c r="T261" s="6"/>
      <c r="U261" s="6"/>
      <c r="V261" s="5"/>
      <c r="W261" s="6"/>
      <c r="X261" s="6">
        <f>E261*F261/100</f>
      </c>
      <c r="Y261" s="6">
        <f>E261*G261/100</f>
      </c>
      <c r="Z261" s="7">
        <f>E261*H261</f>
      </c>
      <c r="AA261" s="7">
        <f>E261*J261</f>
      </c>
      <c r="AB261" s="6">
        <f>E261*I261/100</f>
      </c>
      <c r="AC261" s="15">
        <f>X261+Y261+AB261</f>
      </c>
      <c r="AD261" s="6">
        <f>F261+G261+I261</f>
      </c>
      <c r="AE261" s="3"/>
      <c r="AF261" s="6">
        <f>SUM(AM261:BC261)</f>
      </c>
      <c r="AG261" s="5">
        <f>IF(SUM(AM261:AO261)&gt;0.7*AF261,1,0)</f>
      </c>
      <c r="AH261" s="5">
        <f>IF(AN261&gt;0.4*AF261,1,0)</f>
      </c>
      <c r="AI261" s="5">
        <f>IF(SUM(AP261:AQ261)&gt;0.3*AF261,1,0)</f>
      </c>
      <c r="AJ261" s="5">
        <f>IF(AQ261&gt;0.2*AF261,1,0)</f>
      </c>
      <c r="AK261" s="5">
        <f>IF(SUM(AR261:BC261)&gt;0.3*AF261,1,0)</f>
      </c>
      <c r="AL261" s="3"/>
      <c r="AM261" s="6">
        <f>(F261/100)*AM$41</f>
      </c>
      <c r="AN261" s="6">
        <f>(G261/100)*AN$41</f>
      </c>
      <c r="AO261" s="6">
        <f>(H261/1000000)*AO$41</f>
      </c>
      <c r="AP261" s="6">
        <f>(I261/100)*AP$41</f>
      </c>
      <c r="AQ261" s="6">
        <f>(J261/1000000)*AQ$41</f>
      </c>
      <c r="AR261" s="6">
        <f>(K261/100)*AR$41</f>
      </c>
      <c r="AS261" s="6">
        <f>(L261/100)*AS$41</f>
      </c>
      <c r="AT261" s="6">
        <f>(M261/100)*AT$41</f>
      </c>
      <c r="AU261" s="6">
        <f>(N261/100)*AU$41</f>
      </c>
      <c r="AV261" s="6">
        <f>(O261/1000000)*AV$41</f>
      </c>
      <c r="AW261" s="6">
        <f>(P261/100)*AW$41</f>
      </c>
      <c r="AX261" s="6">
        <f>(Q261/100)*AX$41</f>
      </c>
      <c r="AY261" s="6">
        <f>(R261/100)*AY$41</f>
      </c>
      <c r="AZ261" s="6">
        <f>(S261/100)*AZ$41</f>
      </c>
      <c r="BA261" s="6">
        <f>(T261/100)*BA$41</f>
      </c>
      <c r="BB261" s="6">
        <f>(U261/100)*BB$41</f>
      </c>
      <c r="BC261" s="6"/>
      <c r="BD261" s="3"/>
      <c r="BE261" s="3"/>
      <c r="BF261" s="7">
        <f>AF261*E261</f>
      </c>
      <c r="BG261" s="6"/>
      <c r="BH261" s="3"/>
      <c r="BI261" s="6"/>
    </row>
    <row x14ac:dyDescent="0.25" r="262" customHeight="1" ht="12.75">
      <c r="A262" s="5" t="s">
        <v>228</v>
      </c>
      <c r="B262" s="3" t="s">
        <v>855</v>
      </c>
      <c r="C262" s="43" t="s">
        <v>866</v>
      </c>
      <c r="D262" s="34" t="s">
        <v>989</v>
      </c>
      <c r="E262" s="6">
        <v>26.4</v>
      </c>
      <c r="F262" s="7">
        <v>1.7617424242424242</v>
      </c>
      <c r="G262" s="7">
        <v>6.7659090909090915</v>
      </c>
      <c r="H262" s="7"/>
      <c r="I262" s="6"/>
      <c r="J262" s="6"/>
      <c r="K262" s="7"/>
      <c r="L262" s="6"/>
      <c r="M262" s="6"/>
      <c r="N262" s="23"/>
      <c r="O262" s="5"/>
      <c r="P262" s="6"/>
      <c r="Q262" s="6"/>
      <c r="R262" s="6"/>
      <c r="S262" s="6"/>
      <c r="T262" s="6"/>
      <c r="U262" s="6"/>
      <c r="V262" s="5"/>
      <c r="W262" s="6"/>
      <c r="X262" s="6">
        <f>E262*F262/100</f>
      </c>
      <c r="Y262" s="6">
        <f>E262*G262/100</f>
      </c>
      <c r="Z262" s="7">
        <f>E262*H262</f>
      </c>
      <c r="AA262" s="7">
        <f>E262*J262</f>
      </c>
      <c r="AB262" s="6">
        <f>E262*I262/100</f>
      </c>
      <c r="AC262" s="15">
        <f>X262+Y262+AB262</f>
      </c>
      <c r="AD262" s="6">
        <f>F262+G262+I262</f>
      </c>
      <c r="AE262" s="3"/>
      <c r="AF262" s="6">
        <f>SUM(AM262:BC262)</f>
      </c>
      <c r="AG262" s="5">
        <f>IF(SUM(AM262:AO262)&gt;0.7*AF262,1,0)</f>
      </c>
      <c r="AH262" s="5">
        <f>IF(AN262&gt;0.4*AF262,1,0)</f>
      </c>
      <c r="AI262" s="5">
        <f>IF(SUM(AP262:AQ262)&gt;0.3*AF262,1,0)</f>
      </c>
      <c r="AJ262" s="5">
        <f>IF(AQ262&gt;0.2*AF262,1,0)</f>
      </c>
      <c r="AK262" s="5">
        <f>IF(SUM(AR262:BC262)&gt;0.3*AF262,1,0)</f>
      </c>
      <c r="AL262" s="3"/>
      <c r="AM262" s="6">
        <f>(F262/100)*AM$41</f>
      </c>
      <c r="AN262" s="6">
        <f>(G262/100)*AN$41</f>
      </c>
      <c r="AO262" s="6">
        <f>(H262/1000000)*AO$41</f>
      </c>
      <c r="AP262" s="6">
        <f>(I262/100)*AP$41</f>
      </c>
      <c r="AQ262" s="6">
        <f>(J262/1000000)*AQ$41</f>
      </c>
      <c r="AR262" s="6">
        <f>(K262/100)*AR$41</f>
      </c>
      <c r="AS262" s="6">
        <f>(L262/100)*AS$41</f>
      </c>
      <c r="AT262" s="6">
        <f>(M262/100)*AT$41</f>
      </c>
      <c r="AU262" s="6">
        <f>(N262/100)*AU$41</f>
      </c>
      <c r="AV262" s="6">
        <f>(O262/1000000)*AV$41</f>
      </c>
      <c r="AW262" s="6">
        <f>(P262/100)*AW$41</f>
      </c>
      <c r="AX262" s="6">
        <f>(Q262/100)*AX$41</f>
      </c>
      <c r="AY262" s="6">
        <f>(R262/100)*AY$41</f>
      </c>
      <c r="AZ262" s="6">
        <f>(S262/100)*AZ$41</f>
      </c>
      <c r="BA262" s="6">
        <f>(T262/100)*BA$41</f>
      </c>
      <c r="BB262" s="6">
        <f>(U262/100)*BB$41</f>
      </c>
      <c r="BC262" s="6"/>
      <c r="BD262" s="3"/>
      <c r="BE262" s="3"/>
      <c r="BF262" s="7">
        <f>AF262*E262</f>
      </c>
      <c r="BG262" s="6"/>
      <c r="BH262" s="3"/>
      <c r="BI262" s="6"/>
    </row>
    <row x14ac:dyDescent="0.25" r="263" customHeight="1" ht="12.75">
      <c r="A263" s="5" t="s">
        <v>247</v>
      </c>
      <c r="B263" s="3" t="s">
        <v>855</v>
      </c>
      <c r="C263" s="43" t="s">
        <v>866</v>
      </c>
      <c r="D263" s="34" t="s">
        <v>991</v>
      </c>
      <c r="E263" s="6">
        <v>51.1</v>
      </c>
      <c r="F263" s="7">
        <v>4.314677103718198</v>
      </c>
      <c r="G263" s="6"/>
      <c r="H263" s="7"/>
      <c r="I263" s="6"/>
      <c r="J263" s="6"/>
      <c r="K263" s="7"/>
      <c r="L263" s="6"/>
      <c r="M263" s="6"/>
      <c r="N263" s="23"/>
      <c r="O263" s="5"/>
      <c r="P263" s="6"/>
      <c r="Q263" s="6"/>
      <c r="R263" s="6"/>
      <c r="S263" s="6"/>
      <c r="T263" s="6"/>
      <c r="U263" s="6"/>
      <c r="V263" s="5"/>
      <c r="W263" s="6"/>
      <c r="X263" s="6">
        <f>E263*F263/100</f>
      </c>
      <c r="Y263" s="6">
        <f>E263*G263/100</f>
      </c>
      <c r="Z263" s="7">
        <f>E263*H263</f>
      </c>
      <c r="AA263" s="7">
        <f>E263*J263</f>
      </c>
      <c r="AB263" s="6">
        <f>E263*I263/100</f>
      </c>
      <c r="AC263" s="15">
        <f>X263+Y263+AB263</f>
      </c>
      <c r="AD263" s="6">
        <f>F263+G263+I263</f>
      </c>
      <c r="AE263" s="3"/>
      <c r="AF263" s="6">
        <f>SUM(AM263:BC263)</f>
      </c>
      <c r="AG263" s="5">
        <f>IF(SUM(AM263:AO263)&gt;0.7*AF263,1,0)</f>
      </c>
      <c r="AH263" s="5">
        <f>IF(AN263&gt;0.4*AF263,1,0)</f>
      </c>
      <c r="AI263" s="5">
        <f>IF(SUM(AP263:AQ263)&gt;0.3*AF263,1,0)</f>
      </c>
      <c r="AJ263" s="5">
        <f>IF(AQ263&gt;0.2*AF263,1,0)</f>
      </c>
      <c r="AK263" s="5">
        <f>IF(SUM(AR263:BC263)&gt;0.3*AF263,1,0)</f>
      </c>
      <c r="AL263" s="3"/>
      <c r="AM263" s="6">
        <f>(F263/100)*AM$41</f>
      </c>
      <c r="AN263" s="6">
        <f>(G263/100)*AN$41</f>
      </c>
      <c r="AO263" s="6">
        <f>(H263/1000000)*AO$41</f>
      </c>
      <c r="AP263" s="6">
        <f>(I263/100)*AP$41</f>
      </c>
      <c r="AQ263" s="6">
        <f>(J263/1000000)*AQ$41</f>
      </c>
      <c r="AR263" s="6">
        <f>(K263/100)*AR$41</f>
      </c>
      <c r="AS263" s="6">
        <f>(L263/100)*AS$41</f>
      </c>
      <c r="AT263" s="6">
        <f>(M263/100)*AT$41</f>
      </c>
      <c r="AU263" s="6">
        <f>(N263/100)*AU$41</f>
      </c>
      <c r="AV263" s="6">
        <f>(O263/1000000)*AV$41</f>
      </c>
      <c r="AW263" s="6">
        <f>(P263/100)*AW$41</f>
      </c>
      <c r="AX263" s="6">
        <f>(Q263/100)*AX$41</f>
      </c>
      <c r="AY263" s="6">
        <f>(R263/100)*AY$41</f>
      </c>
      <c r="AZ263" s="6">
        <f>(S263/100)*AZ$41</f>
      </c>
      <c r="BA263" s="6">
        <f>(T263/100)*BA$41</f>
      </c>
      <c r="BB263" s="6">
        <f>(U263/100)*BB$41</f>
      </c>
      <c r="BC263" s="6"/>
      <c r="BD263" s="3"/>
      <c r="BE263" s="3"/>
      <c r="BF263" s="7">
        <f>AF263*E263</f>
      </c>
      <c r="BG263" s="6"/>
      <c r="BH263" s="3"/>
      <c r="BI263" s="6"/>
    </row>
    <row x14ac:dyDescent="0.25" r="264" customHeight="1" ht="12.75">
      <c r="A264" s="5" t="s">
        <v>250</v>
      </c>
      <c r="B264" s="3" t="s">
        <v>855</v>
      </c>
      <c r="C264" s="43" t="s">
        <v>866</v>
      </c>
      <c r="D264" s="34" t="s">
        <v>988</v>
      </c>
      <c r="E264" s="6">
        <v>43.6</v>
      </c>
      <c r="F264" s="6">
        <v>0.95</v>
      </c>
      <c r="G264" s="6">
        <v>4.09</v>
      </c>
      <c r="H264" s="7"/>
      <c r="I264" s="6"/>
      <c r="J264" s="6"/>
      <c r="K264" s="7"/>
      <c r="L264" s="6"/>
      <c r="M264" s="6"/>
      <c r="N264" s="23"/>
      <c r="O264" s="5"/>
      <c r="P264" s="6"/>
      <c r="Q264" s="6"/>
      <c r="R264" s="6"/>
      <c r="S264" s="6"/>
      <c r="T264" s="6"/>
      <c r="U264" s="6"/>
      <c r="V264" s="5"/>
      <c r="W264" s="6"/>
      <c r="X264" s="6">
        <f>E264*F264/100</f>
      </c>
      <c r="Y264" s="6">
        <f>E264*G264/100</f>
      </c>
      <c r="Z264" s="7">
        <f>E264*H264</f>
      </c>
      <c r="AA264" s="7">
        <f>E264*J264</f>
      </c>
      <c r="AB264" s="6">
        <f>E264*I264/100</f>
      </c>
      <c r="AC264" s="15">
        <f>X264+Y264+AB264</f>
      </c>
      <c r="AD264" s="6">
        <f>F264+G264+I264</f>
      </c>
      <c r="AE264" s="3"/>
      <c r="AF264" s="6">
        <f>SUM(AM264:BC264)</f>
      </c>
      <c r="AG264" s="5">
        <f>IF(SUM(AM264:AO264)&gt;0.7*AF264,1,0)</f>
      </c>
      <c r="AH264" s="5">
        <f>IF(AN264&gt;0.4*AF264,1,0)</f>
      </c>
      <c r="AI264" s="5">
        <f>IF(SUM(AP264:AQ264)&gt;0.3*AF264,1,0)</f>
      </c>
      <c r="AJ264" s="5">
        <f>IF(AQ264&gt;0.2*AF264,1,0)</f>
      </c>
      <c r="AK264" s="5">
        <f>IF(SUM(AR264:BC264)&gt;0.3*AF264,1,0)</f>
      </c>
      <c r="AL264" s="3"/>
      <c r="AM264" s="6">
        <f>(F264/100)*AM$41</f>
      </c>
      <c r="AN264" s="6">
        <f>(G264/100)*AN$41</f>
      </c>
      <c r="AO264" s="6">
        <f>(H264/1000000)*AO$41</f>
      </c>
      <c r="AP264" s="6">
        <f>(I264/100)*AP$41</f>
      </c>
      <c r="AQ264" s="6">
        <f>(J264/1000000)*AQ$41</f>
      </c>
      <c r="AR264" s="6">
        <f>(K264/100)*AR$41</f>
      </c>
      <c r="AS264" s="6">
        <f>(L264/100)*AS$41</f>
      </c>
      <c r="AT264" s="6">
        <f>(M264/100)*AT$41</f>
      </c>
      <c r="AU264" s="6">
        <f>(N264/100)*AU$41</f>
      </c>
      <c r="AV264" s="6">
        <f>(O264/1000000)*AV$41</f>
      </c>
      <c r="AW264" s="6">
        <f>(P264/100)*AW$41</f>
      </c>
      <c r="AX264" s="6">
        <f>(Q264/100)*AX$41</f>
      </c>
      <c r="AY264" s="6">
        <f>(R264/100)*AY$41</f>
      </c>
      <c r="AZ264" s="6">
        <f>(S264/100)*AZ$41</f>
      </c>
      <c r="BA264" s="6">
        <f>(T264/100)*BA$41</f>
      </c>
      <c r="BB264" s="6">
        <f>(U264/100)*BB$41</f>
      </c>
      <c r="BC264" s="6"/>
      <c r="BD264" s="3"/>
      <c r="BE264" s="3"/>
      <c r="BF264" s="7">
        <f>AF264*E264</f>
      </c>
      <c r="BG264" s="6"/>
      <c r="BH264" s="3"/>
      <c r="BI264" s="6"/>
    </row>
    <row x14ac:dyDescent="0.25" r="265" customHeight="1" ht="12.75">
      <c r="A265" s="5" t="s">
        <v>194</v>
      </c>
      <c r="B265" s="3" t="s">
        <v>855</v>
      </c>
      <c r="C265" s="43" t="s">
        <v>866</v>
      </c>
      <c r="D265" s="34" t="s">
        <v>988</v>
      </c>
      <c r="E265" s="6">
        <v>16.18</v>
      </c>
      <c r="F265" s="6">
        <v>4.5</v>
      </c>
      <c r="G265" s="6">
        <v>8.2</v>
      </c>
      <c r="H265" s="7"/>
      <c r="I265" s="6"/>
      <c r="J265" s="6"/>
      <c r="K265" s="7"/>
      <c r="L265" s="6"/>
      <c r="M265" s="6"/>
      <c r="N265" s="23"/>
      <c r="O265" s="5"/>
      <c r="P265" s="6"/>
      <c r="Q265" s="6"/>
      <c r="R265" s="6"/>
      <c r="S265" s="6"/>
      <c r="T265" s="6"/>
      <c r="U265" s="6"/>
      <c r="V265" s="5"/>
      <c r="W265" s="6"/>
      <c r="X265" s="6">
        <f>E265*F265/100</f>
      </c>
      <c r="Y265" s="6">
        <f>E265*G265/100</f>
      </c>
      <c r="Z265" s="7">
        <f>E265*H265</f>
      </c>
      <c r="AA265" s="7">
        <f>E265*J265</f>
      </c>
      <c r="AB265" s="6">
        <f>E265*I265/100</f>
      </c>
      <c r="AC265" s="15">
        <f>X265+Y265+AB265</f>
      </c>
      <c r="AD265" s="6">
        <f>F265+G265+I265</f>
      </c>
      <c r="AE265" s="3"/>
      <c r="AF265" s="6">
        <f>SUM(AM265:BC265)</f>
      </c>
      <c r="AG265" s="5">
        <f>IF(SUM(AM265:AO265)&gt;0.7*AF265,1,0)</f>
      </c>
      <c r="AH265" s="5">
        <f>IF(AN265&gt;0.4*AF265,1,0)</f>
      </c>
      <c r="AI265" s="5">
        <f>IF(SUM(AP265:AQ265)&gt;0.3*AF265,1,0)</f>
      </c>
      <c r="AJ265" s="5">
        <f>IF(AQ265&gt;0.2*AF265,1,0)</f>
      </c>
      <c r="AK265" s="5">
        <f>IF(SUM(AR265:BC265)&gt;0.3*AF265,1,0)</f>
      </c>
      <c r="AL265" s="3"/>
      <c r="AM265" s="6">
        <f>(F265/100)*AM$41</f>
      </c>
      <c r="AN265" s="6">
        <f>(G265/100)*AN$41</f>
      </c>
      <c r="AO265" s="6">
        <f>(H265/1000000)*AO$41</f>
      </c>
      <c r="AP265" s="6">
        <f>(I265/100)*AP$41</f>
      </c>
      <c r="AQ265" s="6">
        <f>(J265/1000000)*AQ$41</f>
      </c>
      <c r="AR265" s="6">
        <f>(K265/100)*AR$41</f>
      </c>
      <c r="AS265" s="6">
        <f>(L265/100)*AS$41</f>
      </c>
      <c r="AT265" s="6">
        <f>(M265/100)*AT$41</f>
      </c>
      <c r="AU265" s="6">
        <f>(N265/100)*AU$41</f>
      </c>
      <c r="AV265" s="6">
        <f>(O265/1000000)*AV$41</f>
      </c>
      <c r="AW265" s="6">
        <f>(P265/100)*AW$41</f>
      </c>
      <c r="AX265" s="6">
        <f>(Q265/100)*AX$41</f>
      </c>
      <c r="AY265" s="6">
        <f>(R265/100)*AY$41</f>
      </c>
      <c r="AZ265" s="6">
        <f>(S265/100)*AZ$41</f>
      </c>
      <c r="BA265" s="6">
        <f>(T265/100)*BA$41</f>
      </c>
      <c r="BB265" s="6">
        <f>(U265/100)*BB$41</f>
      </c>
      <c r="BC265" s="6"/>
      <c r="BD265" s="3"/>
      <c r="BE265" s="3"/>
      <c r="BF265" s="7">
        <f>AF265*E265</f>
      </c>
      <c r="BG265" s="6"/>
      <c r="BH265" s="3"/>
      <c r="BI265" s="6"/>
    </row>
    <row x14ac:dyDescent="0.25" r="266" customHeight="1" ht="12.75">
      <c r="A266" s="5" t="s">
        <v>248</v>
      </c>
      <c r="B266" s="3" t="s">
        <v>855</v>
      </c>
      <c r="C266" s="43" t="s">
        <v>866</v>
      </c>
      <c r="D266" s="34" t="s">
        <v>988</v>
      </c>
      <c r="E266" s="6">
        <v>17.6</v>
      </c>
      <c r="F266" s="7">
        <v>10.059090909090909</v>
      </c>
      <c r="G266" s="7">
        <v>1.4846590909090907</v>
      </c>
      <c r="H266" s="31">
        <v>37.28409090909091</v>
      </c>
      <c r="I266" s="6"/>
      <c r="J266" s="6"/>
      <c r="K266" s="7"/>
      <c r="L266" s="6"/>
      <c r="M266" s="6"/>
      <c r="N266" s="23"/>
      <c r="O266" s="5"/>
      <c r="P266" s="6"/>
      <c r="Q266" s="6"/>
      <c r="R266" s="6"/>
      <c r="S266" s="6"/>
      <c r="T266" s="6"/>
      <c r="U266" s="6"/>
      <c r="V266" s="5"/>
      <c r="W266" s="6"/>
      <c r="X266" s="6">
        <f>E266*F266/100</f>
      </c>
      <c r="Y266" s="6">
        <f>E266*G266/100</f>
      </c>
      <c r="Z266" s="7">
        <f>E266*H266</f>
      </c>
      <c r="AA266" s="7">
        <f>E266*J266</f>
      </c>
      <c r="AB266" s="6">
        <f>E266*I266/100</f>
      </c>
      <c r="AC266" s="15">
        <f>X266+Y266+AB266</f>
      </c>
      <c r="AD266" s="6">
        <f>F266+G266+I266</f>
      </c>
      <c r="AE266" s="3"/>
      <c r="AF266" s="6">
        <f>SUM(AM266:BC266)</f>
      </c>
      <c r="AG266" s="5">
        <f>IF(SUM(AM266:AO266)&gt;0.7*AF266,1,0)</f>
      </c>
      <c r="AH266" s="5">
        <f>IF(AN266&gt;0.4*AF266,1,0)</f>
      </c>
      <c r="AI266" s="5">
        <f>IF(SUM(AP266:AQ266)&gt;0.3*AF266,1,0)</f>
      </c>
      <c r="AJ266" s="5">
        <f>IF(AQ266&gt;0.2*AF266,1,0)</f>
      </c>
      <c r="AK266" s="5">
        <f>IF(SUM(AR266:BC266)&gt;0.3*AF266,1,0)</f>
      </c>
      <c r="AL266" s="3"/>
      <c r="AM266" s="6">
        <f>(F266/100)*AM$41</f>
      </c>
      <c r="AN266" s="6">
        <f>(G266/100)*AN$41</f>
      </c>
      <c r="AO266" s="6">
        <f>(H266/1000000)*AO$41</f>
      </c>
      <c r="AP266" s="6">
        <f>(I266/100)*AP$41</f>
      </c>
      <c r="AQ266" s="6">
        <f>(J266/1000000)*AQ$41</f>
      </c>
      <c r="AR266" s="6">
        <f>(K266/100)*AR$41</f>
      </c>
      <c r="AS266" s="6">
        <f>(L266/100)*AS$41</f>
      </c>
      <c r="AT266" s="6">
        <f>(M266/100)*AT$41</f>
      </c>
      <c r="AU266" s="6">
        <f>(N266/100)*AU$41</f>
      </c>
      <c r="AV266" s="6">
        <f>(O266/1000000)*AV$41</f>
      </c>
      <c r="AW266" s="6">
        <f>(P266/100)*AW$41</f>
      </c>
      <c r="AX266" s="6">
        <f>(Q266/100)*AX$41</f>
      </c>
      <c r="AY266" s="6">
        <f>(R266/100)*AY$41</f>
      </c>
      <c r="AZ266" s="6">
        <f>(S266/100)*AZ$41</f>
      </c>
      <c r="BA266" s="6">
        <f>(T266/100)*BA$41</f>
      </c>
      <c r="BB266" s="6">
        <f>(U266/100)*BB$41</f>
      </c>
      <c r="BC266" s="6"/>
      <c r="BD266" s="3"/>
      <c r="BE266" s="3"/>
      <c r="BF266" s="7">
        <f>AF266*E266</f>
      </c>
      <c r="BG266" s="6"/>
      <c r="BH266" s="3"/>
      <c r="BI266" s="6"/>
    </row>
    <row x14ac:dyDescent="0.25" r="267" customHeight="1" ht="12.75">
      <c r="A267" s="5" t="s">
        <v>234</v>
      </c>
      <c r="B267" s="3" t="s">
        <v>855</v>
      </c>
      <c r="C267" s="43" t="s">
        <v>866</v>
      </c>
      <c r="D267" s="34" t="s">
        <v>988</v>
      </c>
      <c r="E267" s="6">
        <v>16.503</v>
      </c>
      <c r="F267" s="7">
        <v>5.147355026358843</v>
      </c>
      <c r="G267" s="7">
        <v>6.60997394413137</v>
      </c>
      <c r="H267" s="31">
        <v>89.09580076349754</v>
      </c>
      <c r="I267" s="6"/>
      <c r="J267" s="6"/>
      <c r="K267" s="7"/>
      <c r="L267" s="6"/>
      <c r="M267" s="6"/>
      <c r="N267" s="23"/>
      <c r="O267" s="5"/>
      <c r="P267" s="6"/>
      <c r="Q267" s="6"/>
      <c r="R267" s="6"/>
      <c r="S267" s="6"/>
      <c r="T267" s="6"/>
      <c r="U267" s="6"/>
      <c r="V267" s="5"/>
      <c r="W267" s="6"/>
      <c r="X267" s="6">
        <f>E267*F267/100</f>
      </c>
      <c r="Y267" s="6">
        <f>E267*G267/100</f>
      </c>
      <c r="Z267" s="7">
        <f>E267*H267</f>
      </c>
      <c r="AA267" s="7">
        <f>E267*J267</f>
      </c>
      <c r="AB267" s="6">
        <f>E267*I267/100</f>
      </c>
      <c r="AC267" s="15">
        <f>X267+Y267+AB267</f>
      </c>
      <c r="AD267" s="6">
        <f>F267+G267+I267</f>
      </c>
      <c r="AE267" s="3"/>
      <c r="AF267" s="6">
        <f>SUM(AM267:BC267)</f>
      </c>
      <c r="AG267" s="5">
        <f>IF(SUM(AM267:AO267)&gt;0.7*AF267,1,0)</f>
      </c>
      <c r="AH267" s="5">
        <f>IF(AN267&gt;0.4*AF267,1,0)</f>
      </c>
      <c r="AI267" s="5">
        <f>IF(SUM(AP267:AQ267)&gt;0.3*AF267,1,0)</f>
      </c>
      <c r="AJ267" s="5">
        <f>IF(AQ267&gt;0.2*AF267,1,0)</f>
      </c>
      <c r="AK267" s="5">
        <f>IF(SUM(AR267:BC267)&gt;0.3*AF267,1,0)</f>
      </c>
      <c r="AL267" s="3"/>
      <c r="AM267" s="6">
        <f>(F267/100)*AM$41</f>
      </c>
      <c r="AN267" s="6">
        <f>(G267/100)*AN$41</f>
      </c>
      <c r="AO267" s="6">
        <f>(H267/1000000)*AO$41</f>
      </c>
      <c r="AP267" s="6">
        <f>(I267/100)*AP$41</f>
      </c>
      <c r="AQ267" s="6">
        <f>(J267/1000000)*AQ$41</f>
      </c>
      <c r="AR267" s="6">
        <f>(K267/100)*AR$41</f>
      </c>
      <c r="AS267" s="6">
        <f>(L267/100)*AS$41</f>
      </c>
      <c r="AT267" s="6">
        <f>(M267/100)*AT$41</f>
      </c>
      <c r="AU267" s="6">
        <f>(N267/100)*AU$41</f>
      </c>
      <c r="AV267" s="6">
        <f>(O267/1000000)*AV$41</f>
      </c>
      <c r="AW267" s="6">
        <f>(P267/100)*AW$41</f>
      </c>
      <c r="AX267" s="6">
        <f>(Q267/100)*AX$41</f>
      </c>
      <c r="AY267" s="6">
        <f>(R267/100)*AY$41</f>
      </c>
      <c r="AZ267" s="6">
        <f>(S267/100)*AZ$41</f>
      </c>
      <c r="BA267" s="6">
        <f>(T267/100)*BA$41</f>
      </c>
      <c r="BB267" s="6">
        <f>(U267/100)*BB$41</f>
      </c>
      <c r="BC267" s="6"/>
      <c r="BD267" s="3"/>
      <c r="BE267" s="3"/>
      <c r="BF267" s="7">
        <f>AF267*E267</f>
      </c>
      <c r="BG267" s="6"/>
      <c r="BH267" s="3"/>
      <c r="BI267" s="6"/>
    </row>
    <row x14ac:dyDescent="0.25" r="268" customHeight="1" ht="12.75">
      <c r="A268" s="5" t="s">
        <v>268</v>
      </c>
      <c r="B268" s="3" t="s">
        <v>855</v>
      </c>
      <c r="C268" s="43" t="s">
        <v>866</v>
      </c>
      <c r="D268" s="34" t="s">
        <v>988</v>
      </c>
      <c r="E268" s="6">
        <v>17.24</v>
      </c>
      <c r="F268" s="6">
        <v>4.85</v>
      </c>
      <c r="G268" s="6">
        <v>6.39</v>
      </c>
      <c r="H268" s="6">
        <v>71.6</v>
      </c>
      <c r="I268" s="6"/>
      <c r="J268" s="6">
        <v>0.75</v>
      </c>
      <c r="K268" s="7"/>
      <c r="L268" s="6"/>
      <c r="M268" s="6"/>
      <c r="N268" s="23"/>
      <c r="O268" s="5"/>
      <c r="P268" s="6"/>
      <c r="Q268" s="6"/>
      <c r="R268" s="6"/>
      <c r="S268" s="6"/>
      <c r="T268" s="6"/>
      <c r="U268" s="6"/>
      <c r="V268" s="5"/>
      <c r="W268" s="6"/>
      <c r="X268" s="6">
        <f>E268*F268/100</f>
      </c>
      <c r="Y268" s="6">
        <f>E268*G268/100</f>
      </c>
      <c r="Z268" s="7">
        <f>E268*H268</f>
      </c>
      <c r="AA268" s="7">
        <f>E268*J268</f>
      </c>
      <c r="AB268" s="6">
        <f>E268*I268/100</f>
      </c>
      <c r="AC268" s="15">
        <f>X268+Y268+AB268</f>
      </c>
      <c r="AD268" s="6">
        <f>F268+G268+I268</f>
      </c>
      <c r="AE268" s="3"/>
      <c r="AF268" s="6">
        <f>SUM(AM268:BC268)</f>
      </c>
      <c r="AG268" s="5">
        <f>IF(SUM(AM268:AO268)&gt;0.7*AF268,1,0)</f>
      </c>
      <c r="AH268" s="5">
        <f>IF(AN268&gt;0.4*AF268,1,0)</f>
      </c>
      <c r="AI268" s="5">
        <f>IF(SUM(AP268:AQ268)&gt;0.3*AF268,1,0)</f>
      </c>
      <c r="AJ268" s="5">
        <f>IF(AQ268&gt;0.2*AF268,1,0)</f>
      </c>
      <c r="AK268" s="5">
        <f>IF(SUM(AR268:BC268)&gt;0.3*AF268,1,0)</f>
      </c>
      <c r="AL268" s="3"/>
      <c r="AM268" s="6">
        <f>(F268/100)*AM$41</f>
      </c>
      <c r="AN268" s="6">
        <f>(G268/100)*AN$41</f>
      </c>
      <c r="AO268" s="6">
        <f>(H268/1000000)*AO$41</f>
      </c>
      <c r="AP268" s="6">
        <f>(I268/100)*AP$41</f>
      </c>
      <c r="AQ268" s="6">
        <f>(J268/1000000)*AQ$41</f>
      </c>
      <c r="AR268" s="6">
        <f>(K268/100)*AR$41</f>
      </c>
      <c r="AS268" s="6">
        <f>(L268/100)*AS$41</f>
      </c>
      <c r="AT268" s="6">
        <f>(M268/100)*AT$41</f>
      </c>
      <c r="AU268" s="6">
        <f>(N268/100)*AU$41</f>
      </c>
      <c r="AV268" s="6">
        <f>(O268/1000000)*AV$41</f>
      </c>
      <c r="AW268" s="6">
        <f>(P268/100)*AW$41</f>
      </c>
      <c r="AX268" s="6">
        <f>(Q268/100)*AX$41</f>
      </c>
      <c r="AY268" s="6">
        <f>(R268/100)*AY$41</f>
      </c>
      <c r="AZ268" s="6">
        <f>(S268/100)*AZ$41</f>
      </c>
      <c r="BA268" s="6">
        <f>(T268/100)*BA$41</f>
      </c>
      <c r="BB268" s="6">
        <f>(U268/100)*BB$41</f>
      </c>
      <c r="BC268" s="6"/>
      <c r="BD268" s="3"/>
      <c r="BE268" s="3"/>
      <c r="BF268" s="7">
        <f>AF268*E268</f>
      </c>
      <c r="BG268" s="6"/>
      <c r="BH268" s="3"/>
      <c r="BI268" s="6"/>
    </row>
    <row x14ac:dyDescent="0.25" r="269" customHeight="1" ht="12.75">
      <c r="A269" s="5" t="s">
        <v>166</v>
      </c>
      <c r="B269" s="3" t="s">
        <v>855</v>
      </c>
      <c r="C269" s="43" t="s">
        <v>866</v>
      </c>
      <c r="D269" s="34" t="s">
        <v>988</v>
      </c>
      <c r="E269" s="6">
        <v>14.48</v>
      </c>
      <c r="F269" s="6">
        <v>3.4</v>
      </c>
      <c r="G269" s="6">
        <v>9.9</v>
      </c>
      <c r="H269" s="6">
        <v>19.1</v>
      </c>
      <c r="I269" s="6"/>
      <c r="J269" s="6"/>
      <c r="K269" s="6">
        <v>7.8</v>
      </c>
      <c r="L269" s="6"/>
      <c r="M269" s="6"/>
      <c r="N269" s="23"/>
      <c r="O269" s="5"/>
      <c r="P269" s="6"/>
      <c r="Q269" s="6">
        <v>11.9</v>
      </c>
      <c r="R269" s="6"/>
      <c r="S269" s="6"/>
      <c r="T269" s="6"/>
      <c r="U269" s="6"/>
      <c r="V269" s="5"/>
      <c r="W269" s="6"/>
      <c r="X269" s="6">
        <f>E269*F269/100</f>
      </c>
      <c r="Y269" s="6">
        <f>E269*G269/100</f>
      </c>
      <c r="Z269" s="7">
        <f>E269*H269</f>
      </c>
      <c r="AA269" s="7">
        <f>E269*J269</f>
      </c>
      <c r="AB269" s="6">
        <f>E269*I269/100</f>
      </c>
      <c r="AC269" s="15">
        <f>X269+Y269+AB269</f>
      </c>
      <c r="AD269" s="6">
        <f>F269+G269+I269</f>
      </c>
      <c r="AE269" s="3"/>
      <c r="AF269" s="6">
        <f>SUM(AM269:BC269)</f>
      </c>
      <c r="AG269" s="5">
        <f>IF(SUM(AM269:AO269)&gt;0.7*AF269,1,0)</f>
      </c>
      <c r="AH269" s="5">
        <f>IF(AN269&gt;0.4*AF269,1,0)</f>
      </c>
      <c r="AI269" s="5">
        <f>IF(SUM(AP269:AQ269)&gt;0.3*AF269,1,0)</f>
      </c>
      <c r="AJ269" s="5">
        <f>IF(AQ269&gt;0.2*AF269,1,0)</f>
      </c>
      <c r="AK269" s="5">
        <f>IF(SUM(AR269:BC269)&gt;0.3*AF269,1,0)</f>
      </c>
      <c r="AL269" s="3"/>
      <c r="AM269" s="6">
        <f>(F269/100)*AM$41</f>
      </c>
      <c r="AN269" s="6">
        <f>(G269/100)*AN$41</f>
      </c>
      <c r="AO269" s="6">
        <f>(H269/1000000)*AO$41</f>
      </c>
      <c r="AP269" s="6">
        <f>(I269/100)*AP$41</f>
      </c>
      <c r="AQ269" s="6">
        <f>(J269/1000000)*AQ$41</f>
      </c>
      <c r="AR269" s="6">
        <f>(K269/100)*AR$41</f>
      </c>
      <c r="AS269" s="6">
        <f>(L269/100)*AS$41</f>
      </c>
      <c r="AT269" s="6">
        <f>(M269/100)*AT$41</f>
      </c>
      <c r="AU269" s="6">
        <f>(N269/100)*AU$41</f>
      </c>
      <c r="AV269" s="6">
        <f>(O269/1000000)*AV$41</f>
      </c>
      <c r="AW269" s="6">
        <f>(P269/100)*AW$41</f>
      </c>
      <c r="AX269" s="6">
        <f>(Q269/100)*AX$41</f>
      </c>
      <c r="AY269" s="6">
        <f>(R269/100)*AY$41</f>
      </c>
      <c r="AZ269" s="6">
        <f>(S269/100)*AZ$41</f>
      </c>
      <c r="BA269" s="6">
        <f>(T269/100)*BA$41</f>
      </c>
      <c r="BB269" s="6">
        <f>(U269/100)*BB$41</f>
      </c>
      <c r="BC269" s="6"/>
      <c r="BD269" s="3"/>
      <c r="BE269" s="3"/>
      <c r="BF269" s="7">
        <f>AF269*E269</f>
      </c>
      <c r="BG269" s="6"/>
      <c r="BH269" s="3"/>
      <c r="BI269" s="6"/>
    </row>
    <row x14ac:dyDescent="0.25" r="270" customHeight="1" ht="12.75">
      <c r="A270" s="5" t="s">
        <v>34</v>
      </c>
      <c r="B270" s="3" t="s">
        <v>855</v>
      </c>
      <c r="C270" s="43" t="s">
        <v>866</v>
      </c>
      <c r="D270" s="34" t="s">
        <v>988</v>
      </c>
      <c r="E270" s="6">
        <v>8.11</v>
      </c>
      <c r="F270" s="6">
        <v>9.1</v>
      </c>
      <c r="G270" s="6">
        <v>14.6</v>
      </c>
      <c r="H270" s="5">
        <v>12</v>
      </c>
      <c r="I270" s="6"/>
      <c r="J270" s="6"/>
      <c r="K270" s="7"/>
      <c r="L270" s="6"/>
      <c r="M270" s="6"/>
      <c r="N270" s="23"/>
      <c r="O270" s="5"/>
      <c r="P270" s="6"/>
      <c r="Q270" s="6"/>
      <c r="R270" s="6"/>
      <c r="S270" s="6"/>
      <c r="T270" s="6"/>
      <c r="U270" s="6"/>
      <c r="V270" s="5"/>
      <c r="W270" s="6"/>
      <c r="X270" s="6">
        <f>E270*F270/100</f>
      </c>
      <c r="Y270" s="6">
        <f>E270*G270/100</f>
      </c>
      <c r="Z270" s="7">
        <f>E270*H270</f>
      </c>
      <c r="AA270" s="7">
        <f>E270*J270</f>
      </c>
      <c r="AB270" s="6">
        <f>E270*I270/100</f>
      </c>
      <c r="AC270" s="15">
        <f>X270+Y270+AB270</f>
      </c>
      <c r="AD270" s="6">
        <f>F270+G270+I270</f>
      </c>
      <c r="AE270" s="3"/>
      <c r="AF270" s="6">
        <f>SUM(AM270:BC270)</f>
      </c>
      <c r="AG270" s="5">
        <f>IF(SUM(AM270:AO270)&gt;0.7*AF270,1,0)</f>
      </c>
      <c r="AH270" s="5">
        <f>IF(AN270&gt;0.4*AF270,1,0)</f>
      </c>
      <c r="AI270" s="5">
        <f>IF(SUM(AP270:AQ270)&gt;0.3*AF270,1,0)</f>
      </c>
      <c r="AJ270" s="5">
        <f>IF(AQ270&gt;0.2*AF270,1,0)</f>
      </c>
      <c r="AK270" s="5">
        <f>IF(SUM(AR270:BC270)&gt;0.3*AF270,1,0)</f>
      </c>
      <c r="AL270" s="3"/>
      <c r="AM270" s="6">
        <f>(F270/100)*AM$41</f>
      </c>
      <c r="AN270" s="6">
        <f>(G270/100)*AN$41</f>
      </c>
      <c r="AO270" s="6">
        <f>(H270/1000000)*AO$41</f>
      </c>
      <c r="AP270" s="6">
        <f>(I270/100)*AP$41</f>
      </c>
      <c r="AQ270" s="6">
        <f>(J270/1000000)*AQ$41</f>
      </c>
      <c r="AR270" s="6">
        <f>(K270/100)*AR$41</f>
      </c>
      <c r="AS270" s="6">
        <f>(L270/100)*AS$41</f>
      </c>
      <c r="AT270" s="6">
        <f>(M270/100)*AT$41</f>
      </c>
      <c r="AU270" s="6">
        <f>(N270/100)*AU$41</f>
      </c>
      <c r="AV270" s="6">
        <f>(O270/1000000)*AV$41</f>
      </c>
      <c r="AW270" s="6">
        <f>(P270/100)*AW$41</f>
      </c>
      <c r="AX270" s="6">
        <f>(Q270/100)*AX$41</f>
      </c>
      <c r="AY270" s="6">
        <f>(R270/100)*AY$41</f>
      </c>
      <c r="AZ270" s="6">
        <f>(S270/100)*AZ$41</f>
      </c>
      <c r="BA270" s="6">
        <f>(T270/100)*BA$41</f>
      </c>
      <c r="BB270" s="6">
        <f>(U270/100)*BB$41</f>
      </c>
      <c r="BC270" s="6"/>
      <c r="BD270" s="3"/>
      <c r="BE270" s="3"/>
      <c r="BF270" s="7">
        <f>AF270*E270</f>
      </c>
      <c r="BG270" s="6"/>
      <c r="BH270" s="3"/>
      <c r="BI270" s="6"/>
    </row>
    <row x14ac:dyDescent="0.25" r="271" customHeight="1" ht="12.75">
      <c r="A271" s="5" t="s">
        <v>276</v>
      </c>
      <c r="B271" s="3" t="s">
        <v>855</v>
      </c>
      <c r="C271" s="43" t="s">
        <v>866</v>
      </c>
      <c r="D271" s="34" t="s">
        <v>988</v>
      </c>
      <c r="E271" s="6">
        <v>24.400000000000002</v>
      </c>
      <c r="F271" s="6">
        <v>3.1126229508196723</v>
      </c>
      <c r="G271" s="6">
        <v>4.597090163934427</v>
      </c>
      <c r="H271" s="7">
        <v>61.174180327868854</v>
      </c>
      <c r="I271" s="6"/>
      <c r="J271" s="6"/>
      <c r="K271" s="7"/>
      <c r="L271" s="6"/>
      <c r="M271" s="6"/>
      <c r="N271" s="23"/>
      <c r="O271" s="5"/>
      <c r="P271" s="6"/>
      <c r="Q271" s="6"/>
      <c r="R271" s="6"/>
      <c r="S271" s="6"/>
      <c r="T271" s="6"/>
      <c r="U271" s="6"/>
      <c r="V271" s="5"/>
      <c r="W271" s="6"/>
      <c r="X271" s="6">
        <f>E271*F271/100</f>
      </c>
      <c r="Y271" s="6">
        <f>E271*G271/100</f>
      </c>
      <c r="Z271" s="7">
        <f>E271*H271</f>
      </c>
      <c r="AA271" s="7">
        <f>E271*J271</f>
      </c>
      <c r="AB271" s="6">
        <f>E271*I271/100</f>
      </c>
      <c r="AC271" s="15">
        <f>X271+Y271+AB271</f>
      </c>
      <c r="AD271" s="6">
        <f>F271+G271+I271</f>
      </c>
      <c r="AE271" s="3"/>
      <c r="AF271" s="6">
        <f>SUM(AM271:BC271)</f>
      </c>
      <c r="AG271" s="5">
        <f>IF(SUM(AM271:AO271)&gt;0.7*AF271,1,0)</f>
      </c>
      <c r="AH271" s="5">
        <f>IF(AN271&gt;0.4*AF271,1,0)</f>
      </c>
      <c r="AI271" s="5">
        <f>IF(SUM(AP271:AQ271)&gt;0.3*AF271,1,0)</f>
      </c>
      <c r="AJ271" s="5">
        <f>IF(AQ271&gt;0.2*AF271,1,0)</f>
      </c>
      <c r="AK271" s="5">
        <f>IF(SUM(AR271:BC271)&gt;0.3*AF271,1,0)</f>
      </c>
      <c r="AL271" s="3"/>
      <c r="AM271" s="6">
        <f>(F271/100)*AM$41</f>
      </c>
      <c r="AN271" s="6">
        <f>(G271/100)*AN$41</f>
      </c>
      <c r="AO271" s="6">
        <f>(H271/1000000)*AO$41</f>
      </c>
      <c r="AP271" s="6">
        <f>(I271/100)*AP$41</f>
      </c>
      <c r="AQ271" s="6">
        <f>(J271/1000000)*AQ$41</f>
      </c>
      <c r="AR271" s="6">
        <f>(K271/100)*AR$41</f>
      </c>
      <c r="AS271" s="6">
        <f>(L271/100)*AS$41</f>
      </c>
      <c r="AT271" s="6">
        <f>(M271/100)*AT$41</f>
      </c>
      <c r="AU271" s="6">
        <f>(N271/100)*AU$41</f>
      </c>
      <c r="AV271" s="6">
        <f>(O271/1000000)*AV$41</f>
      </c>
      <c r="AW271" s="6">
        <f>(P271/100)*AW$41</f>
      </c>
      <c r="AX271" s="6">
        <f>(Q271/100)*AX$41</f>
      </c>
      <c r="AY271" s="6">
        <f>(R271/100)*AY$41</f>
      </c>
      <c r="AZ271" s="6">
        <f>(S271/100)*AZ$41</f>
      </c>
      <c r="BA271" s="6">
        <f>(T271/100)*BA$41</f>
      </c>
      <c r="BB271" s="6">
        <f>(U271/100)*BB$41</f>
      </c>
      <c r="BC271" s="6"/>
      <c r="BD271" s="3"/>
      <c r="BE271" s="3"/>
      <c r="BF271" s="7">
        <f>AF271*E271</f>
      </c>
      <c r="BG271" s="6"/>
      <c r="BH271" s="3"/>
      <c r="BI271" s="6"/>
    </row>
    <row x14ac:dyDescent="0.25" r="272" customHeight="1" ht="12.75">
      <c r="A272" s="5" t="s">
        <v>278</v>
      </c>
      <c r="B272" s="3" t="s">
        <v>855</v>
      </c>
      <c r="C272" s="43" t="s">
        <v>866</v>
      </c>
      <c r="D272" s="34" t="s">
        <v>988</v>
      </c>
      <c r="E272" s="6">
        <v>18.53</v>
      </c>
      <c r="F272" s="6">
        <v>3.438629249865084</v>
      </c>
      <c r="G272" s="6">
        <v>6.669249865083647</v>
      </c>
      <c r="H272" s="6">
        <v>3.438629249865084</v>
      </c>
      <c r="I272" s="6"/>
      <c r="J272" s="6"/>
      <c r="K272" s="7"/>
      <c r="L272" s="6"/>
      <c r="M272" s="6"/>
      <c r="N272" s="23"/>
      <c r="O272" s="5"/>
      <c r="P272" s="6"/>
      <c r="Q272" s="6"/>
      <c r="R272" s="6"/>
      <c r="S272" s="6"/>
      <c r="T272" s="6"/>
      <c r="U272" s="6"/>
      <c r="V272" s="5"/>
      <c r="W272" s="6"/>
      <c r="X272" s="6">
        <f>E272*F272/100</f>
      </c>
      <c r="Y272" s="6">
        <f>E272*G272/100</f>
      </c>
      <c r="Z272" s="7">
        <f>E272*H272</f>
      </c>
      <c r="AA272" s="7">
        <f>E272*J272</f>
      </c>
      <c r="AB272" s="6">
        <f>E272*I272/100</f>
      </c>
      <c r="AC272" s="15">
        <f>X272+Y272+AB272</f>
      </c>
      <c r="AD272" s="6">
        <f>F272+G272+I272</f>
      </c>
      <c r="AE272" s="3"/>
      <c r="AF272" s="6">
        <f>SUM(AM272:BC272)</f>
      </c>
      <c r="AG272" s="5">
        <f>IF(SUM(AM272:AO272)&gt;0.7*AF272,1,0)</f>
      </c>
      <c r="AH272" s="5">
        <f>IF(AN272&gt;0.4*AF272,1,0)</f>
      </c>
      <c r="AI272" s="5">
        <f>IF(SUM(AP272:AQ272)&gt;0.3*AF272,1,0)</f>
      </c>
      <c r="AJ272" s="5">
        <f>IF(AQ272&gt;0.2*AF272,1,0)</f>
      </c>
      <c r="AK272" s="5">
        <f>IF(SUM(AR272:BC272)&gt;0.3*AF272,1,0)</f>
      </c>
      <c r="AL272" s="3"/>
      <c r="AM272" s="6">
        <f>(F272/100)*AM$41</f>
      </c>
      <c r="AN272" s="6">
        <f>(G272/100)*AN$41</f>
      </c>
      <c r="AO272" s="6">
        <f>(H272/1000000)*AO$41</f>
      </c>
      <c r="AP272" s="6">
        <f>(I272/100)*AP$41</f>
      </c>
      <c r="AQ272" s="6">
        <f>(J272/1000000)*AQ$41</f>
      </c>
      <c r="AR272" s="6">
        <f>(K272/100)*AR$41</f>
      </c>
      <c r="AS272" s="6">
        <f>(L272/100)*AS$41</f>
      </c>
      <c r="AT272" s="6">
        <f>(M272/100)*AT$41</f>
      </c>
      <c r="AU272" s="6">
        <f>(N272/100)*AU$41</f>
      </c>
      <c r="AV272" s="6">
        <f>(O272/1000000)*AV$41</f>
      </c>
      <c r="AW272" s="6">
        <f>(P272/100)*AW$41</f>
      </c>
      <c r="AX272" s="6">
        <f>(Q272/100)*AX$41</f>
      </c>
      <c r="AY272" s="6">
        <f>(R272/100)*AY$41</f>
      </c>
      <c r="AZ272" s="6">
        <f>(S272/100)*AZ$41</f>
      </c>
      <c r="BA272" s="6">
        <f>(T272/100)*BA$41</f>
      </c>
      <c r="BB272" s="6">
        <f>(U272/100)*BB$41</f>
      </c>
      <c r="BC272" s="6"/>
      <c r="BD272" s="3"/>
      <c r="BE272" s="3"/>
      <c r="BF272" s="7">
        <f>AF272*E272</f>
      </c>
      <c r="BG272" s="6"/>
      <c r="BH272" s="3"/>
      <c r="BI272" s="6"/>
    </row>
    <row x14ac:dyDescent="0.25" r="273" customHeight="1" ht="12.75">
      <c r="A273" s="5" t="s">
        <v>311</v>
      </c>
      <c r="B273" s="3" t="s">
        <v>855</v>
      </c>
      <c r="C273" s="43" t="s">
        <v>866</v>
      </c>
      <c r="D273" s="34" t="s">
        <v>989</v>
      </c>
      <c r="E273" s="6">
        <v>347.767739</v>
      </c>
      <c r="F273" s="6">
        <v>0.09</v>
      </c>
      <c r="G273" s="6">
        <v>0.37</v>
      </c>
      <c r="H273" s="7"/>
      <c r="I273" s="6"/>
      <c r="J273" s="6"/>
      <c r="K273" s="7"/>
      <c r="L273" s="6"/>
      <c r="M273" s="6"/>
      <c r="N273" s="23"/>
      <c r="O273" s="5"/>
      <c r="P273" s="6"/>
      <c r="Q273" s="6"/>
      <c r="R273" s="6"/>
      <c r="S273" s="6"/>
      <c r="T273" s="6"/>
      <c r="U273" s="6"/>
      <c r="V273" s="5"/>
      <c r="W273" s="6"/>
      <c r="X273" s="6">
        <f>E273*F273/100</f>
      </c>
      <c r="Y273" s="6">
        <f>E273*G273/100</f>
      </c>
      <c r="Z273" s="7">
        <f>E273*H273</f>
      </c>
      <c r="AA273" s="7">
        <f>E273*J273</f>
      </c>
      <c r="AB273" s="6">
        <f>E273*I273/100</f>
      </c>
      <c r="AC273" s="15">
        <f>X273+Y273+AB273</f>
      </c>
      <c r="AD273" s="6">
        <f>F273+G273+I273</f>
      </c>
      <c r="AE273" s="3"/>
      <c r="AF273" s="6">
        <f>SUM(AM273:BC273)</f>
      </c>
      <c r="AG273" s="5">
        <f>IF(SUM(AM273:AO273)&gt;0.7*AF273,1,0)</f>
      </c>
      <c r="AH273" s="5">
        <f>IF(AN273&gt;0.4*AF273,1,0)</f>
      </c>
      <c r="AI273" s="5">
        <f>IF(SUM(AP273:AQ273)&gt;0.3*AF273,1,0)</f>
      </c>
      <c r="AJ273" s="5">
        <f>IF(AQ273&gt;0.2*AF273,1,0)</f>
      </c>
      <c r="AK273" s="5">
        <f>IF(SUM(AR273:BC273)&gt;0.3*AF273,1,0)</f>
      </c>
      <c r="AL273" s="3"/>
      <c r="AM273" s="6">
        <f>(F273/100)*AM$41</f>
      </c>
      <c r="AN273" s="6">
        <f>(G273/100)*AN$41</f>
      </c>
      <c r="AO273" s="6">
        <f>(H273/1000000)*AO$41</f>
      </c>
      <c r="AP273" s="6">
        <f>(I273/100)*AP$41</f>
      </c>
      <c r="AQ273" s="6">
        <f>(J273/1000000)*AQ$41</f>
      </c>
      <c r="AR273" s="6">
        <f>(K273/100)*AR$41</f>
      </c>
      <c r="AS273" s="6">
        <f>(L273/100)*AS$41</f>
      </c>
      <c r="AT273" s="6">
        <f>(M273/100)*AT$41</f>
      </c>
      <c r="AU273" s="6">
        <f>(N273/100)*AU$41</f>
      </c>
      <c r="AV273" s="6">
        <f>(O273/1000000)*AV$41</f>
      </c>
      <c r="AW273" s="6">
        <f>(P273/100)*AW$41</f>
      </c>
      <c r="AX273" s="6">
        <f>(Q273/100)*AX$41</f>
      </c>
      <c r="AY273" s="6">
        <f>(R273/100)*AY$41</f>
      </c>
      <c r="AZ273" s="6">
        <f>(S273/100)*AZ$41</f>
      </c>
      <c r="BA273" s="6">
        <f>(T273/100)*BA$41</f>
      </c>
      <c r="BB273" s="6">
        <f>(U273/100)*BB$41</f>
      </c>
      <c r="BC273" s="6"/>
      <c r="BD273" s="3"/>
      <c r="BE273" s="3"/>
      <c r="BF273" s="7">
        <f>AF273*E273</f>
      </c>
      <c r="BG273" s="6"/>
      <c r="BH273" s="3"/>
      <c r="BI273" s="6"/>
    </row>
    <row x14ac:dyDescent="0.25" r="274" customHeight="1" ht="12.75">
      <c r="A274" s="5" t="s">
        <v>312</v>
      </c>
      <c r="B274" s="3" t="s">
        <v>855</v>
      </c>
      <c r="C274" s="43" t="s">
        <v>866</v>
      </c>
      <c r="D274" s="34" t="s">
        <v>989</v>
      </c>
      <c r="E274" s="6">
        <v>21.2</v>
      </c>
      <c r="F274" s="6">
        <v>1.54</v>
      </c>
      <c r="G274" s="6">
        <v>5.88</v>
      </c>
      <c r="H274" s="7"/>
      <c r="I274" s="6"/>
      <c r="J274" s="6"/>
      <c r="K274" s="7"/>
      <c r="L274" s="6"/>
      <c r="M274" s="6"/>
      <c r="N274" s="23"/>
      <c r="O274" s="5"/>
      <c r="P274" s="6"/>
      <c r="Q274" s="6"/>
      <c r="R274" s="6"/>
      <c r="S274" s="6"/>
      <c r="T274" s="6"/>
      <c r="U274" s="6"/>
      <c r="V274" s="5"/>
      <c r="W274" s="6"/>
      <c r="X274" s="6">
        <f>E274*F274/100</f>
      </c>
      <c r="Y274" s="6">
        <f>E274*G274/100</f>
      </c>
      <c r="Z274" s="7">
        <f>E274*H274</f>
      </c>
      <c r="AA274" s="7">
        <f>E274*J274</f>
      </c>
      <c r="AB274" s="6">
        <f>E274*I274/100</f>
      </c>
      <c r="AC274" s="15">
        <f>X274+Y274+AB274</f>
      </c>
      <c r="AD274" s="6">
        <f>F274+G274+I274</f>
      </c>
      <c r="AE274" s="3"/>
      <c r="AF274" s="6">
        <f>SUM(AM274:BC274)</f>
      </c>
      <c r="AG274" s="5">
        <f>IF(SUM(AM274:AO274)&gt;0.7*AF274,1,0)</f>
      </c>
      <c r="AH274" s="5">
        <f>IF(AN274&gt;0.4*AF274,1,0)</f>
      </c>
      <c r="AI274" s="5">
        <f>IF(SUM(AP274:AQ274)&gt;0.3*AF274,1,0)</f>
      </c>
      <c r="AJ274" s="5">
        <f>IF(AQ274&gt;0.2*AF274,1,0)</f>
      </c>
      <c r="AK274" s="5">
        <f>IF(SUM(AR274:BC274)&gt;0.3*AF274,1,0)</f>
      </c>
      <c r="AL274" s="3"/>
      <c r="AM274" s="6">
        <f>(F274/100)*AM$41</f>
      </c>
      <c r="AN274" s="6">
        <f>(G274/100)*AN$41</f>
      </c>
      <c r="AO274" s="6">
        <f>(H274/1000000)*AO$41</f>
      </c>
      <c r="AP274" s="6">
        <f>(I274/100)*AP$41</f>
      </c>
      <c r="AQ274" s="6">
        <f>(J274/1000000)*AQ$41</f>
      </c>
      <c r="AR274" s="6">
        <f>(K274/100)*AR$41</f>
      </c>
      <c r="AS274" s="6">
        <f>(L274/100)*AS$41</f>
      </c>
      <c r="AT274" s="6">
        <f>(M274/100)*AT$41</f>
      </c>
      <c r="AU274" s="6">
        <f>(N274/100)*AU$41</f>
      </c>
      <c r="AV274" s="6">
        <f>(O274/1000000)*AV$41</f>
      </c>
      <c r="AW274" s="6">
        <f>(P274/100)*AW$41</f>
      </c>
      <c r="AX274" s="6">
        <f>(Q274/100)*AX$41</f>
      </c>
      <c r="AY274" s="6">
        <f>(R274/100)*AY$41</f>
      </c>
      <c r="AZ274" s="6">
        <f>(S274/100)*AZ$41</f>
      </c>
      <c r="BA274" s="6">
        <f>(T274/100)*BA$41</f>
      </c>
      <c r="BB274" s="6">
        <f>(U274/100)*BB$41</f>
      </c>
      <c r="BC274" s="6"/>
      <c r="BD274" s="3"/>
      <c r="BE274" s="3"/>
      <c r="BF274" s="7">
        <f>AF274*E274</f>
      </c>
      <c r="BG274" s="6"/>
      <c r="BH274" s="3"/>
      <c r="BI274" s="6"/>
    </row>
    <row x14ac:dyDescent="0.25" r="275" customHeight="1" ht="12.75">
      <c r="A275" s="5" t="s">
        <v>196</v>
      </c>
      <c r="B275" s="3" t="s">
        <v>855</v>
      </c>
      <c r="C275" s="43" t="s">
        <v>866</v>
      </c>
      <c r="D275" s="34" t="s">
        <v>989</v>
      </c>
      <c r="E275" s="6">
        <v>11.850000000000001</v>
      </c>
      <c r="F275" s="6">
        <v>1.3441940928270042</v>
      </c>
      <c r="G275" s="6">
        <v>11.31628691983122</v>
      </c>
      <c r="H275" s="7">
        <v>13.61502109704641</v>
      </c>
      <c r="I275" s="6"/>
      <c r="J275" s="6"/>
      <c r="K275" s="7"/>
      <c r="L275" s="6"/>
      <c r="M275" s="6"/>
      <c r="N275" s="23"/>
      <c r="O275" s="5"/>
      <c r="P275" s="6"/>
      <c r="Q275" s="6"/>
      <c r="R275" s="6"/>
      <c r="S275" s="6"/>
      <c r="T275" s="6"/>
      <c r="U275" s="6"/>
      <c r="V275" s="5"/>
      <c r="W275" s="6"/>
      <c r="X275" s="6">
        <f>E275*F275/100</f>
      </c>
      <c r="Y275" s="6">
        <f>E275*G275/100</f>
      </c>
      <c r="Z275" s="7">
        <f>E275*H275</f>
      </c>
      <c r="AA275" s="7">
        <f>E275*J275</f>
      </c>
      <c r="AB275" s="6">
        <f>E275*I275/100</f>
      </c>
      <c r="AC275" s="15">
        <f>X275+Y275+AB275</f>
      </c>
      <c r="AD275" s="6">
        <f>F275+G275+I275</f>
      </c>
      <c r="AE275" s="3"/>
      <c r="AF275" s="6">
        <f>SUM(AM275:BC275)</f>
      </c>
      <c r="AG275" s="5">
        <f>IF(SUM(AM275:AO275)&gt;0.7*AF275,1,0)</f>
      </c>
      <c r="AH275" s="5">
        <f>IF(AN275&gt;0.4*AF275,1,0)</f>
      </c>
      <c r="AI275" s="5">
        <f>IF(SUM(AP275:AQ275)&gt;0.3*AF275,1,0)</f>
      </c>
      <c r="AJ275" s="5">
        <f>IF(AQ275&gt;0.2*AF275,1,0)</f>
      </c>
      <c r="AK275" s="5">
        <f>IF(SUM(AR275:BC275)&gt;0.3*AF275,1,0)</f>
      </c>
      <c r="AL275" s="3"/>
      <c r="AM275" s="6">
        <f>(F275/100)*AM$41</f>
      </c>
      <c r="AN275" s="6">
        <f>(G275/100)*AN$41</f>
      </c>
      <c r="AO275" s="6">
        <f>(H275/1000000)*AO$41</f>
      </c>
      <c r="AP275" s="6">
        <f>(I275/100)*AP$41</f>
      </c>
      <c r="AQ275" s="6">
        <f>(J275/1000000)*AQ$41</f>
      </c>
      <c r="AR275" s="6">
        <f>(K275/100)*AR$41</f>
      </c>
      <c r="AS275" s="6">
        <f>(L275/100)*AS$41</f>
      </c>
      <c r="AT275" s="6">
        <f>(M275/100)*AT$41</f>
      </c>
      <c r="AU275" s="6">
        <f>(N275/100)*AU$41</f>
      </c>
      <c r="AV275" s="6">
        <f>(O275/1000000)*AV$41</f>
      </c>
      <c r="AW275" s="6">
        <f>(P275/100)*AW$41</f>
      </c>
      <c r="AX275" s="6">
        <f>(Q275/100)*AX$41</f>
      </c>
      <c r="AY275" s="6">
        <f>(R275/100)*AY$41</f>
      </c>
      <c r="AZ275" s="6">
        <f>(S275/100)*AZ$41</f>
      </c>
      <c r="BA275" s="6">
        <f>(T275/100)*BA$41</f>
      </c>
      <c r="BB275" s="6">
        <f>(U275/100)*BB$41</f>
      </c>
      <c r="BC275" s="6"/>
      <c r="BD275" s="3"/>
      <c r="BE275" s="3"/>
      <c r="BF275" s="7">
        <f>AF275*E275</f>
      </c>
      <c r="BG275" s="6"/>
      <c r="BH275" s="3"/>
      <c r="BI275" s="6"/>
    </row>
    <row x14ac:dyDescent="0.25" r="276" customHeight="1" ht="12.75">
      <c r="A276" s="5" t="s">
        <v>327</v>
      </c>
      <c r="B276" s="3" t="s">
        <v>855</v>
      </c>
      <c r="C276" s="43" t="s">
        <v>866</v>
      </c>
      <c r="D276" s="34"/>
      <c r="E276" s="7">
        <v>46</v>
      </c>
      <c r="F276" s="6">
        <v>2.715478260869565</v>
      </c>
      <c r="G276" s="6">
        <v>0.5404347826086956</v>
      </c>
      <c r="H276" s="7"/>
      <c r="I276" s="6"/>
      <c r="J276" s="6"/>
      <c r="K276" s="7"/>
      <c r="L276" s="6"/>
      <c r="M276" s="6"/>
      <c r="N276" s="23"/>
      <c r="O276" s="5"/>
      <c r="P276" s="6"/>
      <c r="Q276" s="6"/>
      <c r="R276" s="6"/>
      <c r="S276" s="6"/>
      <c r="T276" s="6"/>
      <c r="U276" s="6"/>
      <c r="V276" s="5"/>
      <c r="W276" s="6"/>
      <c r="X276" s="6">
        <f>E276*F276/100</f>
      </c>
      <c r="Y276" s="6">
        <f>E276*G276/100</f>
      </c>
      <c r="Z276" s="7">
        <f>E276*H276</f>
      </c>
      <c r="AA276" s="7">
        <f>E276*J276</f>
      </c>
      <c r="AB276" s="6">
        <f>E276*I276/100</f>
      </c>
      <c r="AC276" s="15">
        <f>X276+Y276+AB276</f>
      </c>
      <c r="AD276" s="6">
        <f>F276+G276+I276</f>
      </c>
      <c r="AE276" s="3"/>
      <c r="AF276" s="6">
        <f>SUM(AM276:BC276)</f>
      </c>
      <c r="AG276" s="5">
        <f>IF(SUM(AM276:AO276)&gt;0.7*AF276,1,0)</f>
      </c>
      <c r="AH276" s="5">
        <f>IF(AN276&gt;0.4*AF276,1,0)</f>
      </c>
      <c r="AI276" s="5">
        <f>IF(SUM(AP276:AQ276)&gt;0.3*AF276,1,0)</f>
      </c>
      <c r="AJ276" s="5">
        <f>IF(AQ276&gt;0.2*AF276,1,0)</f>
      </c>
      <c r="AK276" s="5">
        <f>IF(SUM(AR276:BC276)&gt;0.3*AF276,1,0)</f>
      </c>
      <c r="AL276" s="3"/>
      <c r="AM276" s="6">
        <f>(F276/100)*AM$41</f>
      </c>
      <c r="AN276" s="6">
        <f>(G276/100)*AN$41</f>
      </c>
      <c r="AO276" s="6">
        <f>(H276/1000000)*AO$41</f>
      </c>
      <c r="AP276" s="6">
        <f>(I276/100)*AP$41</f>
      </c>
      <c r="AQ276" s="6">
        <f>(J276/1000000)*AQ$41</f>
      </c>
      <c r="AR276" s="6">
        <f>(K276/100)*AR$41</f>
      </c>
      <c r="AS276" s="6">
        <f>(L276/100)*AS$41</f>
      </c>
      <c r="AT276" s="6">
        <f>(M276/100)*AT$41</f>
      </c>
      <c r="AU276" s="6">
        <f>(N276/100)*AU$41</f>
      </c>
      <c r="AV276" s="6">
        <f>(O276/1000000)*AV$41</f>
      </c>
      <c r="AW276" s="6">
        <f>(P276/100)*AW$41</f>
      </c>
      <c r="AX276" s="6">
        <f>(Q276/100)*AX$41</f>
      </c>
      <c r="AY276" s="6">
        <f>(R276/100)*AY$41</f>
      </c>
      <c r="AZ276" s="6">
        <f>(S276/100)*AZ$41</f>
      </c>
      <c r="BA276" s="6">
        <f>(T276/100)*BA$41</f>
      </c>
      <c r="BB276" s="6">
        <f>(U276/100)*BB$41</f>
      </c>
      <c r="BC276" s="6"/>
      <c r="BD276" s="3"/>
      <c r="BE276" s="3"/>
      <c r="BF276" s="7">
        <f>AF276*E276</f>
      </c>
      <c r="BG276" s="6"/>
      <c r="BH276" s="3"/>
      <c r="BI276" s="6"/>
    </row>
    <row x14ac:dyDescent="0.25" r="277" customHeight="1" ht="12.75">
      <c r="A277" s="5" t="s">
        <v>341</v>
      </c>
      <c r="B277" s="3" t="s">
        <v>855</v>
      </c>
      <c r="C277" s="43" t="s">
        <v>866</v>
      </c>
      <c r="D277" s="34" t="s">
        <v>988</v>
      </c>
      <c r="E277" s="6">
        <v>25.9</v>
      </c>
      <c r="F277" s="6">
        <v>2.659073359073359</v>
      </c>
      <c r="G277" s="6">
        <v>2.6245173745173744</v>
      </c>
      <c r="H277" s="7"/>
      <c r="I277" s="6"/>
      <c r="J277" s="6"/>
      <c r="K277" s="7"/>
      <c r="L277" s="6"/>
      <c r="M277" s="6"/>
      <c r="N277" s="23"/>
      <c r="O277" s="5"/>
      <c r="P277" s="6"/>
      <c r="Q277" s="6"/>
      <c r="R277" s="6"/>
      <c r="S277" s="6"/>
      <c r="T277" s="6"/>
      <c r="U277" s="6"/>
      <c r="V277" s="5"/>
      <c r="W277" s="6"/>
      <c r="X277" s="6">
        <f>E277*F277/100</f>
      </c>
      <c r="Y277" s="6">
        <f>E277*G277/100</f>
      </c>
      <c r="Z277" s="7">
        <f>E277*H277</f>
      </c>
      <c r="AA277" s="7">
        <f>E277*J277</f>
      </c>
      <c r="AB277" s="6">
        <f>E277*I277/100</f>
      </c>
      <c r="AC277" s="15">
        <f>X277+Y277+AB277</f>
      </c>
      <c r="AD277" s="6">
        <f>F277+G277+I277</f>
      </c>
      <c r="AE277" s="3"/>
      <c r="AF277" s="6">
        <f>SUM(AM277:BC277)</f>
      </c>
      <c r="AG277" s="5">
        <f>IF(SUM(AM277:AO277)&gt;0.7*AF277,1,0)</f>
      </c>
      <c r="AH277" s="5">
        <f>IF(AN277&gt;0.4*AF277,1,0)</f>
      </c>
      <c r="AI277" s="5">
        <f>IF(SUM(AP277:AQ277)&gt;0.3*AF277,1,0)</f>
      </c>
      <c r="AJ277" s="5">
        <f>IF(AQ277&gt;0.2*AF277,1,0)</f>
      </c>
      <c r="AK277" s="5">
        <f>IF(SUM(AR277:BC277)&gt;0.3*AF277,1,0)</f>
      </c>
      <c r="AL277" s="3"/>
      <c r="AM277" s="6">
        <f>(F277/100)*AM$41</f>
      </c>
      <c r="AN277" s="6">
        <f>(G277/100)*AN$41</f>
      </c>
      <c r="AO277" s="6">
        <f>(H277/1000000)*AO$41</f>
      </c>
      <c r="AP277" s="6">
        <f>(I277/100)*AP$41</f>
      </c>
      <c r="AQ277" s="6">
        <f>(J277/1000000)*AQ$41</f>
      </c>
      <c r="AR277" s="6">
        <f>(K277/100)*AR$41</f>
      </c>
      <c r="AS277" s="6">
        <f>(L277/100)*AS$41</f>
      </c>
      <c r="AT277" s="6">
        <f>(M277/100)*AT$41</f>
      </c>
      <c r="AU277" s="6">
        <f>(N277/100)*AU$41</f>
      </c>
      <c r="AV277" s="6">
        <f>(O277/1000000)*AV$41</f>
      </c>
      <c r="AW277" s="6">
        <f>(P277/100)*AW$41</f>
      </c>
      <c r="AX277" s="6">
        <f>(Q277/100)*AX$41</f>
      </c>
      <c r="AY277" s="6">
        <f>(R277/100)*AY$41</f>
      </c>
      <c r="AZ277" s="6">
        <f>(S277/100)*AZ$41</f>
      </c>
      <c r="BA277" s="6">
        <f>(T277/100)*BA$41</f>
      </c>
      <c r="BB277" s="6">
        <f>(U277/100)*BB$41</f>
      </c>
      <c r="BC277" s="6"/>
      <c r="BD277" s="3"/>
      <c r="BE277" s="3"/>
      <c r="BF277" s="7">
        <f>AF277*E277</f>
      </c>
      <c r="BG277" s="6"/>
      <c r="BH277" s="3"/>
      <c r="BI277" s="6"/>
    </row>
    <row x14ac:dyDescent="0.25" r="278" customHeight="1" ht="12.75">
      <c r="A278" s="5" t="s">
        <v>284</v>
      </c>
      <c r="B278" s="3" t="s">
        <v>855</v>
      </c>
      <c r="C278" s="43" t="s">
        <v>866</v>
      </c>
      <c r="D278" s="34" t="s">
        <v>988</v>
      </c>
      <c r="E278" s="6">
        <v>12.46</v>
      </c>
      <c r="F278" s="6">
        <v>4.365425361155698</v>
      </c>
      <c r="G278" s="6">
        <v>6.574237560192617</v>
      </c>
      <c r="H278" s="6">
        <v>4.365425361155698</v>
      </c>
      <c r="I278" s="6"/>
      <c r="J278" s="6"/>
      <c r="K278" s="7"/>
      <c r="L278" s="6"/>
      <c r="M278" s="6"/>
      <c r="N278" s="23"/>
      <c r="O278" s="5"/>
      <c r="P278" s="6"/>
      <c r="Q278" s="6"/>
      <c r="R278" s="6"/>
      <c r="S278" s="6"/>
      <c r="T278" s="6"/>
      <c r="U278" s="6"/>
      <c r="V278" s="5"/>
      <c r="W278" s="6"/>
      <c r="X278" s="6">
        <f>E278*F278/100</f>
      </c>
      <c r="Y278" s="6">
        <f>E278*G278/100</f>
      </c>
      <c r="Z278" s="7">
        <f>E278*H278</f>
      </c>
      <c r="AA278" s="7">
        <f>E278*J278</f>
      </c>
      <c r="AB278" s="6">
        <f>E278*I278/100</f>
      </c>
      <c r="AC278" s="15">
        <f>X278+Y278+AB278</f>
      </c>
      <c r="AD278" s="6">
        <f>F278+G278+I278</f>
      </c>
      <c r="AE278" s="3"/>
      <c r="AF278" s="6">
        <f>SUM(AM278:BC278)</f>
      </c>
      <c r="AG278" s="5">
        <f>IF(SUM(AM278:AO278)&gt;0.7*AF278,1,0)</f>
      </c>
      <c r="AH278" s="5">
        <f>IF(AN278&gt;0.4*AF278,1,0)</f>
      </c>
      <c r="AI278" s="5">
        <f>IF(SUM(AP278:AQ278)&gt;0.3*AF278,1,0)</f>
      </c>
      <c r="AJ278" s="5">
        <f>IF(AQ278&gt;0.2*AF278,1,0)</f>
      </c>
      <c r="AK278" s="5">
        <f>IF(SUM(AR278:BC278)&gt;0.3*AF278,1,0)</f>
      </c>
      <c r="AL278" s="3"/>
      <c r="AM278" s="6">
        <f>(F278/100)*AM$41</f>
      </c>
      <c r="AN278" s="6">
        <f>(G278/100)*AN$41</f>
      </c>
      <c r="AO278" s="6">
        <f>(H278/1000000)*AO$41</f>
      </c>
      <c r="AP278" s="6">
        <f>(I278/100)*AP$41</f>
      </c>
      <c r="AQ278" s="6">
        <f>(J278/1000000)*AQ$41</f>
      </c>
      <c r="AR278" s="6">
        <f>(K278/100)*AR$41</f>
      </c>
      <c r="AS278" s="6">
        <f>(L278/100)*AS$41</f>
      </c>
      <c r="AT278" s="6">
        <f>(M278/100)*AT$41</f>
      </c>
      <c r="AU278" s="6">
        <f>(N278/100)*AU$41</f>
      </c>
      <c r="AV278" s="6">
        <f>(O278/1000000)*AV$41</f>
      </c>
      <c r="AW278" s="6">
        <f>(P278/100)*AW$41</f>
      </c>
      <c r="AX278" s="6">
        <f>(Q278/100)*AX$41</f>
      </c>
      <c r="AY278" s="6">
        <f>(R278/100)*AY$41</f>
      </c>
      <c r="AZ278" s="6">
        <f>(S278/100)*AZ$41</f>
      </c>
      <c r="BA278" s="6">
        <f>(T278/100)*BA$41</f>
      </c>
      <c r="BB278" s="6">
        <f>(U278/100)*BB$41</f>
      </c>
      <c r="BC278" s="6"/>
      <c r="BD278" s="3"/>
      <c r="BE278" s="3"/>
      <c r="BF278" s="7">
        <f>AF278*E278</f>
      </c>
      <c r="BG278" s="6"/>
      <c r="BH278" s="3"/>
      <c r="BI278" s="6"/>
    </row>
    <row x14ac:dyDescent="0.25" r="279" customHeight="1" ht="12.75">
      <c r="A279" s="5" t="s">
        <v>346</v>
      </c>
      <c r="B279" s="3" t="s">
        <v>855</v>
      </c>
      <c r="C279" s="43" t="s">
        <v>866</v>
      </c>
      <c r="D279" s="34" t="s">
        <v>988</v>
      </c>
      <c r="E279" s="6">
        <v>14.620000000000001</v>
      </c>
      <c r="F279" s="6">
        <v>1.6361969904240765</v>
      </c>
      <c r="G279" s="7">
        <v>7.616484268125855</v>
      </c>
      <c r="H279" s="31">
        <v>37.663474692202456</v>
      </c>
      <c r="I279" s="6"/>
      <c r="J279" s="6"/>
      <c r="K279" s="7"/>
      <c r="L279" s="6"/>
      <c r="M279" s="6"/>
      <c r="N279" s="23"/>
      <c r="O279" s="5"/>
      <c r="P279" s="6"/>
      <c r="Q279" s="6"/>
      <c r="R279" s="6"/>
      <c r="S279" s="6"/>
      <c r="T279" s="6"/>
      <c r="U279" s="6"/>
      <c r="V279" s="5"/>
      <c r="W279" s="6"/>
      <c r="X279" s="6">
        <f>E279*F279/100</f>
      </c>
      <c r="Y279" s="6">
        <f>E279*G279/100</f>
      </c>
      <c r="Z279" s="7">
        <f>E279*H279</f>
      </c>
      <c r="AA279" s="7">
        <f>E279*J279</f>
      </c>
      <c r="AB279" s="6">
        <f>E279*I279/100</f>
      </c>
      <c r="AC279" s="15">
        <f>X279+Y279+AB279</f>
      </c>
      <c r="AD279" s="6">
        <f>F279+G279+I279</f>
      </c>
      <c r="AE279" s="3"/>
      <c r="AF279" s="6">
        <f>SUM(AM279:BC279)</f>
      </c>
      <c r="AG279" s="5">
        <f>IF(SUM(AM279:AO279)&gt;0.7*AF279,1,0)</f>
      </c>
      <c r="AH279" s="5">
        <f>IF(AN279&gt;0.4*AF279,1,0)</f>
      </c>
      <c r="AI279" s="5">
        <f>IF(SUM(AP279:AQ279)&gt;0.3*AF279,1,0)</f>
      </c>
      <c r="AJ279" s="5">
        <f>IF(AQ279&gt;0.2*AF279,1,0)</f>
      </c>
      <c r="AK279" s="5">
        <f>IF(SUM(AR279:BC279)&gt;0.3*AF279,1,0)</f>
      </c>
      <c r="AL279" s="3"/>
      <c r="AM279" s="6">
        <f>(F279/100)*AM$41</f>
      </c>
      <c r="AN279" s="6">
        <f>(G279/100)*AN$41</f>
      </c>
      <c r="AO279" s="6">
        <f>(H279/1000000)*AO$41</f>
      </c>
      <c r="AP279" s="6">
        <f>(I279/100)*AP$41</f>
      </c>
      <c r="AQ279" s="6">
        <f>(J279/1000000)*AQ$41</f>
      </c>
      <c r="AR279" s="6">
        <f>(K279/100)*AR$41</f>
      </c>
      <c r="AS279" s="6">
        <f>(L279/100)*AS$41</f>
      </c>
      <c r="AT279" s="6">
        <f>(M279/100)*AT$41</f>
      </c>
      <c r="AU279" s="6">
        <f>(N279/100)*AU$41</f>
      </c>
      <c r="AV279" s="6">
        <f>(O279/1000000)*AV$41</f>
      </c>
      <c r="AW279" s="6">
        <f>(P279/100)*AW$41</f>
      </c>
      <c r="AX279" s="6">
        <f>(Q279/100)*AX$41</f>
      </c>
      <c r="AY279" s="6">
        <f>(R279/100)*AY$41</f>
      </c>
      <c r="AZ279" s="6">
        <f>(S279/100)*AZ$41</f>
      </c>
      <c r="BA279" s="6">
        <f>(T279/100)*BA$41</f>
      </c>
      <c r="BB279" s="6">
        <f>(U279/100)*BB$41</f>
      </c>
      <c r="BC279" s="6"/>
      <c r="BD279" s="3"/>
      <c r="BE279" s="3"/>
      <c r="BF279" s="7">
        <f>AF279*E279</f>
      </c>
      <c r="BG279" s="6"/>
      <c r="BH279" s="3"/>
      <c r="BI279" s="6"/>
    </row>
    <row x14ac:dyDescent="0.25" r="280" customHeight="1" ht="12.75">
      <c r="A280" s="5" t="s">
        <v>350</v>
      </c>
      <c r="B280" s="3" t="s">
        <v>855</v>
      </c>
      <c r="C280" s="43" t="s">
        <v>866</v>
      </c>
      <c r="D280" s="34" t="s">
        <v>989</v>
      </c>
      <c r="E280" s="6">
        <v>14.99</v>
      </c>
      <c r="F280" s="6">
        <v>4.28</v>
      </c>
      <c r="G280" s="6">
        <v>4.686</v>
      </c>
      <c r="H280" s="5">
        <v>16</v>
      </c>
      <c r="I280" s="6"/>
      <c r="J280" s="6"/>
      <c r="K280" s="7"/>
      <c r="L280" s="6"/>
      <c r="M280" s="6"/>
      <c r="N280" s="23"/>
      <c r="O280" s="5"/>
      <c r="P280" s="6"/>
      <c r="Q280" s="6"/>
      <c r="R280" s="6"/>
      <c r="S280" s="6"/>
      <c r="T280" s="6"/>
      <c r="U280" s="6"/>
      <c r="V280" s="5"/>
      <c r="W280" s="6"/>
      <c r="X280" s="6">
        <f>E280*F280/100</f>
      </c>
      <c r="Y280" s="6">
        <f>E280*G280/100</f>
      </c>
      <c r="Z280" s="7">
        <f>E280*H280</f>
      </c>
      <c r="AA280" s="7">
        <f>E280*J280</f>
      </c>
      <c r="AB280" s="6">
        <f>E280*I280/100</f>
      </c>
      <c r="AC280" s="15">
        <f>X280+Y280+AB280</f>
      </c>
      <c r="AD280" s="6">
        <f>F280+G280+I280</f>
      </c>
      <c r="AE280" s="3"/>
      <c r="AF280" s="6">
        <f>SUM(AM280:BC280)</f>
      </c>
      <c r="AG280" s="5">
        <f>IF(SUM(AM280:AO280)&gt;0.7*AF280,1,0)</f>
      </c>
      <c r="AH280" s="5">
        <f>IF(AN280&gt;0.4*AF280,1,0)</f>
      </c>
      <c r="AI280" s="5">
        <f>IF(SUM(AP280:AQ280)&gt;0.3*AF280,1,0)</f>
      </c>
      <c r="AJ280" s="5">
        <f>IF(AQ280&gt;0.2*AF280,1,0)</f>
      </c>
      <c r="AK280" s="5">
        <f>IF(SUM(AR280:BC280)&gt;0.3*AF280,1,0)</f>
      </c>
      <c r="AL280" s="3"/>
      <c r="AM280" s="6">
        <f>(F280/100)*AM$41</f>
      </c>
      <c r="AN280" s="6">
        <f>(G280/100)*AN$41</f>
      </c>
      <c r="AO280" s="6">
        <f>(H280/1000000)*AO$41</f>
      </c>
      <c r="AP280" s="6">
        <f>(I280/100)*AP$41</f>
      </c>
      <c r="AQ280" s="6">
        <f>(J280/1000000)*AQ$41</f>
      </c>
      <c r="AR280" s="6">
        <f>(K280/100)*AR$41</f>
      </c>
      <c r="AS280" s="6">
        <f>(L280/100)*AS$41</f>
      </c>
      <c r="AT280" s="6">
        <f>(M280/100)*AT$41</f>
      </c>
      <c r="AU280" s="6">
        <f>(N280/100)*AU$41</f>
      </c>
      <c r="AV280" s="6">
        <f>(O280/1000000)*AV$41</f>
      </c>
      <c r="AW280" s="6">
        <f>(P280/100)*AW$41</f>
      </c>
      <c r="AX280" s="6">
        <f>(Q280/100)*AX$41</f>
      </c>
      <c r="AY280" s="6">
        <f>(R280/100)*AY$41</f>
      </c>
      <c r="AZ280" s="6">
        <f>(S280/100)*AZ$41</f>
      </c>
      <c r="BA280" s="6">
        <f>(T280/100)*BA$41</f>
      </c>
      <c r="BB280" s="6">
        <f>(U280/100)*BB$41</f>
      </c>
      <c r="BC280" s="6"/>
      <c r="BD280" s="3"/>
      <c r="BE280" s="3"/>
      <c r="BF280" s="7">
        <f>AF280*E280</f>
      </c>
      <c r="BG280" s="6"/>
      <c r="BH280" s="3"/>
      <c r="BI280" s="6"/>
    </row>
    <row x14ac:dyDescent="0.25" r="281" customHeight="1" ht="12.75">
      <c r="A281" s="5" t="s">
        <v>352</v>
      </c>
      <c r="B281" s="3" t="s">
        <v>855</v>
      </c>
      <c r="C281" s="43" t="s">
        <v>866</v>
      </c>
      <c r="D281" s="34" t="s">
        <v>988</v>
      </c>
      <c r="E281" s="6">
        <v>18.648999999999997</v>
      </c>
      <c r="F281" s="6">
        <v>2.6817974154110145</v>
      </c>
      <c r="G281" s="6">
        <v>4.4252056410531395</v>
      </c>
      <c r="H281" s="31">
        <v>45.19287897474396</v>
      </c>
      <c r="I281" s="6"/>
      <c r="J281" s="6">
        <v>0.7476685076947827</v>
      </c>
      <c r="K281" s="7"/>
      <c r="L281" s="6"/>
      <c r="M281" s="6"/>
      <c r="N281" s="23"/>
      <c r="O281" s="5"/>
      <c r="P281" s="6"/>
      <c r="Q281" s="6"/>
      <c r="R281" s="6"/>
      <c r="S281" s="6"/>
      <c r="T281" s="6"/>
      <c r="U281" s="6"/>
      <c r="V281" s="5"/>
      <c r="W281" s="6"/>
      <c r="X281" s="6">
        <f>E281*F281/100</f>
      </c>
      <c r="Y281" s="6">
        <f>E281*G281/100</f>
      </c>
      <c r="Z281" s="7">
        <f>E281*H281</f>
      </c>
      <c r="AA281" s="7">
        <f>E281*J281</f>
      </c>
      <c r="AB281" s="6">
        <f>E281*I281/100</f>
      </c>
      <c r="AC281" s="15">
        <f>X281+Y281+AB281</f>
      </c>
      <c r="AD281" s="6">
        <f>F281+G281+I281</f>
      </c>
      <c r="AE281" s="3"/>
      <c r="AF281" s="6">
        <f>SUM(AM281:BC281)</f>
      </c>
      <c r="AG281" s="5">
        <f>IF(SUM(AM281:AO281)&gt;0.7*AF281,1,0)</f>
      </c>
      <c r="AH281" s="5">
        <f>IF(AN281&gt;0.4*AF281,1,0)</f>
      </c>
      <c r="AI281" s="5">
        <f>IF(SUM(AP281:AQ281)&gt;0.3*AF281,1,0)</f>
      </c>
      <c r="AJ281" s="5">
        <f>IF(AQ281&gt;0.2*AF281,1,0)</f>
      </c>
      <c r="AK281" s="5">
        <f>IF(SUM(AR281:BC281)&gt;0.3*AF281,1,0)</f>
      </c>
      <c r="AL281" s="3"/>
      <c r="AM281" s="6">
        <f>(F281/100)*AM$41</f>
      </c>
      <c r="AN281" s="6">
        <f>(G281/100)*AN$41</f>
      </c>
      <c r="AO281" s="6">
        <f>(H281/1000000)*AO$41</f>
      </c>
      <c r="AP281" s="6">
        <f>(I281/100)*AP$41</f>
      </c>
      <c r="AQ281" s="6">
        <f>(J281/1000000)*AQ$41</f>
      </c>
      <c r="AR281" s="6">
        <f>(K281/100)*AR$41</f>
      </c>
      <c r="AS281" s="6">
        <f>(L281/100)*AS$41</f>
      </c>
      <c r="AT281" s="6">
        <f>(M281/100)*AT$41</f>
      </c>
      <c r="AU281" s="6">
        <f>(N281/100)*AU$41</f>
      </c>
      <c r="AV281" s="6">
        <f>(O281/1000000)*AV$41</f>
      </c>
      <c r="AW281" s="6">
        <f>(P281/100)*AW$41</f>
      </c>
      <c r="AX281" s="6">
        <f>(Q281/100)*AX$41</f>
      </c>
      <c r="AY281" s="6">
        <f>(R281/100)*AY$41</f>
      </c>
      <c r="AZ281" s="6">
        <f>(S281/100)*AZ$41</f>
      </c>
      <c r="BA281" s="6">
        <f>(T281/100)*BA$41</f>
      </c>
      <c r="BB281" s="6">
        <f>(U281/100)*BB$41</f>
      </c>
      <c r="BC281" s="6"/>
      <c r="BD281" s="3"/>
      <c r="BE281" s="3"/>
      <c r="BF281" s="7">
        <f>AF281*E281</f>
      </c>
      <c r="BG281" s="6"/>
      <c r="BH281" s="3"/>
      <c r="BI281" s="6"/>
    </row>
    <row x14ac:dyDescent="0.25" r="282" customHeight="1" ht="12.75">
      <c r="A282" s="5" t="s">
        <v>325</v>
      </c>
      <c r="B282" s="3" t="s">
        <v>855</v>
      </c>
      <c r="C282" s="43" t="s">
        <v>866</v>
      </c>
      <c r="D282" s="34" t="s">
        <v>992</v>
      </c>
      <c r="E282" s="6">
        <v>12.6</v>
      </c>
      <c r="F282" s="6">
        <v>1.2</v>
      </c>
      <c r="G282" s="6">
        <v>8.9</v>
      </c>
      <c r="H282" s="5">
        <v>68</v>
      </c>
      <c r="I282" s="6"/>
      <c r="J282" s="6"/>
      <c r="K282" s="7"/>
      <c r="L282" s="6"/>
      <c r="M282" s="6"/>
      <c r="N282" s="23"/>
      <c r="O282" s="5"/>
      <c r="P282" s="6"/>
      <c r="Q282" s="6"/>
      <c r="R282" s="6"/>
      <c r="S282" s="6"/>
      <c r="T282" s="6"/>
      <c r="U282" s="6"/>
      <c r="V282" s="5"/>
      <c r="W282" s="6"/>
      <c r="X282" s="6">
        <f>E282*F282/100</f>
      </c>
      <c r="Y282" s="6">
        <f>E282*G282/100</f>
      </c>
      <c r="Z282" s="7">
        <f>E282*H282</f>
      </c>
      <c r="AA282" s="7">
        <f>E282*J282</f>
      </c>
      <c r="AB282" s="6">
        <f>E282*I282/100</f>
      </c>
      <c r="AC282" s="15">
        <f>X282+Y282+AB282</f>
      </c>
      <c r="AD282" s="6">
        <f>F282+G282+I282</f>
      </c>
      <c r="AE282" s="3"/>
      <c r="AF282" s="6">
        <f>SUM(AM282:BC282)</f>
      </c>
      <c r="AG282" s="5">
        <f>IF(SUM(AM282:AO282)&gt;0.7*AF282,1,0)</f>
      </c>
      <c r="AH282" s="5">
        <f>IF(AN282&gt;0.4*AF282,1,0)</f>
      </c>
      <c r="AI282" s="5">
        <f>IF(SUM(AP282:AQ282)&gt;0.3*AF282,1,0)</f>
      </c>
      <c r="AJ282" s="5">
        <f>IF(AQ282&gt;0.2*AF282,1,0)</f>
      </c>
      <c r="AK282" s="5">
        <f>IF(SUM(AR282:BC282)&gt;0.3*AF282,1,0)</f>
      </c>
      <c r="AL282" s="3"/>
      <c r="AM282" s="6">
        <f>(F282/100)*AM$41</f>
      </c>
      <c r="AN282" s="6">
        <f>(G282/100)*AN$41</f>
      </c>
      <c r="AO282" s="6">
        <f>(H282/1000000)*AO$41</f>
      </c>
      <c r="AP282" s="6">
        <f>(I282/100)*AP$41</f>
      </c>
      <c r="AQ282" s="6">
        <f>(J282/1000000)*AQ$41</f>
      </c>
      <c r="AR282" s="6">
        <f>(K282/100)*AR$41</f>
      </c>
      <c r="AS282" s="6">
        <f>(L282/100)*AS$41</f>
      </c>
      <c r="AT282" s="6">
        <f>(M282/100)*AT$41</f>
      </c>
      <c r="AU282" s="6">
        <f>(N282/100)*AU$41</f>
      </c>
      <c r="AV282" s="6">
        <f>(O282/1000000)*AV$41</f>
      </c>
      <c r="AW282" s="6">
        <f>(P282/100)*AW$41</f>
      </c>
      <c r="AX282" s="6">
        <f>(Q282/100)*AX$41</f>
      </c>
      <c r="AY282" s="6">
        <f>(R282/100)*AY$41</f>
      </c>
      <c r="AZ282" s="6">
        <f>(S282/100)*AZ$41</f>
      </c>
      <c r="BA282" s="6">
        <f>(T282/100)*BA$41</f>
      </c>
      <c r="BB282" s="6">
        <f>(U282/100)*BB$41</f>
      </c>
      <c r="BC282" s="6"/>
      <c r="BD282" s="3"/>
      <c r="BE282" s="3"/>
      <c r="BF282" s="7">
        <f>AF282*E282</f>
      </c>
      <c r="BG282" s="6"/>
      <c r="BH282" s="3"/>
      <c r="BI282" s="6"/>
    </row>
    <row x14ac:dyDescent="0.25" r="283" customHeight="1" ht="12.75">
      <c r="A283" s="5" t="s">
        <v>297</v>
      </c>
      <c r="B283" s="3" t="s">
        <v>855</v>
      </c>
      <c r="C283" s="43" t="s">
        <v>866</v>
      </c>
      <c r="D283" s="34" t="s">
        <v>989</v>
      </c>
      <c r="E283" s="6">
        <v>94.5</v>
      </c>
      <c r="F283" s="6"/>
      <c r="G283" s="6">
        <v>1.27</v>
      </c>
      <c r="H283" s="6">
        <v>58.7</v>
      </c>
      <c r="I283" s="6"/>
      <c r="J283" s="6"/>
      <c r="K283" s="7"/>
      <c r="L283" s="6"/>
      <c r="M283" s="6"/>
      <c r="N283" s="23"/>
      <c r="O283" s="5"/>
      <c r="P283" s="6"/>
      <c r="Q283" s="6"/>
      <c r="R283" s="6"/>
      <c r="S283" s="6"/>
      <c r="T283" s="6"/>
      <c r="U283" s="6"/>
      <c r="V283" s="5"/>
      <c r="W283" s="6"/>
      <c r="X283" s="6">
        <f>E283*F283/100</f>
      </c>
      <c r="Y283" s="6">
        <f>E283*G283/100</f>
      </c>
      <c r="Z283" s="7">
        <f>E283*H283</f>
      </c>
      <c r="AA283" s="7">
        <f>E283*J283</f>
      </c>
      <c r="AB283" s="6">
        <f>E283*I283/100</f>
      </c>
      <c r="AC283" s="15">
        <f>X283+Y283+AB283</f>
      </c>
      <c r="AD283" s="6">
        <f>F283+G283+I283</f>
      </c>
      <c r="AE283" s="3"/>
      <c r="AF283" s="6">
        <f>SUM(AM283:BC283)</f>
      </c>
      <c r="AG283" s="5">
        <f>IF(SUM(AM283:AO283)&gt;0.7*AF283,1,0)</f>
      </c>
      <c r="AH283" s="5">
        <f>IF(AN283&gt;0.4*AF283,1,0)</f>
      </c>
      <c r="AI283" s="5">
        <f>IF(SUM(AP283:AQ283)&gt;0.3*AF283,1,0)</f>
      </c>
      <c r="AJ283" s="5">
        <f>IF(AQ283&gt;0.2*AF283,1,0)</f>
      </c>
      <c r="AK283" s="5">
        <f>IF(SUM(AR283:BC283)&gt;0.3*AF283,1,0)</f>
      </c>
      <c r="AL283" s="3"/>
      <c r="AM283" s="6">
        <f>(F283/100)*AM$41</f>
      </c>
      <c r="AN283" s="6">
        <f>(G283/100)*AN$41</f>
      </c>
      <c r="AO283" s="6">
        <f>(H283/1000000)*AO$41</f>
      </c>
      <c r="AP283" s="6">
        <f>(I283/100)*AP$41</f>
      </c>
      <c r="AQ283" s="6">
        <f>(J283/1000000)*AQ$41</f>
      </c>
      <c r="AR283" s="6">
        <f>(K283/100)*AR$41</f>
      </c>
      <c r="AS283" s="6">
        <f>(L283/100)*AS$41</f>
      </c>
      <c r="AT283" s="6">
        <f>(M283/100)*AT$41</f>
      </c>
      <c r="AU283" s="6">
        <f>(N283/100)*AU$41</f>
      </c>
      <c r="AV283" s="6">
        <f>(O283/1000000)*AV$41</f>
      </c>
      <c r="AW283" s="6">
        <f>(P283/100)*AW$41</f>
      </c>
      <c r="AX283" s="6">
        <f>(Q283/100)*AX$41</f>
      </c>
      <c r="AY283" s="6">
        <f>(R283/100)*AY$41</f>
      </c>
      <c r="AZ283" s="6">
        <f>(S283/100)*AZ$41</f>
      </c>
      <c r="BA283" s="6">
        <f>(T283/100)*BA$41</f>
      </c>
      <c r="BB283" s="6">
        <f>(U283/100)*BB$41</f>
      </c>
      <c r="BC283" s="6"/>
      <c r="BD283" s="3"/>
      <c r="BE283" s="3"/>
      <c r="BF283" s="7">
        <f>AF283*E283</f>
      </c>
      <c r="BG283" s="6"/>
      <c r="BH283" s="3"/>
      <c r="BI283" s="6"/>
    </row>
    <row x14ac:dyDescent="0.25" r="284" customHeight="1" ht="12.75">
      <c r="A284" s="5" t="s">
        <v>377</v>
      </c>
      <c r="B284" s="3" t="s">
        <v>855</v>
      </c>
      <c r="C284" s="43" t="s">
        <v>866</v>
      </c>
      <c r="D284" s="34" t="s">
        <v>989</v>
      </c>
      <c r="E284" s="6">
        <v>30.62</v>
      </c>
      <c r="F284" s="6"/>
      <c r="G284" s="6">
        <v>3.8385924232527757</v>
      </c>
      <c r="H284" s="7"/>
      <c r="I284" s="6"/>
      <c r="J284" s="6"/>
      <c r="K284" s="7"/>
      <c r="L284" s="6"/>
      <c r="M284" s="6"/>
      <c r="N284" s="23"/>
      <c r="O284" s="5"/>
      <c r="P284" s="6"/>
      <c r="Q284" s="6"/>
      <c r="R284" s="6"/>
      <c r="S284" s="6"/>
      <c r="T284" s="6"/>
      <c r="U284" s="6"/>
      <c r="V284" s="5"/>
      <c r="W284" s="6"/>
      <c r="X284" s="6">
        <f>E284*F284/100</f>
      </c>
      <c r="Y284" s="6">
        <f>E284*G284/100</f>
      </c>
      <c r="Z284" s="7">
        <f>E284*H284</f>
      </c>
      <c r="AA284" s="7">
        <f>E284*J284</f>
      </c>
      <c r="AB284" s="6">
        <f>E284*I284/100</f>
      </c>
      <c r="AC284" s="15">
        <f>X284+Y284+AB284</f>
      </c>
      <c r="AD284" s="6">
        <f>F284+G284+I284</f>
      </c>
      <c r="AE284" s="3"/>
      <c r="AF284" s="6">
        <f>SUM(AM284:BC284)</f>
      </c>
      <c r="AG284" s="5">
        <f>IF(SUM(AM284:AO284)&gt;0.7*AF284,1,0)</f>
      </c>
      <c r="AH284" s="5">
        <f>IF(AN284&gt;0.4*AF284,1,0)</f>
      </c>
      <c r="AI284" s="5">
        <f>IF(SUM(AP284:AQ284)&gt;0.3*AF284,1,0)</f>
      </c>
      <c r="AJ284" s="5">
        <f>IF(AQ284&gt;0.2*AF284,1,0)</f>
      </c>
      <c r="AK284" s="5">
        <f>IF(SUM(AR284:BC284)&gt;0.3*AF284,1,0)</f>
      </c>
      <c r="AL284" s="3"/>
      <c r="AM284" s="6">
        <f>(F284/100)*AM$41</f>
      </c>
      <c r="AN284" s="6">
        <f>(G284/100)*AN$41</f>
      </c>
      <c r="AO284" s="6">
        <f>(H284/1000000)*AO$41</f>
      </c>
      <c r="AP284" s="6">
        <f>(I284/100)*AP$41</f>
      </c>
      <c r="AQ284" s="6">
        <f>(J284/1000000)*AQ$41</f>
      </c>
      <c r="AR284" s="6">
        <f>(K284/100)*AR$41</f>
      </c>
      <c r="AS284" s="6">
        <f>(L284/100)*AS$41</f>
      </c>
      <c r="AT284" s="6">
        <f>(M284/100)*AT$41</f>
      </c>
      <c r="AU284" s="6">
        <f>(N284/100)*AU$41</f>
      </c>
      <c r="AV284" s="6">
        <f>(O284/1000000)*AV$41</f>
      </c>
      <c r="AW284" s="6">
        <f>(P284/100)*AW$41</f>
      </c>
      <c r="AX284" s="6">
        <f>(Q284/100)*AX$41</f>
      </c>
      <c r="AY284" s="6">
        <f>(R284/100)*AY$41</f>
      </c>
      <c r="AZ284" s="6">
        <f>(S284/100)*AZ$41</f>
      </c>
      <c r="BA284" s="6">
        <f>(T284/100)*BA$41</f>
      </c>
      <c r="BB284" s="6">
        <f>(U284/100)*BB$41</f>
      </c>
      <c r="BC284" s="6"/>
      <c r="BD284" s="3"/>
      <c r="BE284" s="3"/>
      <c r="BF284" s="7">
        <f>AF284*E284</f>
      </c>
      <c r="BG284" s="6"/>
      <c r="BH284" s="3"/>
      <c r="BI284" s="6"/>
    </row>
    <row x14ac:dyDescent="0.25" r="285" customHeight="1" ht="12.75">
      <c r="A285" s="5" t="s">
        <v>386</v>
      </c>
      <c r="B285" s="3" t="s">
        <v>855</v>
      </c>
      <c r="C285" s="43" t="s">
        <v>866</v>
      </c>
      <c r="D285" s="34" t="s">
        <v>989</v>
      </c>
      <c r="E285" s="6">
        <v>19.6</v>
      </c>
      <c r="F285" s="6">
        <v>2.8</v>
      </c>
      <c r="G285" s="6">
        <v>3.04</v>
      </c>
      <c r="H285" s="7">
        <v>56</v>
      </c>
      <c r="I285" s="6"/>
      <c r="J285" s="6"/>
      <c r="K285" s="7"/>
      <c r="L285" s="6"/>
      <c r="M285" s="6"/>
      <c r="N285" s="23"/>
      <c r="O285" s="5"/>
      <c r="P285" s="6"/>
      <c r="Q285" s="6"/>
      <c r="R285" s="6"/>
      <c r="S285" s="6"/>
      <c r="T285" s="6"/>
      <c r="U285" s="6"/>
      <c r="V285" s="5"/>
      <c r="W285" s="6"/>
      <c r="X285" s="6">
        <f>E285*F285/100</f>
      </c>
      <c r="Y285" s="6">
        <f>E285*G285/100</f>
      </c>
      <c r="Z285" s="7">
        <f>E285*H285</f>
      </c>
      <c r="AA285" s="7">
        <f>E285*J285</f>
      </c>
      <c r="AB285" s="6">
        <f>E285*I285/100</f>
      </c>
      <c r="AC285" s="15">
        <f>X285+Y285+AB285</f>
      </c>
      <c r="AD285" s="6">
        <f>F285+G285+I285</f>
      </c>
      <c r="AE285" s="3"/>
      <c r="AF285" s="6">
        <f>SUM(AM285:BC285)</f>
      </c>
      <c r="AG285" s="5">
        <f>IF(SUM(AM285:AO285)&gt;0.7*AF285,1,0)</f>
      </c>
      <c r="AH285" s="5">
        <f>IF(AN285&gt;0.4*AF285,1,0)</f>
      </c>
      <c r="AI285" s="5">
        <f>IF(SUM(AP285:AQ285)&gt;0.3*AF285,1,0)</f>
      </c>
      <c r="AJ285" s="5">
        <f>IF(AQ285&gt;0.2*AF285,1,0)</f>
      </c>
      <c r="AK285" s="5">
        <f>IF(SUM(AR285:BC285)&gt;0.3*AF285,1,0)</f>
      </c>
      <c r="AL285" s="3"/>
      <c r="AM285" s="6">
        <f>(F285/100)*AM$41</f>
      </c>
      <c r="AN285" s="6">
        <f>(G285/100)*AN$41</f>
      </c>
      <c r="AO285" s="6">
        <f>(H285/1000000)*AO$41</f>
      </c>
      <c r="AP285" s="6">
        <f>(I285/100)*AP$41</f>
      </c>
      <c r="AQ285" s="6">
        <f>(J285/1000000)*AQ$41</f>
      </c>
      <c r="AR285" s="6">
        <f>(K285/100)*AR$41</f>
      </c>
      <c r="AS285" s="6">
        <f>(L285/100)*AS$41</f>
      </c>
      <c r="AT285" s="6">
        <f>(M285/100)*AT$41</f>
      </c>
      <c r="AU285" s="6">
        <f>(N285/100)*AU$41</f>
      </c>
      <c r="AV285" s="6">
        <f>(O285/1000000)*AV$41</f>
      </c>
      <c r="AW285" s="6">
        <f>(P285/100)*AW$41</f>
      </c>
      <c r="AX285" s="6">
        <f>(Q285/100)*AX$41</f>
      </c>
      <c r="AY285" s="6">
        <f>(R285/100)*AY$41</f>
      </c>
      <c r="AZ285" s="6">
        <f>(S285/100)*AZ$41</f>
      </c>
      <c r="BA285" s="6">
        <f>(T285/100)*BA$41</f>
      </c>
      <c r="BB285" s="6">
        <f>(U285/100)*BB$41</f>
      </c>
      <c r="BC285" s="6"/>
      <c r="BD285" s="3"/>
      <c r="BE285" s="3"/>
      <c r="BF285" s="7">
        <f>AF285*E285</f>
      </c>
      <c r="BG285" s="6"/>
      <c r="BH285" s="3"/>
      <c r="BI285" s="6"/>
    </row>
    <row x14ac:dyDescent="0.25" r="286" customHeight="1" ht="12.75">
      <c r="A286" s="5" t="s">
        <v>404</v>
      </c>
      <c r="B286" s="3" t="s">
        <v>855</v>
      </c>
      <c r="C286" s="43" t="s">
        <v>866</v>
      </c>
      <c r="D286" s="34" t="s">
        <v>988</v>
      </c>
      <c r="E286" s="6">
        <v>15.131</v>
      </c>
      <c r="F286" s="6">
        <v>1.1595790099795122</v>
      </c>
      <c r="G286" s="6">
        <v>5.8944769017249365</v>
      </c>
      <c r="H286" s="7"/>
      <c r="I286" s="6"/>
      <c r="J286" s="6"/>
      <c r="K286" s="7"/>
      <c r="L286" s="6"/>
      <c r="M286" s="6"/>
      <c r="N286" s="23"/>
      <c r="O286" s="5"/>
      <c r="P286" s="6"/>
      <c r="Q286" s="6"/>
      <c r="R286" s="6"/>
      <c r="S286" s="6"/>
      <c r="T286" s="6"/>
      <c r="U286" s="6"/>
      <c r="V286" s="5"/>
      <c r="W286" s="6"/>
      <c r="X286" s="6">
        <f>E286*F286/100</f>
      </c>
      <c r="Y286" s="6">
        <f>E286*G286/100</f>
      </c>
      <c r="Z286" s="7">
        <f>E286*H286</f>
      </c>
      <c r="AA286" s="7">
        <f>E286*J286</f>
      </c>
      <c r="AB286" s="6">
        <f>E286*I286/100</f>
      </c>
      <c r="AC286" s="15">
        <f>X286+Y286+AB286</f>
      </c>
      <c r="AD286" s="6">
        <f>F286+G286+I286</f>
      </c>
      <c r="AE286" s="3"/>
      <c r="AF286" s="6">
        <f>SUM(AM286:BC286)</f>
      </c>
      <c r="AG286" s="5">
        <f>IF(SUM(AM286:AO286)&gt;0.7*AF286,1,0)</f>
      </c>
      <c r="AH286" s="5">
        <f>IF(AN286&gt;0.4*AF286,1,0)</f>
      </c>
      <c r="AI286" s="5">
        <f>IF(SUM(AP286:AQ286)&gt;0.3*AF286,1,0)</f>
      </c>
      <c r="AJ286" s="5">
        <f>IF(AQ286&gt;0.2*AF286,1,0)</f>
      </c>
      <c r="AK286" s="5">
        <f>IF(SUM(AR286:BC286)&gt;0.3*AF286,1,0)</f>
      </c>
      <c r="AL286" s="3"/>
      <c r="AM286" s="6">
        <f>(F286/100)*AM$41</f>
      </c>
      <c r="AN286" s="6">
        <f>(G286/100)*AN$41</f>
      </c>
      <c r="AO286" s="6">
        <f>(H286/1000000)*AO$41</f>
      </c>
      <c r="AP286" s="6">
        <f>(I286/100)*AP$41</f>
      </c>
      <c r="AQ286" s="6">
        <f>(J286/1000000)*AQ$41</f>
      </c>
      <c r="AR286" s="6">
        <f>(K286/100)*AR$41</f>
      </c>
      <c r="AS286" s="6">
        <f>(L286/100)*AS$41</f>
      </c>
      <c r="AT286" s="6">
        <f>(M286/100)*AT$41</f>
      </c>
      <c r="AU286" s="6">
        <f>(N286/100)*AU$41</f>
      </c>
      <c r="AV286" s="6">
        <f>(O286/1000000)*AV$41</f>
      </c>
      <c r="AW286" s="6">
        <f>(P286/100)*AW$41</f>
      </c>
      <c r="AX286" s="6">
        <f>(Q286/100)*AX$41</f>
      </c>
      <c r="AY286" s="6">
        <f>(R286/100)*AY$41</f>
      </c>
      <c r="AZ286" s="6">
        <f>(S286/100)*AZ$41</f>
      </c>
      <c r="BA286" s="6">
        <f>(T286/100)*BA$41</f>
      </c>
      <c r="BB286" s="6">
        <f>(U286/100)*BB$41</f>
      </c>
      <c r="BC286" s="6"/>
      <c r="BD286" s="3"/>
      <c r="BE286" s="3"/>
      <c r="BF286" s="7">
        <f>AF286*E286</f>
      </c>
      <c r="BG286" s="6"/>
      <c r="BH286" s="3"/>
      <c r="BI286" s="6"/>
    </row>
    <row x14ac:dyDescent="0.25" r="287" customHeight="1" ht="12.75">
      <c r="A287" s="5" t="s">
        <v>358</v>
      </c>
      <c r="B287" s="3" t="s">
        <v>855</v>
      </c>
      <c r="C287" s="43" t="s">
        <v>866</v>
      </c>
      <c r="D287" s="34" t="s">
        <v>988</v>
      </c>
      <c r="E287" s="6">
        <v>48.3</v>
      </c>
      <c r="F287" s="6">
        <v>0.8300000000000001</v>
      </c>
      <c r="G287" s="6">
        <v>0.8800000000000001</v>
      </c>
      <c r="H287" s="7">
        <v>20.37826086956522</v>
      </c>
      <c r="I287" s="6">
        <v>0.3904347826086957</v>
      </c>
      <c r="J287" s="6"/>
      <c r="K287" s="7"/>
      <c r="L287" s="6"/>
      <c r="M287" s="6">
        <v>0.0731</v>
      </c>
      <c r="N287" s="23"/>
      <c r="O287" s="5"/>
      <c r="P287" s="6"/>
      <c r="Q287" s="6"/>
      <c r="R287" s="6"/>
      <c r="S287" s="6"/>
      <c r="T287" s="6"/>
      <c r="U287" s="6"/>
      <c r="V287" s="5"/>
      <c r="W287" s="6"/>
      <c r="X287" s="6">
        <f>E287*F287/100</f>
      </c>
      <c r="Y287" s="6">
        <f>E287*G287/100</f>
      </c>
      <c r="Z287" s="7">
        <f>E287*H287</f>
      </c>
      <c r="AA287" s="7">
        <f>E287*J287</f>
      </c>
      <c r="AB287" s="6">
        <f>E287*I287/100</f>
      </c>
      <c r="AC287" s="15">
        <f>X287+Y287+AB287</f>
      </c>
      <c r="AD287" s="6">
        <f>F287+G287+I287</f>
      </c>
      <c r="AE287" s="3"/>
      <c r="AF287" s="6">
        <f>SUM(AM287:BC287)</f>
      </c>
      <c r="AG287" s="5">
        <f>IF(SUM(AM287:AO287)&gt;0.7*AF287,1,0)</f>
      </c>
      <c r="AH287" s="5">
        <f>IF(AN287&gt;0.4*AF287,1,0)</f>
      </c>
      <c r="AI287" s="5">
        <f>IF(SUM(AP287:AQ287)&gt;0.3*AF287,1,0)</f>
      </c>
      <c r="AJ287" s="5">
        <f>IF(AQ287&gt;0.2*AF287,1,0)</f>
      </c>
      <c r="AK287" s="5">
        <f>IF(SUM(AR287:BC287)&gt;0.3*AF287,1,0)</f>
      </c>
      <c r="AL287" s="3"/>
      <c r="AM287" s="6">
        <f>(F287/100)*AM$41</f>
      </c>
      <c r="AN287" s="6">
        <f>(G287/100)*AN$41</f>
      </c>
      <c r="AO287" s="6">
        <f>(H287/1000000)*AO$41</f>
      </c>
      <c r="AP287" s="6">
        <f>(I287/100)*AP$41</f>
      </c>
      <c r="AQ287" s="6">
        <f>(J287/1000000)*AQ$41</f>
      </c>
      <c r="AR287" s="6">
        <f>(K287/100)*AR$41</f>
      </c>
      <c r="AS287" s="6">
        <f>(L287/100)*AS$41</f>
      </c>
      <c r="AT287" s="6">
        <f>(M287/100)*AT$41</f>
      </c>
      <c r="AU287" s="6">
        <f>(N287/100)*AU$41</f>
      </c>
      <c r="AV287" s="6">
        <f>(O287/1000000)*AV$41</f>
      </c>
      <c r="AW287" s="6">
        <f>(P287/100)*AW$41</f>
      </c>
      <c r="AX287" s="6">
        <f>(Q287/100)*AX$41</f>
      </c>
      <c r="AY287" s="6">
        <f>(R287/100)*AY$41</f>
      </c>
      <c r="AZ287" s="6">
        <f>(S287/100)*AZ$41</f>
      </c>
      <c r="BA287" s="6">
        <f>(T287/100)*BA$41</f>
      </c>
      <c r="BB287" s="6">
        <f>(U287/100)*BB$41</f>
      </c>
      <c r="BC287" s="6"/>
      <c r="BD287" s="3"/>
      <c r="BE287" s="3"/>
      <c r="BF287" s="7">
        <f>AF287*E287</f>
      </c>
      <c r="BG287" s="6"/>
      <c r="BH287" s="3"/>
      <c r="BI287" s="6"/>
    </row>
    <row x14ac:dyDescent="0.25" r="288" customHeight="1" ht="12.75">
      <c r="A288" s="5" t="s">
        <v>214</v>
      </c>
      <c r="B288" s="3" t="s">
        <v>855</v>
      </c>
      <c r="C288" s="43" t="s">
        <v>866</v>
      </c>
      <c r="D288" s="34" t="s">
        <v>988</v>
      </c>
      <c r="E288" s="6">
        <v>7.7</v>
      </c>
      <c r="F288" s="7">
        <v>1.5454545454545454</v>
      </c>
      <c r="G288" s="7">
        <v>10.60909090909091</v>
      </c>
      <c r="H288" s="31">
        <v>31.584415584415584</v>
      </c>
      <c r="I288" s="6"/>
      <c r="J288" s="6"/>
      <c r="K288" s="7"/>
      <c r="L288" s="6"/>
      <c r="M288" s="6"/>
      <c r="N288" s="23"/>
      <c r="O288" s="5"/>
      <c r="P288" s="6"/>
      <c r="Q288" s="6"/>
      <c r="R288" s="6"/>
      <c r="S288" s="6"/>
      <c r="T288" s="6"/>
      <c r="U288" s="6"/>
      <c r="V288" s="5"/>
      <c r="W288" s="6"/>
      <c r="X288" s="6">
        <f>E288*F288/100</f>
      </c>
      <c r="Y288" s="6">
        <f>E288*G288/100</f>
      </c>
      <c r="Z288" s="7">
        <f>E288*H288</f>
      </c>
      <c r="AA288" s="7">
        <f>E288*J288</f>
      </c>
      <c r="AB288" s="6">
        <f>E288*I288/100</f>
      </c>
      <c r="AC288" s="15">
        <f>X288+Y288+AB288</f>
      </c>
      <c r="AD288" s="6">
        <f>F288+G288+I288</f>
      </c>
      <c r="AE288" s="3"/>
      <c r="AF288" s="6">
        <f>SUM(AM288:BC288)</f>
      </c>
      <c r="AG288" s="5">
        <f>IF(SUM(AM288:AO288)&gt;0.7*AF288,1,0)</f>
      </c>
      <c r="AH288" s="5">
        <f>IF(AN288&gt;0.4*AF288,1,0)</f>
      </c>
      <c r="AI288" s="5">
        <f>IF(SUM(AP288:AQ288)&gt;0.3*AF288,1,0)</f>
      </c>
      <c r="AJ288" s="5">
        <f>IF(AQ288&gt;0.2*AF288,1,0)</f>
      </c>
      <c r="AK288" s="5">
        <f>IF(SUM(AR288:BC288)&gt;0.3*AF288,1,0)</f>
      </c>
      <c r="AL288" s="3"/>
      <c r="AM288" s="6">
        <f>(F288/100)*AM$41</f>
      </c>
      <c r="AN288" s="6">
        <f>(G288/100)*AN$41</f>
      </c>
      <c r="AO288" s="6">
        <f>(H288/1000000)*AO$41</f>
      </c>
      <c r="AP288" s="6">
        <f>(I288/100)*AP$41</f>
      </c>
      <c r="AQ288" s="6">
        <f>(J288/1000000)*AQ$41</f>
      </c>
      <c r="AR288" s="6">
        <f>(K288/100)*AR$41</f>
      </c>
      <c r="AS288" s="6">
        <f>(L288/100)*AS$41</f>
      </c>
      <c r="AT288" s="6">
        <f>(M288/100)*AT$41</f>
      </c>
      <c r="AU288" s="6">
        <f>(N288/100)*AU$41</f>
      </c>
      <c r="AV288" s="6">
        <f>(O288/1000000)*AV$41</f>
      </c>
      <c r="AW288" s="6">
        <f>(P288/100)*AW$41</f>
      </c>
      <c r="AX288" s="6">
        <f>(Q288/100)*AX$41</f>
      </c>
      <c r="AY288" s="6">
        <f>(R288/100)*AY$41</f>
      </c>
      <c r="AZ288" s="6">
        <f>(S288/100)*AZ$41</f>
      </c>
      <c r="BA288" s="6">
        <f>(T288/100)*BA$41</f>
      </c>
      <c r="BB288" s="6">
        <f>(U288/100)*BB$41</f>
      </c>
      <c r="BC288" s="6"/>
      <c r="BD288" s="3"/>
      <c r="BE288" s="3"/>
      <c r="BF288" s="7">
        <f>AF288*E288</f>
      </c>
      <c r="BG288" s="6"/>
      <c r="BH288" s="3"/>
      <c r="BI288" s="6"/>
    </row>
    <row x14ac:dyDescent="0.25" r="289" customHeight="1" ht="12.75">
      <c r="A289" s="5" t="s">
        <v>448</v>
      </c>
      <c r="B289" s="3" t="s">
        <v>855</v>
      </c>
      <c r="C289" s="43" t="s">
        <v>866</v>
      </c>
      <c r="D289" s="34" t="s">
        <v>988</v>
      </c>
      <c r="E289" s="6">
        <v>16.3</v>
      </c>
      <c r="F289" s="7">
        <v>1.6668711656441717</v>
      </c>
      <c r="G289" s="7">
        <v>4.031901840490797</v>
      </c>
      <c r="H289" s="31">
        <v>58.64417177914111</v>
      </c>
      <c r="I289" s="6"/>
      <c r="J289" s="6"/>
      <c r="K289" s="7"/>
      <c r="L289" s="6"/>
      <c r="M289" s="6"/>
      <c r="N289" s="23"/>
      <c r="O289" s="5"/>
      <c r="P289" s="6"/>
      <c r="Q289" s="6"/>
      <c r="R289" s="6"/>
      <c r="S289" s="6"/>
      <c r="T289" s="6"/>
      <c r="U289" s="6"/>
      <c r="V289" s="5"/>
      <c r="W289" s="6"/>
      <c r="X289" s="6">
        <f>E289*F289/100</f>
      </c>
      <c r="Y289" s="6">
        <f>E289*G289/100</f>
      </c>
      <c r="Z289" s="7">
        <f>E289*H289</f>
      </c>
      <c r="AA289" s="7">
        <f>E289*J289</f>
      </c>
      <c r="AB289" s="6">
        <f>E289*I289/100</f>
      </c>
      <c r="AC289" s="15">
        <f>X289+Y289+AB289</f>
      </c>
      <c r="AD289" s="6">
        <f>F289+G289+I289</f>
      </c>
      <c r="AE289" s="3"/>
      <c r="AF289" s="6">
        <f>SUM(AM289:BC289)</f>
      </c>
      <c r="AG289" s="5">
        <f>IF(SUM(AM289:AO289)&gt;0.7*AF289,1,0)</f>
      </c>
      <c r="AH289" s="5">
        <f>IF(AN289&gt;0.4*AF289,1,0)</f>
      </c>
      <c r="AI289" s="5">
        <f>IF(SUM(AP289:AQ289)&gt;0.3*AF289,1,0)</f>
      </c>
      <c r="AJ289" s="5">
        <f>IF(AQ289&gt;0.2*AF289,1,0)</f>
      </c>
      <c r="AK289" s="5">
        <f>IF(SUM(AR289:BC289)&gt;0.3*AF289,1,0)</f>
      </c>
      <c r="AL289" s="3"/>
      <c r="AM289" s="6">
        <f>(F289/100)*AM$41</f>
      </c>
      <c r="AN289" s="6">
        <f>(G289/100)*AN$41</f>
      </c>
      <c r="AO289" s="6">
        <f>(H289/1000000)*AO$41</f>
      </c>
      <c r="AP289" s="6">
        <f>(I289/100)*AP$41</f>
      </c>
      <c r="AQ289" s="6">
        <f>(J289/1000000)*AQ$41</f>
      </c>
      <c r="AR289" s="6">
        <f>(K289/100)*AR$41</f>
      </c>
      <c r="AS289" s="6">
        <f>(L289/100)*AS$41</f>
      </c>
      <c r="AT289" s="6">
        <f>(M289/100)*AT$41</f>
      </c>
      <c r="AU289" s="6">
        <f>(N289/100)*AU$41</f>
      </c>
      <c r="AV289" s="6">
        <f>(O289/1000000)*AV$41</f>
      </c>
      <c r="AW289" s="6">
        <f>(P289/100)*AW$41</f>
      </c>
      <c r="AX289" s="6">
        <f>(Q289/100)*AX$41</f>
      </c>
      <c r="AY289" s="6">
        <f>(R289/100)*AY$41</f>
      </c>
      <c r="AZ289" s="6">
        <f>(S289/100)*AZ$41</f>
      </c>
      <c r="BA289" s="6">
        <f>(T289/100)*BA$41</f>
      </c>
      <c r="BB289" s="6">
        <f>(U289/100)*BB$41</f>
      </c>
      <c r="BC289" s="6"/>
      <c r="BD289" s="3"/>
      <c r="BE289" s="3"/>
      <c r="BF289" s="7">
        <f>AF289*E289</f>
      </c>
      <c r="BG289" s="6"/>
      <c r="BH289" s="3"/>
      <c r="BI289" s="6"/>
    </row>
    <row x14ac:dyDescent="0.25" r="290" customHeight="1" ht="12.75">
      <c r="A290" s="5" t="s">
        <v>459</v>
      </c>
      <c r="B290" s="3" t="s">
        <v>855</v>
      </c>
      <c r="C290" s="43" t="s">
        <v>866</v>
      </c>
      <c r="D290" s="34" t="s">
        <v>989</v>
      </c>
      <c r="E290" s="6">
        <v>16.7</v>
      </c>
      <c r="F290" s="6">
        <v>4.5</v>
      </c>
      <c r="G290" s="6">
        <v>0.7</v>
      </c>
      <c r="H290" s="5">
        <v>52</v>
      </c>
      <c r="I290" s="6"/>
      <c r="J290" s="6"/>
      <c r="K290" s="7"/>
      <c r="L290" s="6"/>
      <c r="M290" s="6"/>
      <c r="N290" s="23"/>
      <c r="O290" s="5"/>
      <c r="P290" s="6"/>
      <c r="Q290" s="6"/>
      <c r="R290" s="6"/>
      <c r="S290" s="6"/>
      <c r="T290" s="6"/>
      <c r="U290" s="6"/>
      <c r="V290" s="5"/>
      <c r="W290" s="6"/>
      <c r="X290" s="6">
        <f>E290*F290/100</f>
      </c>
      <c r="Y290" s="6">
        <f>E290*G290/100</f>
      </c>
      <c r="Z290" s="7">
        <f>E290*H290</f>
      </c>
      <c r="AA290" s="7">
        <f>E290*J290</f>
      </c>
      <c r="AB290" s="6">
        <f>E290*I290/100</f>
      </c>
      <c r="AC290" s="15">
        <f>X290+Y290+AB290</f>
      </c>
      <c r="AD290" s="6">
        <f>F290+G290+I290</f>
      </c>
      <c r="AE290" s="3"/>
      <c r="AF290" s="6">
        <f>SUM(AM290:BC290)</f>
      </c>
      <c r="AG290" s="5">
        <f>IF(SUM(AM290:AO290)&gt;0.7*AF290,1,0)</f>
      </c>
      <c r="AH290" s="5">
        <f>IF(AN290&gt;0.4*AF290,1,0)</f>
      </c>
      <c r="AI290" s="5">
        <f>IF(SUM(AP290:AQ290)&gt;0.3*AF290,1,0)</f>
      </c>
      <c r="AJ290" s="5">
        <f>IF(AQ290&gt;0.2*AF290,1,0)</f>
      </c>
      <c r="AK290" s="5">
        <f>IF(SUM(AR290:BC290)&gt;0.3*AF290,1,0)</f>
      </c>
      <c r="AL290" s="3"/>
      <c r="AM290" s="6">
        <f>(F290/100)*AM$41</f>
      </c>
      <c r="AN290" s="6">
        <f>(G290/100)*AN$41</f>
      </c>
      <c r="AO290" s="6">
        <f>(H290/1000000)*AO$41</f>
      </c>
      <c r="AP290" s="6">
        <f>(I290/100)*AP$41</f>
      </c>
      <c r="AQ290" s="6">
        <f>(J290/1000000)*AQ$41</f>
      </c>
      <c r="AR290" s="6">
        <f>(K290/100)*AR$41</f>
      </c>
      <c r="AS290" s="6">
        <f>(L290/100)*AS$41</f>
      </c>
      <c r="AT290" s="6">
        <f>(M290/100)*AT$41</f>
      </c>
      <c r="AU290" s="6">
        <f>(N290/100)*AU$41</f>
      </c>
      <c r="AV290" s="6">
        <f>(O290/1000000)*AV$41</f>
      </c>
      <c r="AW290" s="6">
        <f>(P290/100)*AW$41</f>
      </c>
      <c r="AX290" s="6">
        <f>(Q290/100)*AX$41</f>
      </c>
      <c r="AY290" s="6">
        <f>(R290/100)*AY$41</f>
      </c>
      <c r="AZ290" s="6">
        <f>(S290/100)*AZ$41</f>
      </c>
      <c r="BA290" s="6">
        <f>(T290/100)*BA$41</f>
      </c>
      <c r="BB290" s="6">
        <f>(U290/100)*BB$41</f>
      </c>
      <c r="BC290" s="6"/>
      <c r="BD290" s="3"/>
      <c r="BE290" s="3"/>
      <c r="BF290" s="7">
        <f>AF290*E290</f>
      </c>
      <c r="BG290" s="6"/>
      <c r="BH290" s="3"/>
      <c r="BI290" s="6"/>
    </row>
    <row x14ac:dyDescent="0.25" r="291" customHeight="1" ht="12.75">
      <c r="A291" s="5" t="s">
        <v>389</v>
      </c>
      <c r="B291" s="3" t="s">
        <v>855</v>
      </c>
      <c r="C291" s="43" t="s">
        <v>866</v>
      </c>
      <c r="D291" s="34" t="s">
        <v>988</v>
      </c>
      <c r="E291" s="6">
        <v>8.82</v>
      </c>
      <c r="F291" s="7">
        <v>4.455510204081633</v>
      </c>
      <c r="G291" s="7">
        <v>4.556394557823129</v>
      </c>
      <c r="H291" s="31">
        <v>98.34013605442176</v>
      </c>
      <c r="I291" s="6"/>
      <c r="J291" s="6"/>
      <c r="K291" s="7"/>
      <c r="L291" s="6"/>
      <c r="M291" s="6"/>
      <c r="N291" s="23"/>
      <c r="O291" s="5"/>
      <c r="P291" s="6"/>
      <c r="Q291" s="6"/>
      <c r="R291" s="6"/>
      <c r="S291" s="6"/>
      <c r="T291" s="6"/>
      <c r="U291" s="6"/>
      <c r="V291" s="5"/>
      <c r="W291" s="6"/>
      <c r="X291" s="6">
        <f>E291*F291/100</f>
      </c>
      <c r="Y291" s="6">
        <f>E291*G291/100</f>
      </c>
      <c r="Z291" s="7">
        <f>E291*H291</f>
      </c>
      <c r="AA291" s="7">
        <f>E291*J291</f>
      </c>
      <c r="AB291" s="6">
        <f>E291*I291/100</f>
      </c>
      <c r="AC291" s="15">
        <f>X291+Y291+AB291</f>
      </c>
      <c r="AD291" s="6">
        <f>F291+G291+I291</f>
      </c>
      <c r="AE291" s="3"/>
      <c r="AF291" s="6">
        <f>SUM(AM291:BC291)</f>
      </c>
      <c r="AG291" s="5">
        <f>IF(SUM(AM291:AO291)&gt;0.7*AF291,1,0)</f>
      </c>
      <c r="AH291" s="5">
        <f>IF(AN291&gt;0.4*AF291,1,0)</f>
      </c>
      <c r="AI291" s="5">
        <f>IF(SUM(AP291:AQ291)&gt;0.3*AF291,1,0)</f>
      </c>
      <c r="AJ291" s="5">
        <f>IF(AQ291&gt;0.2*AF291,1,0)</f>
      </c>
      <c r="AK291" s="5">
        <f>IF(SUM(AR291:BC291)&gt;0.3*AF291,1,0)</f>
      </c>
      <c r="AL291" s="3"/>
      <c r="AM291" s="6">
        <f>(F291/100)*AM$41</f>
      </c>
      <c r="AN291" s="6">
        <f>(G291/100)*AN$41</f>
      </c>
      <c r="AO291" s="6">
        <f>(H291/1000000)*AO$41</f>
      </c>
      <c r="AP291" s="6">
        <f>(I291/100)*AP$41</f>
      </c>
      <c r="AQ291" s="6">
        <f>(J291/1000000)*AQ$41</f>
      </c>
      <c r="AR291" s="6">
        <f>(K291/100)*AR$41</f>
      </c>
      <c r="AS291" s="6">
        <f>(L291/100)*AS$41</f>
      </c>
      <c r="AT291" s="6">
        <f>(M291/100)*AT$41</f>
      </c>
      <c r="AU291" s="6">
        <f>(N291/100)*AU$41</f>
      </c>
      <c r="AV291" s="6">
        <f>(O291/1000000)*AV$41</f>
      </c>
      <c r="AW291" s="6">
        <f>(P291/100)*AW$41</f>
      </c>
      <c r="AX291" s="6">
        <f>(Q291/100)*AX$41</f>
      </c>
      <c r="AY291" s="6">
        <f>(R291/100)*AY$41</f>
      </c>
      <c r="AZ291" s="6">
        <f>(S291/100)*AZ$41</f>
      </c>
      <c r="BA291" s="6">
        <f>(T291/100)*BA$41</f>
      </c>
      <c r="BB291" s="6">
        <f>(U291/100)*BB$41</f>
      </c>
      <c r="BC291" s="6"/>
      <c r="BD291" s="3"/>
      <c r="BE291" s="3"/>
      <c r="BF291" s="7">
        <f>AF291*E291</f>
      </c>
      <c r="BG291" s="6"/>
      <c r="BH291" s="3"/>
      <c r="BI291" s="6"/>
    </row>
    <row x14ac:dyDescent="0.25" r="292" customHeight="1" ht="12.75">
      <c r="A292" s="5" t="s">
        <v>467</v>
      </c>
      <c r="B292" s="3" t="s">
        <v>855</v>
      </c>
      <c r="C292" s="43" t="s">
        <v>866</v>
      </c>
      <c r="D292" s="34" t="s">
        <v>989</v>
      </c>
      <c r="E292" s="6">
        <v>32.120000000000005</v>
      </c>
      <c r="F292" s="6">
        <v>0.674719800747198</v>
      </c>
      <c r="G292" s="6">
        <v>1.7968430884184308</v>
      </c>
      <c r="H292" s="31"/>
      <c r="I292" s="6"/>
      <c r="J292" s="6"/>
      <c r="K292" s="7"/>
      <c r="L292" s="6"/>
      <c r="M292" s="6"/>
      <c r="N292" s="23"/>
      <c r="O292" s="5"/>
      <c r="P292" s="6"/>
      <c r="Q292" s="6"/>
      <c r="R292" s="6"/>
      <c r="S292" s="6"/>
      <c r="T292" s="6"/>
      <c r="U292" s="6"/>
      <c r="V292" s="5"/>
      <c r="W292" s="6"/>
      <c r="X292" s="6">
        <f>E292*F292/100</f>
      </c>
      <c r="Y292" s="6">
        <f>E292*G292/100</f>
      </c>
      <c r="Z292" s="7">
        <f>E292*H292</f>
      </c>
      <c r="AA292" s="7">
        <f>E292*J292</f>
      </c>
      <c r="AB292" s="6">
        <f>E292*I292/100</f>
      </c>
      <c r="AC292" s="15">
        <f>X292+Y292+AB292</f>
      </c>
      <c r="AD292" s="6">
        <f>F292+G292+I292</f>
      </c>
      <c r="AE292" s="3"/>
      <c r="AF292" s="6">
        <f>SUM(AM292:BC292)</f>
      </c>
      <c r="AG292" s="5">
        <f>IF(SUM(AM292:AO292)&gt;0.7*AF292,1,0)</f>
      </c>
      <c r="AH292" s="5">
        <f>IF(AN292&gt;0.4*AF292,1,0)</f>
      </c>
      <c r="AI292" s="5">
        <f>IF(SUM(AP292:AQ292)&gt;0.3*AF292,1,0)</f>
      </c>
      <c r="AJ292" s="5">
        <f>IF(AQ292&gt;0.2*AF292,1,0)</f>
      </c>
      <c r="AK292" s="5">
        <f>IF(SUM(AR292:BC292)&gt;0.3*AF292,1,0)</f>
      </c>
      <c r="AL292" s="3"/>
      <c r="AM292" s="6">
        <f>(F292/100)*AM$41</f>
      </c>
      <c r="AN292" s="6">
        <f>(G292/100)*AN$41</f>
      </c>
      <c r="AO292" s="6">
        <f>(H292/1000000)*AO$41</f>
      </c>
      <c r="AP292" s="6">
        <f>(I292/100)*AP$41</f>
      </c>
      <c r="AQ292" s="6">
        <f>(J292/1000000)*AQ$41</f>
      </c>
      <c r="AR292" s="6">
        <f>(K292/100)*AR$41</f>
      </c>
      <c r="AS292" s="6">
        <f>(L292/100)*AS$41</f>
      </c>
      <c r="AT292" s="6">
        <f>(M292/100)*AT$41</f>
      </c>
      <c r="AU292" s="6">
        <f>(N292/100)*AU$41</f>
      </c>
      <c r="AV292" s="6">
        <f>(O292/1000000)*AV$41</f>
      </c>
      <c r="AW292" s="6">
        <f>(P292/100)*AW$41</f>
      </c>
      <c r="AX292" s="6">
        <f>(Q292/100)*AX$41</f>
      </c>
      <c r="AY292" s="6">
        <f>(R292/100)*AY$41</f>
      </c>
      <c r="AZ292" s="6">
        <f>(S292/100)*AZ$41</f>
      </c>
      <c r="BA292" s="6">
        <f>(T292/100)*BA$41</f>
      </c>
      <c r="BB292" s="6">
        <f>(U292/100)*BB$41</f>
      </c>
      <c r="BC292" s="6"/>
      <c r="BD292" s="3"/>
      <c r="BE292" s="3"/>
      <c r="BF292" s="7">
        <f>AF292*E292</f>
      </c>
      <c r="BG292" s="6"/>
      <c r="BH292" s="3"/>
      <c r="BI292" s="6"/>
    </row>
    <row x14ac:dyDescent="0.25" r="293" customHeight="1" ht="12.75">
      <c r="A293" s="5" t="s">
        <v>474</v>
      </c>
      <c r="B293" s="3" t="s">
        <v>855</v>
      </c>
      <c r="C293" s="43" t="s">
        <v>866</v>
      </c>
      <c r="D293" s="34" t="s">
        <v>988</v>
      </c>
      <c r="E293" s="6">
        <v>11.14</v>
      </c>
      <c r="F293" s="6">
        <v>2.3538608617594257</v>
      </c>
      <c r="G293" s="6">
        <v>4.7060242369838425</v>
      </c>
      <c r="H293" s="7"/>
      <c r="I293" s="6"/>
      <c r="J293" s="6"/>
      <c r="K293" s="7"/>
      <c r="L293" s="6"/>
      <c r="M293" s="6"/>
      <c r="N293" s="23"/>
      <c r="O293" s="5"/>
      <c r="P293" s="6"/>
      <c r="Q293" s="6"/>
      <c r="R293" s="6"/>
      <c r="S293" s="6"/>
      <c r="T293" s="6"/>
      <c r="U293" s="6"/>
      <c r="V293" s="5"/>
      <c r="W293" s="6"/>
      <c r="X293" s="6">
        <f>E293*F293/100</f>
      </c>
      <c r="Y293" s="6">
        <f>E293*G293/100</f>
      </c>
      <c r="Z293" s="7">
        <f>E293*H293</f>
      </c>
      <c r="AA293" s="7">
        <f>E293*J293</f>
      </c>
      <c r="AB293" s="6">
        <f>E293*I293/100</f>
      </c>
      <c r="AC293" s="15">
        <f>X293+Y293+AB293</f>
      </c>
      <c r="AD293" s="6">
        <f>F293+G293+I293</f>
      </c>
      <c r="AE293" s="3"/>
      <c r="AF293" s="6">
        <f>SUM(AM293:BC293)</f>
      </c>
      <c r="AG293" s="5">
        <f>IF(SUM(AM293:AO293)&gt;0.7*AF293,1,0)</f>
      </c>
      <c r="AH293" s="5">
        <f>IF(AN293&gt;0.4*AF293,1,0)</f>
      </c>
      <c r="AI293" s="5">
        <f>IF(SUM(AP293:AQ293)&gt;0.3*AF293,1,0)</f>
      </c>
      <c r="AJ293" s="5">
        <f>IF(AQ293&gt;0.2*AF293,1,0)</f>
      </c>
      <c r="AK293" s="5">
        <f>IF(SUM(AR293:BC293)&gt;0.3*AF293,1,0)</f>
      </c>
      <c r="AL293" s="3"/>
      <c r="AM293" s="6">
        <f>(F293/100)*AM$41</f>
      </c>
      <c r="AN293" s="6">
        <f>(G293/100)*AN$41</f>
      </c>
      <c r="AO293" s="6">
        <f>(H293/1000000)*AO$41</f>
      </c>
      <c r="AP293" s="6">
        <f>(I293/100)*AP$41</f>
      </c>
      <c r="AQ293" s="6">
        <f>(J293/1000000)*AQ$41</f>
      </c>
      <c r="AR293" s="6">
        <f>(K293/100)*AR$41</f>
      </c>
      <c r="AS293" s="6">
        <f>(L293/100)*AS$41</f>
      </c>
      <c r="AT293" s="6">
        <f>(M293/100)*AT$41</f>
      </c>
      <c r="AU293" s="6">
        <f>(N293/100)*AU$41</f>
      </c>
      <c r="AV293" s="6">
        <f>(O293/1000000)*AV$41</f>
      </c>
      <c r="AW293" s="6">
        <f>(P293/100)*AW$41</f>
      </c>
      <c r="AX293" s="6">
        <f>(Q293/100)*AX$41</f>
      </c>
      <c r="AY293" s="6">
        <f>(R293/100)*AY$41</f>
      </c>
      <c r="AZ293" s="6">
        <f>(S293/100)*AZ$41</f>
      </c>
      <c r="BA293" s="6">
        <f>(T293/100)*BA$41</f>
      </c>
      <c r="BB293" s="6">
        <f>(U293/100)*BB$41</f>
      </c>
      <c r="BC293" s="6"/>
      <c r="BD293" s="3"/>
      <c r="BE293" s="3"/>
      <c r="BF293" s="7">
        <f>AF293*E293</f>
      </c>
      <c r="BG293" s="6"/>
      <c r="BH293" s="3"/>
      <c r="BI293" s="6"/>
    </row>
    <row x14ac:dyDescent="0.25" r="294" customHeight="1" ht="12.75">
      <c r="A294" s="5" t="s">
        <v>492</v>
      </c>
      <c r="B294" s="3" t="s">
        <v>855</v>
      </c>
      <c r="C294" s="43" t="s">
        <v>866</v>
      </c>
      <c r="D294" s="34" t="s">
        <v>989</v>
      </c>
      <c r="E294" s="6">
        <v>20.1</v>
      </c>
      <c r="F294" s="6"/>
      <c r="G294" s="6">
        <v>3.696761194029851</v>
      </c>
      <c r="H294" s="7"/>
      <c r="I294" s="6"/>
      <c r="J294" s="6"/>
      <c r="K294" s="7"/>
      <c r="L294" s="6"/>
      <c r="M294" s="6"/>
      <c r="N294" s="23"/>
      <c r="O294" s="5"/>
      <c r="P294" s="6"/>
      <c r="Q294" s="6"/>
      <c r="R294" s="6"/>
      <c r="S294" s="6"/>
      <c r="T294" s="6"/>
      <c r="U294" s="6"/>
      <c r="V294" s="5"/>
      <c r="W294" s="6"/>
      <c r="X294" s="6">
        <f>E294*F294/100</f>
      </c>
      <c r="Y294" s="6">
        <f>E294*G294/100</f>
      </c>
      <c r="Z294" s="7">
        <f>E294*H294</f>
      </c>
      <c r="AA294" s="7">
        <f>E294*J294</f>
      </c>
      <c r="AB294" s="6">
        <f>E294*I294/100</f>
      </c>
      <c r="AC294" s="15">
        <f>X294+Y294+AB294</f>
      </c>
      <c r="AD294" s="6">
        <f>F294+G294+I294</f>
      </c>
      <c r="AE294" s="3"/>
      <c r="AF294" s="6">
        <f>SUM(AM294:BC294)</f>
      </c>
      <c r="AG294" s="5">
        <f>IF(SUM(AM294:AO294)&gt;0.7*AF294,1,0)</f>
      </c>
      <c r="AH294" s="5">
        <f>IF(AN294&gt;0.4*AF294,1,0)</f>
      </c>
      <c r="AI294" s="5">
        <f>IF(SUM(AP294:AQ294)&gt;0.3*AF294,1,0)</f>
      </c>
      <c r="AJ294" s="5">
        <f>IF(AQ294&gt;0.2*AF294,1,0)</f>
      </c>
      <c r="AK294" s="5">
        <f>IF(SUM(AR294:BC294)&gt;0.3*AF294,1,0)</f>
      </c>
      <c r="AL294" s="3"/>
      <c r="AM294" s="6">
        <f>(F294/100)*AM$41</f>
      </c>
      <c r="AN294" s="6">
        <f>(G294/100)*AN$41</f>
      </c>
      <c r="AO294" s="6">
        <f>(H294/1000000)*AO$41</f>
      </c>
      <c r="AP294" s="6">
        <f>(I294/100)*AP$41</f>
      </c>
      <c r="AQ294" s="6">
        <f>(J294/1000000)*AQ$41</f>
      </c>
      <c r="AR294" s="6">
        <f>(K294/100)*AR$41</f>
      </c>
      <c r="AS294" s="6">
        <f>(L294/100)*AS$41</f>
      </c>
      <c r="AT294" s="6">
        <f>(M294/100)*AT$41</f>
      </c>
      <c r="AU294" s="6">
        <f>(N294/100)*AU$41</f>
      </c>
      <c r="AV294" s="6">
        <f>(O294/1000000)*AV$41</f>
      </c>
      <c r="AW294" s="6">
        <f>(P294/100)*AW$41</f>
      </c>
      <c r="AX294" s="6">
        <f>(Q294/100)*AX$41</f>
      </c>
      <c r="AY294" s="6">
        <f>(R294/100)*AY$41</f>
      </c>
      <c r="AZ294" s="6">
        <f>(S294/100)*AZ$41</f>
      </c>
      <c r="BA294" s="6">
        <f>(T294/100)*BA$41</f>
      </c>
      <c r="BB294" s="6">
        <f>(U294/100)*BB$41</f>
      </c>
      <c r="BC294" s="6"/>
      <c r="BD294" s="3"/>
      <c r="BE294" s="3"/>
      <c r="BF294" s="7">
        <f>AF294*E294</f>
      </c>
      <c r="BG294" s="6"/>
      <c r="BH294" s="3"/>
      <c r="BI294" s="6"/>
    </row>
    <row x14ac:dyDescent="0.25" r="295" customHeight="1" ht="12.75">
      <c r="A295" s="5" t="s">
        <v>187</v>
      </c>
      <c r="B295" s="3" t="s">
        <v>855</v>
      </c>
      <c r="C295" s="43" t="s">
        <v>866</v>
      </c>
      <c r="D295" s="34" t="s">
        <v>988</v>
      </c>
      <c r="E295" s="6">
        <v>485.0051789999999</v>
      </c>
      <c r="F295" s="6">
        <v>0.07722341148443697</v>
      </c>
      <c r="G295" s="6">
        <v>0.04448444443105629</v>
      </c>
      <c r="H295" s="7">
        <v>23.754100835282017</v>
      </c>
      <c r="I295" s="6">
        <v>0.022607938996874098</v>
      </c>
      <c r="J295" s="6"/>
      <c r="K295" s="7"/>
      <c r="L295" s="6"/>
      <c r="M295" s="6"/>
      <c r="N295" s="23"/>
      <c r="O295" s="7">
        <v>4.991158734203951</v>
      </c>
      <c r="P295" s="6"/>
      <c r="Q295" s="6"/>
      <c r="R295" s="6"/>
      <c r="S295" s="7"/>
      <c r="T295" s="7"/>
      <c r="U295" s="7"/>
      <c r="V295" s="7">
        <v>4.296427658352902</v>
      </c>
      <c r="W295" s="6" t="s">
        <v>995</v>
      </c>
      <c r="X295" s="6">
        <f>E295*F295/100</f>
      </c>
      <c r="Y295" s="6">
        <f>E295*G295/100</f>
      </c>
      <c r="Z295" s="7">
        <f>E295*H295</f>
      </c>
      <c r="AA295" s="7">
        <f>E295*J295</f>
      </c>
      <c r="AB295" s="6">
        <f>E295*I295/100</f>
      </c>
      <c r="AC295" s="15">
        <f>X295+Y295+AB295</f>
      </c>
      <c r="AD295" s="6">
        <f>F295+G295+I295</f>
      </c>
      <c r="AE295" s="3"/>
      <c r="AF295" s="6">
        <f>SUM(AM295:BC295)</f>
      </c>
      <c r="AG295" s="5">
        <f>IF(SUM(AM295:AO295)&gt;0.7*AF295,1,0)</f>
      </c>
      <c r="AH295" s="5">
        <f>IF(AN295&gt;0.4*AF295,1,0)</f>
      </c>
      <c r="AI295" s="5">
        <f>IF(SUM(AP295:AQ295)&gt;0.3*AF295,1,0)</f>
      </c>
      <c r="AJ295" s="5">
        <f>IF(AQ295&gt;0.2*AF295,1,0)</f>
      </c>
      <c r="AK295" s="5">
        <f>IF(SUM(AR295:BC295)&gt;0.3*AF295,1,0)</f>
      </c>
      <c r="AL295" s="3"/>
      <c r="AM295" s="6">
        <f>(F295/100)*AM$41</f>
      </c>
      <c r="AN295" s="6">
        <f>(G295/100)*AN$41</f>
      </c>
      <c r="AO295" s="6">
        <f>(H295/1000000)*AO$41</f>
      </c>
      <c r="AP295" s="6">
        <f>(I295/100)*AP$41</f>
      </c>
      <c r="AQ295" s="6">
        <f>(J295/1000000)*AQ$41</f>
      </c>
      <c r="AR295" s="6">
        <f>(K295/100)*AR$41</f>
      </c>
      <c r="AS295" s="6">
        <f>(L295/100)*AS$41</f>
      </c>
      <c r="AT295" s="6">
        <f>(M295/100)*AT$41</f>
      </c>
      <c r="AU295" s="6">
        <f>(N295/100)*AU$41</f>
      </c>
      <c r="AV295" s="6">
        <f>(O295/1000000)*AV$41</f>
      </c>
      <c r="AW295" s="6">
        <f>(P295/100)*AW$41</f>
      </c>
      <c r="AX295" s="6">
        <f>(Q295/100)*AX$41</f>
      </c>
      <c r="AY295" s="6">
        <f>(R295/100)*AY$41</f>
      </c>
      <c r="AZ295" s="6">
        <f>(S295/100)*AZ$41</f>
      </c>
      <c r="BA295" s="6">
        <f>(T295/100)*BA$41</f>
      </c>
      <c r="BB295" s="6">
        <f>(U295/100)*BB$41</f>
      </c>
      <c r="BC295" s="6">
        <f>(V295/1000000)*362000</f>
      </c>
      <c r="BD295" s="3" t="s">
        <v>996</v>
      </c>
      <c r="BE295" s="3"/>
      <c r="BF295" s="7">
        <f>AF295*E295</f>
      </c>
      <c r="BG295" s="6"/>
      <c r="BH295" s="3"/>
      <c r="BI295" s="6"/>
    </row>
    <row x14ac:dyDescent="0.25" r="296" customHeight="1" ht="12.75">
      <c r="A296" s="5" t="s">
        <v>503</v>
      </c>
      <c r="B296" s="3" t="s">
        <v>855</v>
      </c>
      <c r="C296" s="43" t="s">
        <v>866</v>
      </c>
      <c r="D296" s="34"/>
      <c r="E296" s="6">
        <v>9.205</v>
      </c>
      <c r="F296" s="6">
        <v>0.97</v>
      </c>
      <c r="G296" s="6">
        <v>6.6</v>
      </c>
      <c r="H296" s="5">
        <v>19</v>
      </c>
      <c r="I296" s="6"/>
      <c r="J296" s="6"/>
      <c r="K296" s="7"/>
      <c r="L296" s="6"/>
      <c r="M296" s="6"/>
      <c r="N296" s="23"/>
      <c r="O296" s="5"/>
      <c r="P296" s="6"/>
      <c r="Q296" s="6"/>
      <c r="R296" s="6"/>
      <c r="S296" s="6"/>
      <c r="T296" s="6"/>
      <c r="U296" s="6"/>
      <c r="V296" s="5"/>
      <c r="W296" s="6"/>
      <c r="X296" s="6">
        <f>E296*F296/100</f>
      </c>
      <c r="Y296" s="6">
        <f>E296*G296/100</f>
      </c>
      <c r="Z296" s="7">
        <f>E296*H296</f>
      </c>
      <c r="AA296" s="7">
        <f>E296*J296</f>
      </c>
      <c r="AB296" s="6">
        <f>E296*I296/100</f>
      </c>
      <c r="AC296" s="15">
        <f>X296+Y296+AB296</f>
      </c>
      <c r="AD296" s="6">
        <f>F296+G296+I296</f>
      </c>
      <c r="AE296" s="3"/>
      <c r="AF296" s="6">
        <f>SUM(AM296:BC296)</f>
      </c>
      <c r="AG296" s="5">
        <f>IF(SUM(AM296:AO296)&gt;0.7*AF296,1,0)</f>
      </c>
      <c r="AH296" s="5">
        <f>IF(AN296&gt;0.4*AF296,1,0)</f>
      </c>
      <c r="AI296" s="5">
        <f>IF(SUM(AP296:AQ296)&gt;0.3*AF296,1,0)</f>
      </c>
      <c r="AJ296" s="5">
        <f>IF(AQ296&gt;0.2*AF296,1,0)</f>
      </c>
      <c r="AK296" s="5">
        <f>IF(SUM(AR296:BC296)&gt;0.3*AF296,1,0)</f>
      </c>
      <c r="AL296" s="3"/>
      <c r="AM296" s="6">
        <f>(F296/100)*AM$41</f>
      </c>
      <c r="AN296" s="6">
        <f>(G296/100)*AN$41</f>
      </c>
      <c r="AO296" s="6">
        <f>(H296/1000000)*AO$41</f>
      </c>
      <c r="AP296" s="6">
        <f>(I296/100)*AP$41</f>
      </c>
      <c r="AQ296" s="6">
        <f>(J296/1000000)*AQ$41</f>
      </c>
      <c r="AR296" s="6">
        <f>(K296/100)*AR$41</f>
      </c>
      <c r="AS296" s="6">
        <f>(L296/100)*AS$41</f>
      </c>
      <c r="AT296" s="6">
        <f>(M296/100)*AT$41</f>
      </c>
      <c r="AU296" s="6">
        <f>(N296/100)*AU$41</f>
      </c>
      <c r="AV296" s="6">
        <f>(O296/1000000)*AV$41</f>
      </c>
      <c r="AW296" s="6">
        <f>(P296/100)*AW$41</f>
      </c>
      <c r="AX296" s="6">
        <f>(Q296/100)*AX$41</f>
      </c>
      <c r="AY296" s="6">
        <f>(R296/100)*AY$41</f>
      </c>
      <c r="AZ296" s="6">
        <f>(S296/100)*AZ$41</f>
      </c>
      <c r="BA296" s="6">
        <f>(T296/100)*BA$41</f>
      </c>
      <c r="BB296" s="6">
        <f>(U296/100)*BB$41</f>
      </c>
      <c r="BC296" s="6"/>
      <c r="BD296" s="3"/>
      <c r="BE296" s="3"/>
      <c r="BF296" s="7">
        <f>AF296*E296</f>
      </c>
      <c r="BG296" s="6"/>
      <c r="BH296" s="3"/>
      <c r="BI296" s="6"/>
    </row>
    <row x14ac:dyDescent="0.25" r="297" customHeight="1" ht="12.75">
      <c r="A297" s="5" t="s">
        <v>460</v>
      </c>
      <c r="B297" s="3" t="s">
        <v>855</v>
      </c>
      <c r="C297" s="43" t="s">
        <v>866</v>
      </c>
      <c r="D297" s="34" t="s">
        <v>988</v>
      </c>
      <c r="E297" s="6">
        <v>8.27</v>
      </c>
      <c r="F297" s="7">
        <v>2.421064087061669</v>
      </c>
      <c r="G297" s="7">
        <v>5.698101571946796</v>
      </c>
      <c r="H297" s="31">
        <v>35.54268440145103</v>
      </c>
      <c r="I297" s="6"/>
      <c r="J297" s="6"/>
      <c r="K297" s="7"/>
      <c r="L297" s="6"/>
      <c r="M297" s="6"/>
      <c r="N297" s="23"/>
      <c r="O297" s="5"/>
      <c r="P297" s="6"/>
      <c r="Q297" s="6"/>
      <c r="R297" s="6"/>
      <c r="S297" s="6"/>
      <c r="T297" s="6"/>
      <c r="U297" s="6"/>
      <c r="V297" s="5"/>
      <c r="W297" s="6"/>
      <c r="X297" s="6">
        <f>E297*F297/100</f>
      </c>
      <c r="Y297" s="6">
        <f>E297*G297/100</f>
      </c>
      <c r="Z297" s="7">
        <f>E297*H297</f>
      </c>
      <c r="AA297" s="7">
        <f>E297*J297</f>
      </c>
      <c r="AB297" s="6">
        <f>E297*I297/100</f>
      </c>
      <c r="AC297" s="15">
        <f>X297+Y297+AB297</f>
      </c>
      <c r="AD297" s="6">
        <f>F297+G297+I297</f>
      </c>
      <c r="AE297" s="3"/>
      <c r="AF297" s="6">
        <f>SUM(AM297:BC297)</f>
      </c>
      <c r="AG297" s="5">
        <f>IF(SUM(AM297:AO297)&gt;0.7*AF297,1,0)</f>
      </c>
      <c r="AH297" s="5">
        <f>IF(AN297&gt;0.4*AF297,1,0)</f>
      </c>
      <c r="AI297" s="5">
        <f>IF(SUM(AP297:AQ297)&gt;0.3*AF297,1,0)</f>
      </c>
      <c r="AJ297" s="5">
        <f>IF(AQ297&gt;0.2*AF297,1,0)</f>
      </c>
      <c r="AK297" s="5">
        <f>IF(SUM(AR297:BC297)&gt;0.3*AF297,1,0)</f>
      </c>
      <c r="AL297" s="3"/>
      <c r="AM297" s="6">
        <f>(F297/100)*AM$41</f>
      </c>
      <c r="AN297" s="6">
        <f>(G297/100)*AN$41</f>
      </c>
      <c r="AO297" s="6">
        <f>(H297/1000000)*AO$41</f>
      </c>
      <c r="AP297" s="6">
        <f>(I297/100)*AP$41</f>
      </c>
      <c r="AQ297" s="6">
        <f>(J297/1000000)*AQ$41</f>
      </c>
      <c r="AR297" s="6">
        <f>(K297/100)*AR$41</f>
      </c>
      <c r="AS297" s="6">
        <f>(L297/100)*AS$41</f>
      </c>
      <c r="AT297" s="6">
        <f>(M297/100)*AT$41</f>
      </c>
      <c r="AU297" s="6">
        <f>(N297/100)*AU$41</f>
      </c>
      <c r="AV297" s="6">
        <f>(O297/1000000)*AV$41</f>
      </c>
      <c r="AW297" s="6">
        <f>(P297/100)*AW$41</f>
      </c>
      <c r="AX297" s="6">
        <f>(Q297/100)*AX$41</f>
      </c>
      <c r="AY297" s="6">
        <f>(R297/100)*AY$41</f>
      </c>
      <c r="AZ297" s="6">
        <f>(S297/100)*AZ$41</f>
      </c>
      <c r="BA297" s="6">
        <f>(T297/100)*BA$41</f>
      </c>
      <c r="BB297" s="6">
        <f>(U297/100)*BB$41</f>
      </c>
      <c r="BC297" s="6"/>
      <c r="BD297" s="3"/>
      <c r="BE297" s="3"/>
      <c r="BF297" s="7">
        <f>AF297*E297</f>
      </c>
      <c r="BG297" s="6"/>
      <c r="BH297" s="3"/>
      <c r="BI297" s="6"/>
    </row>
    <row x14ac:dyDescent="0.25" r="298" customHeight="1" ht="12.75">
      <c r="A298" s="5" t="s">
        <v>523</v>
      </c>
      <c r="B298" s="3" t="s">
        <v>855</v>
      </c>
      <c r="C298" s="43" t="s">
        <v>866</v>
      </c>
      <c r="D298" s="34" t="s">
        <v>988</v>
      </c>
      <c r="E298" s="6">
        <v>12.1</v>
      </c>
      <c r="F298" s="6">
        <v>1.16</v>
      </c>
      <c r="G298" s="6">
        <v>4.31</v>
      </c>
      <c r="H298" s="7"/>
      <c r="I298" s="6"/>
      <c r="J298" s="6"/>
      <c r="K298" s="7"/>
      <c r="L298" s="6"/>
      <c r="M298" s="6"/>
      <c r="N298" s="23"/>
      <c r="O298" s="5"/>
      <c r="P298" s="6"/>
      <c r="Q298" s="6"/>
      <c r="R298" s="6"/>
      <c r="S298" s="6"/>
      <c r="T298" s="6"/>
      <c r="U298" s="6"/>
      <c r="V298" s="5"/>
      <c r="W298" s="6"/>
      <c r="X298" s="6">
        <f>E298*F298/100</f>
      </c>
      <c r="Y298" s="6">
        <f>E298*G298/100</f>
      </c>
      <c r="Z298" s="7">
        <f>E298*H298</f>
      </c>
      <c r="AA298" s="7">
        <f>E298*J298</f>
      </c>
      <c r="AB298" s="6">
        <f>E298*I298/100</f>
      </c>
      <c r="AC298" s="15">
        <f>X298+Y298+AB298</f>
      </c>
      <c r="AD298" s="6">
        <f>F298+G298+I298</f>
      </c>
      <c r="AE298" s="3"/>
      <c r="AF298" s="6">
        <f>SUM(AM298:BC298)</f>
      </c>
      <c r="AG298" s="5">
        <f>IF(SUM(AM298:AO298)&gt;0.7*AF298,1,0)</f>
      </c>
      <c r="AH298" s="5">
        <f>IF(AN298&gt;0.4*AF298,1,0)</f>
      </c>
      <c r="AI298" s="5">
        <f>IF(SUM(AP298:AQ298)&gt;0.3*AF298,1,0)</f>
      </c>
      <c r="AJ298" s="5">
        <f>IF(AQ298&gt;0.2*AF298,1,0)</f>
      </c>
      <c r="AK298" s="5">
        <f>IF(SUM(AR298:BC298)&gt;0.3*AF298,1,0)</f>
      </c>
      <c r="AL298" s="3"/>
      <c r="AM298" s="6">
        <f>(F298/100)*AM$41</f>
      </c>
      <c r="AN298" s="6">
        <f>(G298/100)*AN$41</f>
      </c>
      <c r="AO298" s="6">
        <f>(H298/1000000)*AO$41</f>
      </c>
      <c r="AP298" s="6">
        <f>(I298/100)*AP$41</f>
      </c>
      <c r="AQ298" s="6">
        <f>(J298/1000000)*AQ$41</f>
      </c>
      <c r="AR298" s="6">
        <f>(K298/100)*AR$41</f>
      </c>
      <c r="AS298" s="6">
        <f>(L298/100)*AS$41</f>
      </c>
      <c r="AT298" s="6">
        <f>(M298/100)*AT$41</f>
      </c>
      <c r="AU298" s="6">
        <f>(N298/100)*AU$41</f>
      </c>
      <c r="AV298" s="6">
        <f>(O298/1000000)*AV$41</f>
      </c>
      <c r="AW298" s="6">
        <f>(P298/100)*AW$41</f>
      </c>
      <c r="AX298" s="6">
        <f>(Q298/100)*AX$41</f>
      </c>
      <c r="AY298" s="6">
        <f>(R298/100)*AY$41</f>
      </c>
      <c r="AZ298" s="6">
        <f>(S298/100)*AZ$41</f>
      </c>
      <c r="BA298" s="6">
        <f>(T298/100)*BA$41</f>
      </c>
      <c r="BB298" s="6">
        <f>(U298/100)*BB$41</f>
      </c>
      <c r="BC298" s="6"/>
      <c r="BD298" s="3"/>
      <c r="BE298" s="3"/>
      <c r="BF298" s="7">
        <f>AF298*E298</f>
      </c>
      <c r="BG298" s="6"/>
      <c r="BH298" s="3"/>
      <c r="BI298" s="6"/>
    </row>
    <row x14ac:dyDescent="0.25" r="299" customHeight="1" ht="12.75">
      <c r="A299" s="5" t="s">
        <v>536</v>
      </c>
      <c r="B299" s="3" t="s">
        <v>855</v>
      </c>
      <c r="C299" s="43" t="s">
        <v>866</v>
      </c>
      <c r="D299" s="34" t="s">
        <v>988</v>
      </c>
      <c r="E299" s="6">
        <v>11.868</v>
      </c>
      <c r="F299" s="6">
        <v>2</v>
      </c>
      <c r="G299" s="6">
        <v>3.24</v>
      </c>
      <c r="H299" s="6">
        <v>11.14</v>
      </c>
      <c r="I299" s="6">
        <v>0.1</v>
      </c>
      <c r="J299" s="6">
        <v>0.3</v>
      </c>
      <c r="K299" s="7"/>
      <c r="L299" s="6"/>
      <c r="M299" s="6"/>
      <c r="N299" s="23"/>
      <c r="O299" s="5"/>
      <c r="P299" s="6"/>
      <c r="Q299" s="6"/>
      <c r="R299" s="6"/>
      <c r="S299" s="6"/>
      <c r="T299" s="6"/>
      <c r="U299" s="6"/>
      <c r="V299" s="5"/>
      <c r="W299" s="6"/>
      <c r="X299" s="6">
        <f>E299*F299/100</f>
      </c>
      <c r="Y299" s="6">
        <f>E299*G299/100</f>
      </c>
      <c r="Z299" s="7">
        <f>E299*H299</f>
      </c>
      <c r="AA299" s="7">
        <f>E299*J299</f>
      </c>
      <c r="AB299" s="6">
        <f>E299*I299/100</f>
      </c>
      <c r="AC299" s="15">
        <f>X299+Y299+AB299</f>
      </c>
      <c r="AD299" s="6">
        <f>F299+G299+I299</f>
      </c>
      <c r="AE299" s="3"/>
      <c r="AF299" s="6">
        <f>SUM(AM299:BC299)</f>
      </c>
      <c r="AG299" s="5">
        <f>IF(SUM(AM299:AO299)&gt;0.7*AF299,1,0)</f>
      </c>
      <c r="AH299" s="5">
        <f>IF(AN299&gt;0.4*AF299,1,0)</f>
      </c>
      <c r="AI299" s="5">
        <f>IF(SUM(AP299:AQ299)&gt;0.3*AF299,1,0)</f>
      </c>
      <c r="AJ299" s="5">
        <f>IF(AQ299&gt;0.2*AF299,1,0)</f>
      </c>
      <c r="AK299" s="5">
        <f>IF(SUM(AR299:BC299)&gt;0.3*AF299,1,0)</f>
      </c>
      <c r="AL299" s="3"/>
      <c r="AM299" s="6">
        <f>(F299/100)*AM$41</f>
      </c>
      <c r="AN299" s="6">
        <f>(G299/100)*AN$41</f>
      </c>
      <c r="AO299" s="6">
        <f>(H299/1000000)*AO$41</f>
      </c>
      <c r="AP299" s="6">
        <f>(I299/100)*AP$41</f>
      </c>
      <c r="AQ299" s="6">
        <f>(J299/1000000)*AQ$41</f>
      </c>
      <c r="AR299" s="6">
        <f>(K299/100)*AR$41</f>
      </c>
      <c r="AS299" s="6">
        <f>(L299/100)*AS$41</f>
      </c>
      <c r="AT299" s="6">
        <f>(M299/100)*AT$41</f>
      </c>
      <c r="AU299" s="6">
        <f>(N299/100)*AU$41</f>
      </c>
      <c r="AV299" s="6">
        <f>(O299/1000000)*AV$41</f>
      </c>
      <c r="AW299" s="6">
        <f>(P299/100)*AW$41</f>
      </c>
      <c r="AX299" s="6">
        <f>(Q299/100)*AX$41</f>
      </c>
      <c r="AY299" s="6">
        <f>(R299/100)*AY$41</f>
      </c>
      <c r="AZ299" s="6">
        <f>(S299/100)*AZ$41</f>
      </c>
      <c r="BA299" s="6">
        <f>(T299/100)*BA$41</f>
      </c>
      <c r="BB299" s="6">
        <f>(U299/100)*BB$41</f>
      </c>
      <c r="BC299" s="6"/>
      <c r="BD299" s="3"/>
      <c r="BE299" s="3"/>
      <c r="BF299" s="7">
        <f>AF299*E299</f>
      </c>
      <c r="BG299" s="6"/>
      <c r="BH299" s="3"/>
      <c r="BI299" s="6"/>
    </row>
    <row x14ac:dyDescent="0.25" r="300" customHeight="1" ht="12.75">
      <c r="A300" s="5" t="s">
        <v>565</v>
      </c>
      <c r="B300" s="3" t="s">
        <v>855</v>
      </c>
      <c r="C300" s="43" t="s">
        <v>866</v>
      </c>
      <c r="D300" s="34" t="s">
        <v>989</v>
      </c>
      <c r="E300" s="6">
        <v>10.824000000000002</v>
      </c>
      <c r="F300" s="6">
        <v>1.1653492239467846</v>
      </c>
      <c r="G300" s="6">
        <v>4.150274390243902</v>
      </c>
      <c r="H300" s="7">
        <v>7.554871581670362</v>
      </c>
      <c r="I300" s="6"/>
      <c r="J300" s="6"/>
      <c r="K300" s="7"/>
      <c r="L300" s="6"/>
      <c r="M300" s="6"/>
      <c r="N300" s="23"/>
      <c r="O300" s="5"/>
      <c r="P300" s="6"/>
      <c r="Q300" s="6"/>
      <c r="R300" s="6"/>
      <c r="S300" s="6"/>
      <c r="T300" s="6"/>
      <c r="U300" s="6"/>
      <c r="V300" s="5"/>
      <c r="W300" s="6"/>
      <c r="X300" s="6">
        <f>E300*F300/100</f>
      </c>
      <c r="Y300" s="6">
        <f>E300*G300/100</f>
      </c>
      <c r="Z300" s="7">
        <f>E300*H300</f>
      </c>
      <c r="AA300" s="7">
        <f>E300*J300</f>
      </c>
      <c r="AB300" s="6">
        <f>E300*I300/100</f>
      </c>
      <c r="AC300" s="15">
        <f>X300+Y300+AB300</f>
      </c>
      <c r="AD300" s="6">
        <f>F300+G300+I300</f>
      </c>
      <c r="AE300" s="3"/>
      <c r="AF300" s="6">
        <f>SUM(AM300:BC300)</f>
      </c>
      <c r="AG300" s="5">
        <f>IF(SUM(AM300:AO300)&gt;0.7*AF300,1,0)</f>
      </c>
      <c r="AH300" s="5">
        <f>IF(AN300&gt;0.4*AF300,1,0)</f>
      </c>
      <c r="AI300" s="5">
        <f>IF(SUM(AP300:AQ300)&gt;0.3*AF300,1,0)</f>
      </c>
      <c r="AJ300" s="5">
        <f>IF(AQ300&gt;0.2*AF300,1,0)</f>
      </c>
      <c r="AK300" s="5">
        <f>IF(SUM(AR300:BC300)&gt;0.3*AF300,1,0)</f>
      </c>
      <c r="AL300" s="3"/>
      <c r="AM300" s="6">
        <f>(F300/100)*AM$41</f>
      </c>
      <c r="AN300" s="6">
        <f>(G300/100)*AN$41</f>
      </c>
      <c r="AO300" s="6">
        <f>(H300/1000000)*AO$41</f>
      </c>
      <c r="AP300" s="6">
        <f>(I300/100)*AP$41</f>
      </c>
      <c r="AQ300" s="6">
        <f>(J300/1000000)*AQ$41</f>
      </c>
      <c r="AR300" s="6">
        <f>(K300/100)*AR$41</f>
      </c>
      <c r="AS300" s="6">
        <f>(L300/100)*AS$41</f>
      </c>
      <c r="AT300" s="6">
        <f>(M300/100)*AT$41</f>
      </c>
      <c r="AU300" s="6">
        <f>(N300/100)*AU$41</f>
      </c>
      <c r="AV300" s="6">
        <f>(O300/1000000)*AV$41</f>
      </c>
      <c r="AW300" s="6">
        <f>(P300/100)*AW$41</f>
      </c>
      <c r="AX300" s="6">
        <f>(Q300/100)*AX$41</f>
      </c>
      <c r="AY300" s="6">
        <f>(R300/100)*AY$41</f>
      </c>
      <c r="AZ300" s="6">
        <f>(S300/100)*AZ$41</f>
      </c>
      <c r="BA300" s="6">
        <f>(T300/100)*BA$41</f>
      </c>
      <c r="BB300" s="6">
        <f>(U300/100)*BB$41</f>
      </c>
      <c r="BC300" s="6"/>
      <c r="BD300" s="3"/>
      <c r="BE300" s="3"/>
      <c r="BF300" s="7">
        <f>AF300*E300</f>
      </c>
      <c r="BG300" s="6"/>
      <c r="BH300" s="3"/>
      <c r="BI300" s="6"/>
    </row>
    <row x14ac:dyDescent="0.25" r="301" customHeight="1" ht="12.75">
      <c r="A301" s="5" t="s">
        <v>156</v>
      </c>
      <c r="B301" s="3" t="s">
        <v>855</v>
      </c>
      <c r="C301" s="43" t="s">
        <v>866</v>
      </c>
      <c r="D301" s="34" t="s">
        <v>989</v>
      </c>
      <c r="E301" s="6">
        <v>3.8</v>
      </c>
      <c r="F301" s="6">
        <v>2.096315789473684</v>
      </c>
      <c r="G301" s="6">
        <v>12.555000000000001</v>
      </c>
      <c r="H301" s="7"/>
      <c r="I301" s="6"/>
      <c r="J301" s="6"/>
      <c r="K301" s="7"/>
      <c r="L301" s="6"/>
      <c r="M301" s="6"/>
      <c r="N301" s="23"/>
      <c r="O301" s="5"/>
      <c r="P301" s="6"/>
      <c r="Q301" s="6"/>
      <c r="R301" s="6"/>
      <c r="S301" s="6"/>
      <c r="T301" s="6"/>
      <c r="U301" s="6"/>
      <c r="V301" s="5"/>
      <c r="W301" s="6"/>
      <c r="X301" s="6">
        <f>E301*F301/100</f>
      </c>
      <c r="Y301" s="6">
        <f>E301*G301/100</f>
      </c>
      <c r="Z301" s="7">
        <f>E301*H301</f>
      </c>
      <c r="AA301" s="7">
        <f>E301*J301</f>
      </c>
      <c r="AB301" s="6">
        <f>E301*I301/100</f>
      </c>
      <c r="AC301" s="15">
        <f>X301+Y301+AB301</f>
      </c>
      <c r="AD301" s="6">
        <f>F301+G301+I301</f>
      </c>
      <c r="AE301" s="3"/>
      <c r="AF301" s="6">
        <f>SUM(AM301:BC301)</f>
      </c>
      <c r="AG301" s="5">
        <f>IF(SUM(AM301:AO301)&gt;0.7*AF301,1,0)</f>
      </c>
      <c r="AH301" s="5">
        <f>IF(AN301&gt;0.4*AF301,1,0)</f>
      </c>
      <c r="AI301" s="5">
        <f>IF(SUM(AP301:AQ301)&gt;0.3*AF301,1,0)</f>
      </c>
      <c r="AJ301" s="5">
        <f>IF(AQ301&gt;0.2*AF301,1,0)</f>
      </c>
      <c r="AK301" s="5">
        <f>IF(SUM(AR301:BC301)&gt;0.3*AF301,1,0)</f>
      </c>
      <c r="AL301" s="3"/>
      <c r="AM301" s="6">
        <f>(F301/100)*AM$41</f>
      </c>
      <c r="AN301" s="6">
        <f>(G301/100)*AN$41</f>
      </c>
      <c r="AO301" s="6">
        <f>(H301/1000000)*AO$41</f>
      </c>
      <c r="AP301" s="6">
        <f>(I301/100)*AP$41</f>
      </c>
      <c r="AQ301" s="6">
        <f>(J301/1000000)*AQ$41</f>
      </c>
      <c r="AR301" s="6">
        <f>(K301/100)*AR$41</f>
      </c>
      <c r="AS301" s="6">
        <f>(L301/100)*AS$41</f>
      </c>
      <c r="AT301" s="6">
        <f>(M301/100)*AT$41</f>
      </c>
      <c r="AU301" s="6">
        <f>(N301/100)*AU$41</f>
      </c>
      <c r="AV301" s="6">
        <f>(O301/1000000)*AV$41</f>
      </c>
      <c r="AW301" s="6">
        <f>(P301/100)*AW$41</f>
      </c>
      <c r="AX301" s="6">
        <f>(Q301/100)*AX$41</f>
      </c>
      <c r="AY301" s="6">
        <f>(R301/100)*AY$41</f>
      </c>
      <c r="AZ301" s="6">
        <f>(S301/100)*AZ$41</f>
      </c>
      <c r="BA301" s="6">
        <f>(T301/100)*BA$41</f>
      </c>
      <c r="BB301" s="6">
        <f>(U301/100)*BB$41</f>
      </c>
      <c r="BC301" s="6"/>
      <c r="BD301" s="3"/>
      <c r="BE301" s="3"/>
      <c r="BF301" s="7">
        <f>AF301*E301</f>
      </c>
      <c r="BG301" s="6"/>
      <c r="BH301" s="3"/>
      <c r="BI301" s="6"/>
    </row>
    <row x14ac:dyDescent="0.25" r="302" customHeight="1" ht="12.75">
      <c r="A302" s="5" t="s">
        <v>572</v>
      </c>
      <c r="B302" s="3" t="s">
        <v>855</v>
      </c>
      <c r="C302" s="43" t="s">
        <v>866</v>
      </c>
      <c r="D302" s="34"/>
      <c r="E302" s="6">
        <v>24.381</v>
      </c>
      <c r="F302" s="6">
        <v>0.45</v>
      </c>
      <c r="G302" s="6">
        <v>1.81</v>
      </c>
      <c r="H302" s="6">
        <v>4.57</v>
      </c>
      <c r="I302" s="6"/>
      <c r="J302" s="6"/>
      <c r="K302" s="7"/>
      <c r="L302" s="6"/>
      <c r="M302" s="6"/>
      <c r="N302" s="23"/>
      <c r="O302" s="5"/>
      <c r="P302" s="6"/>
      <c r="Q302" s="6"/>
      <c r="R302" s="6"/>
      <c r="S302" s="6"/>
      <c r="T302" s="6"/>
      <c r="U302" s="6"/>
      <c r="V302" s="5"/>
      <c r="W302" s="6"/>
      <c r="X302" s="6">
        <f>E302*F302/100</f>
      </c>
      <c r="Y302" s="6">
        <f>E302*G302/100</f>
      </c>
      <c r="Z302" s="7">
        <f>E302*H302</f>
      </c>
      <c r="AA302" s="7">
        <f>E302*J302</f>
      </c>
      <c r="AB302" s="6">
        <f>E302*I302/100</f>
      </c>
      <c r="AC302" s="15">
        <f>X302+Y302+AB302</f>
      </c>
      <c r="AD302" s="6">
        <f>F302+G302+I302</f>
      </c>
      <c r="AE302" s="3"/>
      <c r="AF302" s="6">
        <f>SUM(AM302:BC302)</f>
      </c>
      <c r="AG302" s="5">
        <f>IF(SUM(AM302:AO302)&gt;0.7*AF302,1,0)</f>
      </c>
      <c r="AH302" s="5">
        <f>IF(AN302&gt;0.4*AF302,1,0)</f>
      </c>
      <c r="AI302" s="5">
        <f>IF(SUM(AP302:AQ302)&gt;0.3*AF302,1,0)</f>
      </c>
      <c r="AJ302" s="5">
        <f>IF(AQ302&gt;0.2*AF302,1,0)</f>
      </c>
      <c r="AK302" s="5">
        <f>IF(SUM(AR302:BC302)&gt;0.3*AF302,1,0)</f>
      </c>
      <c r="AL302" s="3"/>
      <c r="AM302" s="6">
        <f>(F302/100)*AM$41</f>
      </c>
      <c r="AN302" s="6">
        <f>(G302/100)*AN$41</f>
      </c>
      <c r="AO302" s="6">
        <f>(H302/1000000)*AO$41</f>
      </c>
      <c r="AP302" s="6">
        <f>(I302/100)*AP$41</f>
      </c>
      <c r="AQ302" s="6">
        <f>(J302/1000000)*AQ$41</f>
      </c>
      <c r="AR302" s="6">
        <f>(K302/100)*AR$41</f>
      </c>
      <c r="AS302" s="6">
        <f>(L302/100)*AS$41</f>
      </c>
      <c r="AT302" s="6">
        <f>(M302/100)*AT$41</f>
      </c>
      <c r="AU302" s="6">
        <f>(N302/100)*AU$41</f>
      </c>
      <c r="AV302" s="6">
        <f>(O302/1000000)*AV$41</f>
      </c>
      <c r="AW302" s="6">
        <f>(P302/100)*AW$41</f>
      </c>
      <c r="AX302" s="6">
        <f>(Q302/100)*AX$41</f>
      </c>
      <c r="AY302" s="6">
        <f>(R302/100)*AY$41</f>
      </c>
      <c r="AZ302" s="6">
        <f>(S302/100)*AZ$41</f>
      </c>
      <c r="BA302" s="6">
        <f>(T302/100)*BA$41</f>
      </c>
      <c r="BB302" s="6">
        <f>(U302/100)*BB$41</f>
      </c>
      <c r="BC302" s="6"/>
      <c r="BD302" s="3"/>
      <c r="BE302" s="3"/>
      <c r="BF302" s="7">
        <f>AF302*E302</f>
      </c>
      <c r="BG302" s="6"/>
      <c r="BH302" s="3"/>
      <c r="BI302" s="6"/>
    </row>
    <row x14ac:dyDescent="0.25" r="303" customHeight="1" ht="12.75">
      <c r="A303" s="5" t="s">
        <v>581</v>
      </c>
      <c r="B303" s="3" t="s">
        <v>855</v>
      </c>
      <c r="C303" s="43" t="s">
        <v>866</v>
      </c>
      <c r="D303" s="34" t="s">
        <v>989</v>
      </c>
      <c r="E303" s="6">
        <v>11.522</v>
      </c>
      <c r="F303" s="6">
        <v>1.6307559451484115</v>
      </c>
      <c r="G303" s="6">
        <v>2.9680133657351155</v>
      </c>
      <c r="H303" s="7"/>
      <c r="I303" s="6"/>
      <c r="J303" s="6"/>
      <c r="K303" s="7"/>
      <c r="L303" s="6"/>
      <c r="M303" s="6"/>
      <c r="N303" s="23"/>
      <c r="O303" s="5"/>
      <c r="P303" s="6"/>
      <c r="Q303" s="6"/>
      <c r="R303" s="6"/>
      <c r="S303" s="6"/>
      <c r="T303" s="6"/>
      <c r="U303" s="6"/>
      <c r="V303" s="5"/>
      <c r="W303" s="6"/>
      <c r="X303" s="6">
        <f>E303*F303/100</f>
      </c>
      <c r="Y303" s="6">
        <f>E303*G303/100</f>
      </c>
      <c r="Z303" s="7">
        <f>E303*H303</f>
      </c>
      <c r="AA303" s="7">
        <f>E303*J303</f>
      </c>
      <c r="AB303" s="6">
        <f>E303*I303/100</f>
      </c>
      <c r="AC303" s="15">
        <f>X303+Y303+AB303</f>
      </c>
      <c r="AD303" s="6">
        <f>F303+G303+I303</f>
      </c>
      <c r="AE303" s="3"/>
      <c r="AF303" s="6">
        <f>SUM(AM303:BC303)</f>
      </c>
      <c r="AG303" s="5">
        <f>IF(SUM(AM303:AO303)&gt;0.7*AF303,1,0)</f>
      </c>
      <c r="AH303" s="5">
        <f>IF(AN303&gt;0.4*AF303,1,0)</f>
      </c>
      <c r="AI303" s="5">
        <f>IF(SUM(AP303:AQ303)&gt;0.3*AF303,1,0)</f>
      </c>
      <c r="AJ303" s="5">
        <f>IF(AQ303&gt;0.2*AF303,1,0)</f>
      </c>
      <c r="AK303" s="5">
        <f>IF(SUM(AR303:BC303)&gt;0.3*AF303,1,0)</f>
      </c>
      <c r="AL303" s="3"/>
      <c r="AM303" s="6">
        <f>(F303/100)*AM$41</f>
      </c>
      <c r="AN303" s="6">
        <f>(G303/100)*AN$41</f>
      </c>
      <c r="AO303" s="6">
        <f>(H303/1000000)*AO$41</f>
      </c>
      <c r="AP303" s="6">
        <f>(I303/100)*AP$41</f>
      </c>
      <c r="AQ303" s="6">
        <f>(J303/1000000)*AQ$41</f>
      </c>
      <c r="AR303" s="6">
        <f>(K303/100)*AR$41</f>
      </c>
      <c r="AS303" s="6">
        <f>(L303/100)*AS$41</f>
      </c>
      <c r="AT303" s="6">
        <f>(M303/100)*AT$41</f>
      </c>
      <c r="AU303" s="6">
        <f>(N303/100)*AU$41</f>
      </c>
      <c r="AV303" s="6">
        <f>(O303/1000000)*AV$41</f>
      </c>
      <c r="AW303" s="6">
        <f>(P303/100)*AW$41</f>
      </c>
      <c r="AX303" s="6">
        <f>(Q303/100)*AX$41</f>
      </c>
      <c r="AY303" s="6">
        <f>(R303/100)*AY$41</f>
      </c>
      <c r="AZ303" s="6">
        <f>(S303/100)*AZ$41</f>
      </c>
      <c r="BA303" s="6">
        <f>(T303/100)*BA$41</f>
      </c>
      <c r="BB303" s="6">
        <f>(U303/100)*BB$41</f>
      </c>
      <c r="BC303" s="6"/>
      <c r="BD303" s="3"/>
      <c r="BE303" s="3"/>
      <c r="BF303" s="7">
        <f>AF303*E303</f>
      </c>
      <c r="BG303" s="6"/>
      <c r="BH303" s="3"/>
      <c r="BI303" s="6"/>
    </row>
    <row x14ac:dyDescent="0.25" r="304" customHeight="1" ht="12.75">
      <c r="A304" s="5" t="s">
        <v>240</v>
      </c>
      <c r="B304" s="3" t="s">
        <v>855</v>
      </c>
      <c r="C304" s="43" t="s">
        <v>866</v>
      </c>
      <c r="D304" s="34" t="s">
        <v>988</v>
      </c>
      <c r="E304" s="6">
        <v>4.425</v>
      </c>
      <c r="F304" s="7">
        <v>3</v>
      </c>
      <c r="G304" s="6">
        <v>8.6</v>
      </c>
      <c r="H304" s="6">
        <v>17.9</v>
      </c>
      <c r="I304" s="6"/>
      <c r="J304" s="6"/>
      <c r="K304" s="7"/>
      <c r="L304" s="6"/>
      <c r="M304" s="6"/>
      <c r="N304" s="23"/>
      <c r="O304" s="5"/>
      <c r="P304" s="6"/>
      <c r="Q304" s="6"/>
      <c r="R304" s="6"/>
      <c r="S304" s="6"/>
      <c r="T304" s="6"/>
      <c r="U304" s="6"/>
      <c r="V304" s="5"/>
      <c r="W304" s="6"/>
      <c r="X304" s="6">
        <f>E304*F304/100</f>
      </c>
      <c r="Y304" s="6">
        <f>E304*G304/100</f>
      </c>
      <c r="Z304" s="7">
        <f>E304*H304</f>
      </c>
      <c r="AA304" s="7">
        <f>E304*J304</f>
      </c>
      <c r="AB304" s="6">
        <f>E304*I304/100</f>
      </c>
      <c r="AC304" s="15">
        <f>X304+Y304+AB304</f>
      </c>
      <c r="AD304" s="6">
        <f>F304+G304+I304</f>
      </c>
      <c r="AE304" s="3"/>
      <c r="AF304" s="6">
        <f>SUM(AM304:BC304)</f>
      </c>
      <c r="AG304" s="5">
        <f>IF(SUM(AM304:AO304)&gt;0.7*AF304,1,0)</f>
      </c>
      <c r="AH304" s="5">
        <f>IF(AN304&gt;0.4*AF304,1,0)</f>
      </c>
      <c r="AI304" s="5">
        <f>IF(SUM(AP304:AQ304)&gt;0.3*AF304,1,0)</f>
      </c>
      <c r="AJ304" s="5">
        <f>IF(AQ304&gt;0.2*AF304,1,0)</f>
      </c>
      <c r="AK304" s="5">
        <f>IF(SUM(AR304:BC304)&gt;0.3*AF304,1,0)</f>
      </c>
      <c r="AL304" s="3"/>
      <c r="AM304" s="6">
        <f>(F304/100)*AM$41</f>
      </c>
      <c r="AN304" s="6">
        <f>(G304/100)*AN$41</f>
      </c>
      <c r="AO304" s="6">
        <f>(H304/1000000)*AO$41</f>
      </c>
      <c r="AP304" s="6">
        <f>(I304/100)*AP$41</f>
      </c>
      <c r="AQ304" s="6">
        <f>(J304/1000000)*AQ$41</f>
      </c>
      <c r="AR304" s="6">
        <f>(K304/100)*AR$41</f>
      </c>
      <c r="AS304" s="6">
        <f>(L304/100)*AS$41</f>
      </c>
      <c r="AT304" s="6">
        <f>(M304/100)*AT$41</f>
      </c>
      <c r="AU304" s="6">
        <f>(N304/100)*AU$41</f>
      </c>
      <c r="AV304" s="6">
        <f>(O304/1000000)*AV$41</f>
      </c>
      <c r="AW304" s="6">
        <f>(P304/100)*AW$41</f>
      </c>
      <c r="AX304" s="6">
        <f>(Q304/100)*AX$41</f>
      </c>
      <c r="AY304" s="6">
        <f>(R304/100)*AY$41</f>
      </c>
      <c r="AZ304" s="6">
        <f>(S304/100)*AZ$41</f>
      </c>
      <c r="BA304" s="6">
        <f>(T304/100)*BA$41</f>
      </c>
      <c r="BB304" s="6">
        <f>(U304/100)*BB$41</f>
      </c>
      <c r="BC304" s="6"/>
      <c r="BD304" s="3"/>
      <c r="BE304" s="3"/>
      <c r="BF304" s="7">
        <f>AF304*E304</f>
      </c>
      <c r="BG304" s="6"/>
      <c r="BH304" s="3"/>
      <c r="BI304" s="6"/>
    </row>
    <row x14ac:dyDescent="0.25" r="305" customHeight="1" ht="12.75">
      <c r="A305" s="5" t="s">
        <v>498</v>
      </c>
      <c r="B305" s="3" t="s">
        <v>855</v>
      </c>
      <c r="C305" s="43" t="s">
        <v>866</v>
      </c>
      <c r="D305" s="34" t="s">
        <v>989</v>
      </c>
      <c r="E305" s="6">
        <v>6.6</v>
      </c>
      <c r="F305" s="7">
        <v>1.187878787878788</v>
      </c>
      <c r="G305" s="7">
        <v>6.436363636363637</v>
      </c>
      <c r="H305" s="7"/>
      <c r="I305" s="6"/>
      <c r="J305" s="6"/>
      <c r="K305" s="7"/>
      <c r="L305" s="6"/>
      <c r="M305" s="6"/>
      <c r="N305" s="23"/>
      <c r="O305" s="5"/>
      <c r="P305" s="6"/>
      <c r="Q305" s="6"/>
      <c r="R305" s="6"/>
      <c r="S305" s="6"/>
      <c r="T305" s="6"/>
      <c r="U305" s="6"/>
      <c r="V305" s="5"/>
      <c r="W305" s="6"/>
      <c r="X305" s="6">
        <f>E305*F305/100</f>
      </c>
      <c r="Y305" s="6">
        <f>E305*G305/100</f>
      </c>
      <c r="Z305" s="7">
        <f>E305*H305</f>
      </c>
      <c r="AA305" s="7">
        <f>E305*J305</f>
      </c>
      <c r="AB305" s="6">
        <f>E305*I305/100</f>
      </c>
      <c r="AC305" s="15">
        <f>X305+Y305+AB305</f>
      </c>
      <c r="AD305" s="6">
        <f>F305+G305+I305</f>
      </c>
      <c r="AE305" s="3"/>
      <c r="AF305" s="6">
        <f>SUM(AM305:BC305)</f>
      </c>
      <c r="AG305" s="5">
        <f>IF(SUM(AM305:AO305)&gt;0.7*AF305,1,0)</f>
      </c>
      <c r="AH305" s="5">
        <f>IF(AN305&gt;0.4*AF305,1,0)</f>
      </c>
      <c r="AI305" s="5">
        <f>IF(SUM(AP305:AQ305)&gt;0.3*AF305,1,0)</f>
      </c>
      <c r="AJ305" s="5">
        <f>IF(AQ305&gt;0.2*AF305,1,0)</f>
      </c>
      <c r="AK305" s="5">
        <f>IF(SUM(AR305:BC305)&gt;0.3*AF305,1,0)</f>
      </c>
      <c r="AL305" s="3"/>
      <c r="AM305" s="6">
        <f>(F305/100)*AM$41</f>
      </c>
      <c r="AN305" s="6">
        <f>(G305/100)*AN$41</f>
      </c>
      <c r="AO305" s="6">
        <f>(H305/1000000)*AO$41</f>
      </c>
      <c r="AP305" s="6">
        <f>(I305/100)*AP$41</f>
      </c>
      <c r="AQ305" s="6">
        <f>(J305/1000000)*AQ$41</f>
      </c>
      <c r="AR305" s="6">
        <f>(K305/100)*AR$41</f>
      </c>
      <c r="AS305" s="6">
        <f>(L305/100)*AS$41</f>
      </c>
      <c r="AT305" s="6">
        <f>(M305/100)*AT$41</f>
      </c>
      <c r="AU305" s="6">
        <f>(N305/100)*AU$41</f>
      </c>
      <c r="AV305" s="6">
        <f>(O305/1000000)*AV$41</f>
      </c>
      <c r="AW305" s="6">
        <f>(P305/100)*AW$41</f>
      </c>
      <c r="AX305" s="6">
        <f>(Q305/100)*AX$41</f>
      </c>
      <c r="AY305" s="6">
        <f>(R305/100)*AY$41</f>
      </c>
      <c r="AZ305" s="6">
        <f>(S305/100)*AZ$41</f>
      </c>
      <c r="BA305" s="6">
        <f>(T305/100)*BA$41</f>
      </c>
      <c r="BB305" s="6">
        <f>(U305/100)*BB$41</f>
      </c>
      <c r="BC305" s="6"/>
      <c r="BD305" s="3"/>
      <c r="BE305" s="3"/>
      <c r="BF305" s="7">
        <f>AF305*E305</f>
      </c>
      <c r="BG305" s="6"/>
      <c r="BH305" s="3"/>
      <c r="BI305" s="6"/>
    </row>
    <row x14ac:dyDescent="0.25" r="306" customHeight="1" ht="12.75">
      <c r="A306" s="5" t="s">
        <v>566</v>
      </c>
      <c r="B306" s="3" t="s">
        <v>855</v>
      </c>
      <c r="C306" s="43" t="s">
        <v>866</v>
      </c>
      <c r="D306" s="34" t="s">
        <v>989</v>
      </c>
      <c r="E306" s="6">
        <v>13.155</v>
      </c>
      <c r="F306" s="6">
        <v>1.25</v>
      </c>
      <c r="G306" s="6">
        <v>2.06</v>
      </c>
      <c r="H306" s="7">
        <v>121.57</v>
      </c>
      <c r="I306" s="6">
        <v>0.36</v>
      </c>
      <c r="J306" s="6"/>
      <c r="K306" s="7"/>
      <c r="L306" s="6"/>
      <c r="M306" s="6"/>
      <c r="N306" s="23"/>
      <c r="O306" s="5"/>
      <c r="P306" s="6"/>
      <c r="Q306" s="6"/>
      <c r="R306" s="6"/>
      <c r="S306" s="6"/>
      <c r="T306" s="6"/>
      <c r="U306" s="6"/>
      <c r="V306" s="5"/>
      <c r="W306" s="6"/>
      <c r="X306" s="6">
        <f>E306*F306/100</f>
      </c>
      <c r="Y306" s="6">
        <f>E306*G306/100</f>
      </c>
      <c r="Z306" s="7">
        <f>E306*H306</f>
      </c>
      <c r="AA306" s="7">
        <f>E306*J306</f>
      </c>
      <c r="AB306" s="6">
        <f>E306*I306/100</f>
      </c>
      <c r="AC306" s="15">
        <f>X306+Y306+AB306</f>
      </c>
      <c r="AD306" s="6">
        <f>F306+G306+I306</f>
      </c>
      <c r="AE306" s="3"/>
      <c r="AF306" s="6">
        <f>SUM(AM306:BC306)</f>
      </c>
      <c r="AG306" s="5">
        <f>IF(SUM(AM306:AO306)&gt;0.7*AF306,1,0)</f>
      </c>
      <c r="AH306" s="5">
        <f>IF(AN306&gt;0.4*AF306,1,0)</f>
      </c>
      <c r="AI306" s="5">
        <f>IF(SUM(AP306:AQ306)&gt;0.3*AF306,1,0)</f>
      </c>
      <c r="AJ306" s="5">
        <f>IF(AQ306&gt;0.2*AF306,1,0)</f>
      </c>
      <c r="AK306" s="5">
        <f>IF(SUM(AR306:BC306)&gt;0.3*AF306,1,0)</f>
      </c>
      <c r="AL306" s="3"/>
      <c r="AM306" s="6">
        <f>(F306/100)*AM$41</f>
      </c>
      <c r="AN306" s="6">
        <f>(G306/100)*AN$41</f>
      </c>
      <c r="AO306" s="6">
        <f>(H306/1000000)*AO$41</f>
      </c>
      <c r="AP306" s="6">
        <f>(I306/100)*AP$41</f>
      </c>
      <c r="AQ306" s="6">
        <f>(J306/1000000)*AQ$41</f>
      </c>
      <c r="AR306" s="6">
        <f>(K306/100)*AR$41</f>
      </c>
      <c r="AS306" s="6">
        <f>(L306/100)*AS$41</f>
      </c>
      <c r="AT306" s="6">
        <f>(M306/100)*AT$41</f>
      </c>
      <c r="AU306" s="6">
        <f>(N306/100)*AU$41</f>
      </c>
      <c r="AV306" s="6">
        <f>(O306/1000000)*AV$41</f>
      </c>
      <c r="AW306" s="6">
        <f>(P306/100)*AW$41</f>
      </c>
      <c r="AX306" s="6">
        <f>(Q306/100)*AX$41</f>
      </c>
      <c r="AY306" s="6">
        <f>(R306/100)*AY$41</f>
      </c>
      <c r="AZ306" s="6">
        <f>(S306/100)*AZ$41</f>
      </c>
      <c r="BA306" s="6">
        <f>(T306/100)*BA$41</f>
      </c>
      <c r="BB306" s="6">
        <f>(U306/100)*BB$41</f>
      </c>
      <c r="BC306" s="6"/>
      <c r="BD306" s="3"/>
      <c r="BE306" s="3"/>
      <c r="BF306" s="7">
        <f>AF306*E306</f>
      </c>
      <c r="BG306" s="6"/>
      <c r="BH306" s="3"/>
      <c r="BI306" s="6"/>
    </row>
    <row x14ac:dyDescent="0.25" r="307" customHeight="1" ht="12.75">
      <c r="A307" s="5" t="s">
        <v>499</v>
      </c>
      <c r="B307" s="3" t="s">
        <v>855</v>
      </c>
      <c r="C307" s="43" t="s">
        <v>866</v>
      </c>
      <c r="D307" s="34" t="s">
        <v>993</v>
      </c>
      <c r="E307" s="6">
        <v>5.8</v>
      </c>
      <c r="F307" s="6">
        <v>6.4</v>
      </c>
      <c r="G307" s="6">
        <v>0.8</v>
      </c>
      <c r="H307" s="5">
        <v>47</v>
      </c>
      <c r="I307" s="6">
        <v>0.4</v>
      </c>
      <c r="J307" s="6"/>
      <c r="K307" s="7"/>
      <c r="L307" s="6"/>
      <c r="M307" s="6"/>
      <c r="N307" s="23"/>
      <c r="O307" s="5"/>
      <c r="P307" s="6"/>
      <c r="Q307" s="6"/>
      <c r="R307" s="6"/>
      <c r="S307" s="6"/>
      <c r="T307" s="6"/>
      <c r="U307" s="6"/>
      <c r="V307" s="5"/>
      <c r="W307" s="6"/>
      <c r="X307" s="6">
        <f>E307*F307/100</f>
      </c>
      <c r="Y307" s="6">
        <f>E307*G307/100</f>
      </c>
      <c r="Z307" s="7">
        <f>E307*H307</f>
      </c>
      <c r="AA307" s="7">
        <f>E307*J307</f>
      </c>
      <c r="AB307" s="6">
        <f>E307*I307/100</f>
      </c>
      <c r="AC307" s="15">
        <f>X307+Y307+AB307</f>
      </c>
      <c r="AD307" s="6">
        <f>F307+G307+I307</f>
      </c>
      <c r="AE307" s="3"/>
      <c r="AF307" s="6">
        <f>SUM(AM307:BC307)</f>
      </c>
      <c r="AG307" s="5">
        <f>IF(SUM(AM307:AO307)&gt;0.7*AF307,1,0)</f>
      </c>
      <c r="AH307" s="5">
        <f>IF(AN307&gt;0.4*AF307,1,0)</f>
      </c>
      <c r="AI307" s="5">
        <f>IF(SUM(AP307:AQ307)&gt;0.3*AF307,1,0)</f>
      </c>
      <c r="AJ307" s="5">
        <f>IF(AQ307&gt;0.2*AF307,1,0)</f>
      </c>
      <c r="AK307" s="5">
        <f>IF(SUM(AR307:BC307)&gt;0.3*AF307,1,0)</f>
      </c>
      <c r="AL307" s="3"/>
      <c r="AM307" s="6">
        <f>(F307/100)*AM$41</f>
      </c>
      <c r="AN307" s="6">
        <f>(G307/100)*AN$41</f>
      </c>
      <c r="AO307" s="6">
        <f>(H307/1000000)*AO$41</f>
      </c>
      <c r="AP307" s="6">
        <f>(I307/100)*AP$41</f>
      </c>
      <c r="AQ307" s="6">
        <f>(J307/1000000)*AQ$41</f>
      </c>
      <c r="AR307" s="6">
        <f>(K307/100)*AR$41</f>
      </c>
      <c r="AS307" s="6">
        <f>(L307/100)*AS$41</f>
      </c>
      <c r="AT307" s="6">
        <f>(M307/100)*AT$41</f>
      </c>
      <c r="AU307" s="6">
        <f>(N307/100)*AU$41</f>
      </c>
      <c r="AV307" s="6">
        <f>(O307/1000000)*AV$41</f>
      </c>
      <c r="AW307" s="6">
        <f>(P307/100)*AW$41</f>
      </c>
      <c r="AX307" s="6">
        <f>(Q307/100)*AX$41</f>
      </c>
      <c r="AY307" s="6">
        <f>(R307/100)*AY$41</f>
      </c>
      <c r="AZ307" s="6">
        <f>(S307/100)*AZ$41</f>
      </c>
      <c r="BA307" s="6">
        <f>(T307/100)*BA$41</f>
      </c>
      <c r="BB307" s="6">
        <f>(U307/100)*BB$41</f>
      </c>
      <c r="BC307" s="6"/>
      <c r="BD307" s="3"/>
      <c r="BE307" s="3"/>
      <c r="BF307" s="7">
        <f>AF307*E307</f>
      </c>
      <c r="BG307" s="6"/>
      <c r="BH307" s="3"/>
      <c r="BI307" s="6"/>
    </row>
    <row x14ac:dyDescent="0.25" r="308" customHeight="1" ht="12.75">
      <c r="A308" s="5" t="s">
        <v>623</v>
      </c>
      <c r="B308" s="3" t="s">
        <v>855</v>
      </c>
      <c r="C308" s="43" t="s">
        <v>866</v>
      </c>
      <c r="D308" s="34" t="s">
        <v>988</v>
      </c>
      <c r="E308" s="6">
        <v>7.7</v>
      </c>
      <c r="F308" s="6">
        <v>2.6</v>
      </c>
      <c r="G308" s="6">
        <v>3.1</v>
      </c>
      <c r="H308" s="5">
        <v>27</v>
      </c>
      <c r="I308" s="6"/>
      <c r="J308" s="6"/>
      <c r="K308" s="7"/>
      <c r="L308" s="6"/>
      <c r="M308" s="6"/>
      <c r="N308" s="23"/>
      <c r="O308" s="5"/>
      <c r="P308" s="6"/>
      <c r="Q308" s="6"/>
      <c r="R308" s="6"/>
      <c r="S308" s="6"/>
      <c r="T308" s="6"/>
      <c r="U308" s="6"/>
      <c r="V308" s="5"/>
      <c r="W308" s="6"/>
      <c r="X308" s="6">
        <f>E308*F308/100</f>
      </c>
      <c r="Y308" s="6">
        <f>E308*G308/100</f>
      </c>
      <c r="Z308" s="7">
        <f>E308*H308</f>
      </c>
      <c r="AA308" s="7">
        <f>E308*J308</f>
      </c>
      <c r="AB308" s="6">
        <f>E308*I308/100</f>
      </c>
      <c r="AC308" s="15">
        <f>X308+Y308+AB308</f>
      </c>
      <c r="AD308" s="6">
        <f>F308+G308+I308</f>
      </c>
      <c r="AE308" s="3"/>
      <c r="AF308" s="6">
        <f>SUM(AM308:BC308)</f>
      </c>
      <c r="AG308" s="5">
        <f>IF(SUM(AM308:AO308)&gt;0.7*AF308,1,0)</f>
      </c>
      <c r="AH308" s="5">
        <f>IF(AN308&gt;0.4*AF308,1,0)</f>
      </c>
      <c r="AI308" s="5">
        <f>IF(SUM(AP308:AQ308)&gt;0.3*AF308,1,0)</f>
      </c>
      <c r="AJ308" s="5">
        <f>IF(AQ308&gt;0.2*AF308,1,0)</f>
      </c>
      <c r="AK308" s="5">
        <f>IF(SUM(AR308:BC308)&gt;0.3*AF308,1,0)</f>
      </c>
      <c r="AL308" s="3"/>
      <c r="AM308" s="6">
        <f>(F308/100)*AM$41</f>
      </c>
      <c r="AN308" s="6">
        <f>(G308/100)*AN$41</f>
      </c>
      <c r="AO308" s="6">
        <f>(H308/1000000)*AO$41</f>
      </c>
      <c r="AP308" s="6">
        <f>(I308/100)*AP$41</f>
      </c>
      <c r="AQ308" s="6">
        <f>(J308/1000000)*AQ$41</f>
      </c>
      <c r="AR308" s="6">
        <f>(K308/100)*AR$41</f>
      </c>
      <c r="AS308" s="6">
        <f>(L308/100)*AS$41</f>
      </c>
      <c r="AT308" s="6">
        <f>(M308/100)*AT$41</f>
      </c>
      <c r="AU308" s="6">
        <f>(N308/100)*AU$41</f>
      </c>
      <c r="AV308" s="6">
        <f>(O308/1000000)*AV$41</f>
      </c>
      <c r="AW308" s="6">
        <f>(P308/100)*AW$41</f>
      </c>
      <c r="AX308" s="6">
        <f>(Q308/100)*AX$41</f>
      </c>
      <c r="AY308" s="6">
        <f>(R308/100)*AY$41</f>
      </c>
      <c r="AZ308" s="6">
        <f>(S308/100)*AZ$41</f>
      </c>
      <c r="BA308" s="6">
        <f>(T308/100)*BA$41</f>
      </c>
      <c r="BB308" s="6">
        <f>(U308/100)*BB$41</f>
      </c>
      <c r="BC308" s="6"/>
      <c r="BD308" s="3"/>
      <c r="BE308" s="3"/>
      <c r="BF308" s="7">
        <f>AF308*E308</f>
      </c>
      <c r="BG308" s="6"/>
      <c r="BH308" s="3"/>
      <c r="BI308" s="6"/>
    </row>
    <row x14ac:dyDescent="0.25" r="309" customHeight="1" ht="12.75">
      <c r="A309" s="5" t="s">
        <v>625</v>
      </c>
      <c r="B309" s="3" t="s">
        <v>855</v>
      </c>
      <c r="C309" s="43" t="s">
        <v>866</v>
      </c>
      <c r="D309" s="34" t="s">
        <v>988</v>
      </c>
      <c r="E309" s="23">
        <v>8.852</v>
      </c>
      <c r="F309" s="6">
        <v>3.4649062358788973</v>
      </c>
      <c r="G309" s="6">
        <v>1.4796825576140984</v>
      </c>
      <c r="H309" s="7"/>
      <c r="I309" s="6"/>
      <c r="J309" s="6"/>
      <c r="K309" s="7"/>
      <c r="L309" s="6"/>
      <c r="M309" s="6"/>
      <c r="N309" s="23"/>
      <c r="O309" s="5"/>
      <c r="P309" s="6"/>
      <c r="Q309" s="6"/>
      <c r="R309" s="6"/>
      <c r="S309" s="6"/>
      <c r="T309" s="6"/>
      <c r="U309" s="6"/>
      <c r="V309" s="5"/>
      <c r="W309" s="6"/>
      <c r="X309" s="6">
        <f>E309*F309/100</f>
      </c>
      <c r="Y309" s="6">
        <f>E309*G309/100</f>
      </c>
      <c r="Z309" s="7">
        <f>E309*H309</f>
      </c>
      <c r="AA309" s="7">
        <f>E309*J309</f>
      </c>
      <c r="AB309" s="6">
        <f>E309*I309/100</f>
      </c>
      <c r="AC309" s="15">
        <f>X309+Y309+AB309</f>
      </c>
      <c r="AD309" s="6">
        <f>F309+G309+I309</f>
      </c>
      <c r="AE309" s="3"/>
      <c r="AF309" s="6">
        <f>SUM(AM309:BC309)</f>
      </c>
      <c r="AG309" s="5">
        <f>IF(SUM(AM309:AO309)&gt;0.7*AF309,1,0)</f>
      </c>
      <c r="AH309" s="5">
        <f>IF(AN309&gt;0.4*AF309,1,0)</f>
      </c>
      <c r="AI309" s="5">
        <f>IF(SUM(AP309:AQ309)&gt;0.3*AF309,1,0)</f>
      </c>
      <c r="AJ309" s="5">
        <f>IF(AQ309&gt;0.2*AF309,1,0)</f>
      </c>
      <c r="AK309" s="5">
        <f>IF(SUM(AR309:BC309)&gt;0.3*AF309,1,0)</f>
      </c>
      <c r="AL309" s="3"/>
      <c r="AM309" s="6">
        <f>(F309/100)*AM$41</f>
      </c>
      <c r="AN309" s="6">
        <f>(G309/100)*AN$41</f>
      </c>
      <c r="AO309" s="6">
        <f>(H309/1000000)*AO$41</f>
      </c>
      <c r="AP309" s="6">
        <f>(I309/100)*AP$41</f>
      </c>
      <c r="AQ309" s="6">
        <f>(J309/1000000)*AQ$41</f>
      </c>
      <c r="AR309" s="6">
        <f>(K309/100)*AR$41</f>
      </c>
      <c r="AS309" s="6">
        <f>(L309/100)*AS$41</f>
      </c>
      <c r="AT309" s="6">
        <f>(M309/100)*AT$41</f>
      </c>
      <c r="AU309" s="6">
        <f>(N309/100)*AU$41</f>
      </c>
      <c r="AV309" s="6">
        <f>(O309/1000000)*AV$41</f>
      </c>
      <c r="AW309" s="6">
        <f>(P309/100)*AW$41</f>
      </c>
      <c r="AX309" s="6">
        <f>(Q309/100)*AX$41</f>
      </c>
      <c r="AY309" s="6">
        <f>(R309/100)*AY$41</f>
      </c>
      <c r="AZ309" s="6">
        <f>(S309/100)*AZ$41</f>
      </c>
      <c r="BA309" s="6">
        <f>(T309/100)*BA$41</f>
      </c>
      <c r="BB309" s="6">
        <f>(U309/100)*BB$41</f>
      </c>
      <c r="BC309" s="6"/>
      <c r="BD309" s="3"/>
      <c r="BE309" s="3"/>
      <c r="BF309" s="7">
        <f>AF309*E309</f>
      </c>
      <c r="BG309" s="6"/>
      <c r="BH309" s="3"/>
      <c r="BI309" s="6"/>
    </row>
    <row x14ac:dyDescent="0.25" r="310" customHeight="1" ht="12.75">
      <c r="A310" s="5" t="s">
        <v>633</v>
      </c>
      <c r="B310" s="3" t="s">
        <v>855</v>
      </c>
      <c r="C310" s="43" t="s">
        <v>866</v>
      </c>
      <c r="D310" s="34" t="s">
        <v>988</v>
      </c>
      <c r="E310" s="6">
        <v>7.8</v>
      </c>
      <c r="F310" s="7">
        <v>1</v>
      </c>
      <c r="G310" s="6">
        <v>4.2</v>
      </c>
      <c r="H310" s="7"/>
      <c r="I310" s="6"/>
      <c r="J310" s="6"/>
      <c r="K310" s="7"/>
      <c r="L310" s="6"/>
      <c r="M310" s="6"/>
      <c r="N310" s="23"/>
      <c r="O310" s="5"/>
      <c r="P310" s="6"/>
      <c r="Q310" s="6"/>
      <c r="R310" s="6"/>
      <c r="S310" s="6"/>
      <c r="T310" s="6"/>
      <c r="U310" s="6"/>
      <c r="V310" s="5"/>
      <c r="W310" s="6"/>
      <c r="X310" s="6">
        <f>E310*F310/100</f>
      </c>
      <c r="Y310" s="6">
        <f>E310*G310/100</f>
      </c>
      <c r="Z310" s="7">
        <f>E310*H310</f>
      </c>
      <c r="AA310" s="7">
        <f>E310*J310</f>
      </c>
      <c r="AB310" s="6">
        <f>E310*I310/100</f>
      </c>
      <c r="AC310" s="15">
        <f>X310+Y310+AB310</f>
      </c>
      <c r="AD310" s="6">
        <f>F310+G310+I310</f>
      </c>
      <c r="AE310" s="3"/>
      <c r="AF310" s="6">
        <f>SUM(AM310:BC310)</f>
      </c>
      <c r="AG310" s="5">
        <f>IF(SUM(AM310:AO310)&gt;0.7*AF310,1,0)</f>
      </c>
      <c r="AH310" s="5">
        <f>IF(AN310&gt;0.4*AF310,1,0)</f>
      </c>
      <c r="AI310" s="5">
        <f>IF(SUM(AP310:AQ310)&gt;0.3*AF310,1,0)</f>
      </c>
      <c r="AJ310" s="5">
        <f>IF(AQ310&gt;0.2*AF310,1,0)</f>
      </c>
      <c r="AK310" s="5">
        <f>IF(SUM(AR310:BC310)&gt;0.3*AF310,1,0)</f>
      </c>
      <c r="AL310" s="3"/>
      <c r="AM310" s="6">
        <f>(F310/100)*AM$41</f>
      </c>
      <c r="AN310" s="6">
        <f>(G310/100)*AN$41</f>
      </c>
      <c r="AO310" s="6">
        <f>(H310/1000000)*AO$41</f>
      </c>
      <c r="AP310" s="6">
        <f>(I310/100)*AP$41</f>
      </c>
      <c r="AQ310" s="6">
        <f>(J310/1000000)*AQ$41</f>
      </c>
      <c r="AR310" s="6">
        <f>(K310/100)*AR$41</f>
      </c>
      <c r="AS310" s="6">
        <f>(L310/100)*AS$41</f>
      </c>
      <c r="AT310" s="6">
        <f>(M310/100)*AT$41</f>
      </c>
      <c r="AU310" s="6">
        <f>(N310/100)*AU$41</f>
      </c>
      <c r="AV310" s="6">
        <f>(O310/1000000)*AV$41</f>
      </c>
      <c r="AW310" s="6">
        <f>(P310/100)*AW$41</f>
      </c>
      <c r="AX310" s="6">
        <f>(Q310/100)*AX$41</f>
      </c>
      <c r="AY310" s="6">
        <f>(R310/100)*AY$41</f>
      </c>
      <c r="AZ310" s="6">
        <f>(S310/100)*AZ$41</f>
      </c>
      <c r="BA310" s="6">
        <f>(T310/100)*BA$41</f>
      </c>
      <c r="BB310" s="6">
        <f>(U310/100)*BB$41</f>
      </c>
      <c r="BC310" s="6"/>
      <c r="BD310" s="3"/>
      <c r="BE310" s="3"/>
      <c r="BF310" s="7">
        <f>AF310*E310</f>
      </c>
      <c r="BG310" s="6"/>
      <c r="BH310" s="3"/>
      <c r="BI310" s="6"/>
    </row>
    <row x14ac:dyDescent="0.25" r="311" customHeight="1" ht="12.75">
      <c r="A311" s="5" t="s">
        <v>456</v>
      </c>
      <c r="B311" s="3" t="s">
        <v>855</v>
      </c>
      <c r="C311" s="43" t="s">
        <v>866</v>
      </c>
      <c r="D311" s="34" t="s">
        <v>989</v>
      </c>
      <c r="E311" s="6">
        <v>25.278000000000002</v>
      </c>
      <c r="F311" s="6">
        <v>0.879223039797452</v>
      </c>
      <c r="G311" s="6">
        <v>2.572462220112351</v>
      </c>
      <c r="H311" s="7"/>
      <c r="I311" s="6"/>
      <c r="J311" s="6"/>
      <c r="K311" s="7"/>
      <c r="L311" s="6"/>
      <c r="M311" s="6"/>
      <c r="N311" s="23"/>
      <c r="O311" s="5"/>
      <c r="P311" s="6"/>
      <c r="Q311" s="6"/>
      <c r="R311" s="6"/>
      <c r="S311" s="6"/>
      <c r="T311" s="6"/>
      <c r="U311" s="6"/>
      <c r="V311" s="5"/>
      <c r="W311" s="6"/>
      <c r="X311" s="6">
        <f>E311*F311/100</f>
      </c>
      <c r="Y311" s="6">
        <f>E311*G311/100</f>
      </c>
      <c r="Z311" s="7">
        <f>E311*H311</f>
      </c>
      <c r="AA311" s="7">
        <f>E311*J311</f>
      </c>
      <c r="AB311" s="6">
        <f>E311*I311/100</f>
      </c>
      <c r="AC311" s="15">
        <f>X311+Y311+AB311</f>
      </c>
      <c r="AD311" s="6">
        <f>F311+G311+I311</f>
      </c>
      <c r="AE311" s="3"/>
      <c r="AF311" s="6">
        <f>SUM(AM311:BC311)</f>
      </c>
      <c r="AG311" s="5">
        <f>IF(SUM(AM311:AO311)&gt;0.7*AF311,1,0)</f>
      </c>
      <c r="AH311" s="5">
        <f>IF(AN311&gt;0.4*AF311,1,0)</f>
      </c>
      <c r="AI311" s="5">
        <f>IF(SUM(AP311:AQ311)&gt;0.3*AF311,1,0)</f>
      </c>
      <c r="AJ311" s="5">
        <f>IF(AQ311&gt;0.2*AF311,1,0)</f>
      </c>
      <c r="AK311" s="5">
        <f>IF(SUM(AR311:BC311)&gt;0.3*AF311,1,0)</f>
      </c>
      <c r="AL311" s="3"/>
      <c r="AM311" s="6">
        <f>(F311/100)*AM$41</f>
      </c>
      <c r="AN311" s="6">
        <f>(G311/100)*AN$41</f>
      </c>
      <c r="AO311" s="6">
        <f>(H311/1000000)*AO$41</f>
      </c>
      <c r="AP311" s="6">
        <f>(I311/100)*AP$41</f>
      </c>
      <c r="AQ311" s="6">
        <f>(J311/1000000)*AQ$41</f>
      </c>
      <c r="AR311" s="6">
        <f>(K311/100)*AR$41</f>
      </c>
      <c r="AS311" s="6">
        <f>(L311/100)*AS$41</f>
      </c>
      <c r="AT311" s="6">
        <f>(M311/100)*AT$41</f>
      </c>
      <c r="AU311" s="6">
        <f>(N311/100)*AU$41</f>
      </c>
      <c r="AV311" s="6">
        <f>(O311/1000000)*AV$41</f>
      </c>
      <c r="AW311" s="6">
        <f>(P311/100)*AW$41</f>
      </c>
      <c r="AX311" s="6">
        <f>(Q311/100)*AX$41</f>
      </c>
      <c r="AY311" s="6">
        <f>(R311/100)*AY$41</f>
      </c>
      <c r="AZ311" s="6">
        <f>(S311/100)*AZ$41</f>
      </c>
      <c r="BA311" s="6">
        <f>(T311/100)*BA$41</f>
      </c>
      <c r="BB311" s="6">
        <f>(U311/100)*BB$41</f>
      </c>
      <c r="BC311" s="6"/>
      <c r="BD311" s="3"/>
      <c r="BE311" s="3"/>
      <c r="BF311" s="7">
        <f>AF311*E311</f>
      </c>
      <c r="BG311" s="6"/>
      <c r="BH311" s="3"/>
      <c r="BI311" s="6"/>
    </row>
    <row x14ac:dyDescent="0.25" r="312" customHeight="1" ht="12.75">
      <c r="A312" s="5" t="s">
        <v>115</v>
      </c>
      <c r="B312" s="3" t="s">
        <v>855</v>
      </c>
      <c r="C312" s="43" t="s">
        <v>866</v>
      </c>
      <c r="D312" s="34" t="s">
        <v>988</v>
      </c>
      <c r="E312" s="6">
        <v>2.57</v>
      </c>
      <c r="F312" s="6">
        <v>6.4</v>
      </c>
      <c r="G312" s="6">
        <v>8.8</v>
      </c>
      <c r="H312" s="5">
        <v>325</v>
      </c>
      <c r="I312" s="6"/>
      <c r="J312" s="6">
        <v>0.63</v>
      </c>
      <c r="K312" s="7"/>
      <c r="L312" s="6"/>
      <c r="M312" s="6"/>
      <c r="N312" s="23"/>
      <c r="O312" s="5"/>
      <c r="P312" s="6"/>
      <c r="Q312" s="6"/>
      <c r="R312" s="6"/>
      <c r="S312" s="6"/>
      <c r="T312" s="6"/>
      <c r="U312" s="6"/>
      <c r="V312" s="5"/>
      <c r="W312" s="6"/>
      <c r="X312" s="6">
        <f>E312*F312/100</f>
      </c>
      <c r="Y312" s="6">
        <f>E312*G312/100</f>
      </c>
      <c r="Z312" s="7">
        <f>E312*H312</f>
      </c>
      <c r="AA312" s="7">
        <f>E312*J312</f>
      </c>
      <c r="AB312" s="6">
        <f>E312*I312/100</f>
      </c>
      <c r="AC312" s="15">
        <f>X312+Y312+AB312</f>
      </c>
      <c r="AD312" s="6">
        <f>F312+G312+I312</f>
      </c>
      <c r="AE312" s="3"/>
      <c r="AF312" s="6">
        <f>SUM(AM312:BC312)</f>
      </c>
      <c r="AG312" s="5">
        <f>IF(SUM(AM312:AO312)&gt;0.7*AF312,1,0)</f>
      </c>
      <c r="AH312" s="5">
        <f>IF(AN312&gt;0.4*AF312,1,0)</f>
      </c>
      <c r="AI312" s="5">
        <f>IF(SUM(AP312:AQ312)&gt;0.3*AF312,1,0)</f>
      </c>
      <c r="AJ312" s="5">
        <f>IF(AQ312&gt;0.2*AF312,1,0)</f>
      </c>
      <c r="AK312" s="5">
        <f>IF(SUM(AR312:BC312)&gt;0.3*AF312,1,0)</f>
      </c>
      <c r="AL312" s="3"/>
      <c r="AM312" s="6">
        <f>(F312/100)*AM$41</f>
      </c>
      <c r="AN312" s="6">
        <f>(G312/100)*AN$41</f>
      </c>
      <c r="AO312" s="6">
        <f>(H312/1000000)*AO$41</f>
      </c>
      <c r="AP312" s="6">
        <f>(I312/100)*AP$41</f>
      </c>
      <c r="AQ312" s="6">
        <f>(J312/1000000)*AQ$41</f>
      </c>
      <c r="AR312" s="6">
        <f>(K312/100)*AR$41</f>
      </c>
      <c r="AS312" s="6">
        <f>(L312/100)*AS$41</f>
      </c>
      <c r="AT312" s="6">
        <f>(M312/100)*AT$41</f>
      </c>
      <c r="AU312" s="6">
        <f>(N312/100)*AU$41</f>
      </c>
      <c r="AV312" s="6">
        <f>(O312/1000000)*AV$41</f>
      </c>
      <c r="AW312" s="6">
        <f>(P312/100)*AW$41</f>
      </c>
      <c r="AX312" s="6">
        <f>(Q312/100)*AX$41</f>
      </c>
      <c r="AY312" s="6">
        <f>(R312/100)*AY$41</f>
      </c>
      <c r="AZ312" s="6">
        <f>(S312/100)*AZ$41</f>
      </c>
      <c r="BA312" s="6">
        <f>(T312/100)*BA$41</f>
      </c>
      <c r="BB312" s="6">
        <f>(U312/100)*BB$41</f>
      </c>
      <c r="BC312" s="6"/>
      <c r="BD312" s="3"/>
      <c r="BE312" s="3"/>
      <c r="BF312" s="7">
        <f>AF312*E312</f>
      </c>
      <c r="BG312" s="6"/>
      <c r="BH312" s="3"/>
      <c r="BI312" s="6"/>
    </row>
    <row x14ac:dyDescent="0.25" r="313" customHeight="1" ht="12.75">
      <c r="A313" s="5" t="s">
        <v>589</v>
      </c>
      <c r="B313" s="3" t="s">
        <v>855</v>
      </c>
      <c r="C313" s="43" t="s">
        <v>866</v>
      </c>
      <c r="D313" s="34" t="s">
        <v>989</v>
      </c>
      <c r="E313" s="23">
        <v>9.587897</v>
      </c>
      <c r="F313" s="7">
        <v>1.6194422927154934</v>
      </c>
      <c r="G313" s="7">
        <v>2.4419130493370966</v>
      </c>
      <c r="H313" s="31">
        <v>204.15895331374543</v>
      </c>
      <c r="I313" s="6"/>
      <c r="J313" s="6"/>
      <c r="K313" s="7"/>
      <c r="L313" s="6"/>
      <c r="M313" s="6"/>
      <c r="N313" s="23"/>
      <c r="O313" s="5"/>
      <c r="P313" s="6"/>
      <c r="Q313" s="6"/>
      <c r="R313" s="6"/>
      <c r="S313" s="6"/>
      <c r="T313" s="6"/>
      <c r="U313" s="6"/>
      <c r="V313" s="5"/>
      <c r="W313" s="6"/>
      <c r="X313" s="6">
        <f>E313*F313/100</f>
      </c>
      <c r="Y313" s="6">
        <f>E313*G313/100</f>
      </c>
      <c r="Z313" s="7">
        <f>E313*H313</f>
      </c>
      <c r="AA313" s="7">
        <f>E313*J313</f>
      </c>
      <c r="AB313" s="6">
        <f>E313*I313/100</f>
      </c>
      <c r="AC313" s="15">
        <f>X313+Y313+AB313</f>
      </c>
      <c r="AD313" s="6">
        <f>F313+G313+I313</f>
      </c>
      <c r="AE313" s="3"/>
      <c r="AF313" s="6">
        <f>SUM(AM313:BC313)</f>
      </c>
      <c r="AG313" s="5">
        <f>IF(SUM(AM313:AO313)&gt;0.7*AF313,1,0)</f>
      </c>
      <c r="AH313" s="5">
        <f>IF(AN313&gt;0.4*AF313,1,0)</f>
      </c>
      <c r="AI313" s="5">
        <f>IF(SUM(AP313:AQ313)&gt;0.3*AF313,1,0)</f>
      </c>
      <c r="AJ313" s="5">
        <f>IF(AQ313&gt;0.2*AF313,1,0)</f>
      </c>
      <c r="AK313" s="5">
        <f>IF(SUM(AR313:BC313)&gt;0.3*AF313,1,0)</f>
      </c>
      <c r="AL313" s="3"/>
      <c r="AM313" s="6">
        <f>(F313/100)*AM$41</f>
      </c>
      <c r="AN313" s="6">
        <f>(G313/100)*AN$41</f>
      </c>
      <c r="AO313" s="6">
        <f>(H313/1000000)*AO$41</f>
      </c>
      <c r="AP313" s="6">
        <f>(I313/100)*AP$41</f>
      </c>
      <c r="AQ313" s="6">
        <f>(J313/1000000)*AQ$41</f>
      </c>
      <c r="AR313" s="6">
        <f>(K313/100)*AR$41</f>
      </c>
      <c r="AS313" s="6">
        <f>(L313/100)*AS$41</f>
      </c>
      <c r="AT313" s="6">
        <f>(M313/100)*AT$41</f>
      </c>
      <c r="AU313" s="6">
        <f>(N313/100)*AU$41</f>
      </c>
      <c r="AV313" s="6">
        <f>(O313/1000000)*AV$41</f>
      </c>
      <c r="AW313" s="6">
        <f>(P313/100)*AW$41</f>
      </c>
      <c r="AX313" s="6">
        <f>(Q313/100)*AX$41</f>
      </c>
      <c r="AY313" s="6">
        <f>(R313/100)*AY$41</f>
      </c>
      <c r="AZ313" s="6">
        <f>(S313/100)*AZ$41</f>
      </c>
      <c r="BA313" s="6">
        <f>(T313/100)*BA$41</f>
      </c>
      <c r="BB313" s="6">
        <f>(U313/100)*BB$41</f>
      </c>
      <c r="BC313" s="6"/>
      <c r="BD313" s="3"/>
      <c r="BE313" s="3"/>
      <c r="BF313" s="7">
        <f>AF313*E313</f>
      </c>
      <c r="BG313" s="6"/>
      <c r="BH313" s="3"/>
      <c r="BI313" s="6"/>
    </row>
    <row x14ac:dyDescent="0.25" r="314" customHeight="1" ht="12.75">
      <c r="A314" s="5" t="s">
        <v>264</v>
      </c>
      <c r="B314" s="3" t="s">
        <v>855</v>
      </c>
      <c r="C314" s="43" t="s">
        <v>866</v>
      </c>
      <c r="D314" s="34" t="s">
        <v>988</v>
      </c>
      <c r="E314" s="23">
        <v>7.1986</v>
      </c>
      <c r="F314" s="6">
        <v>2.1249410996582667</v>
      </c>
      <c r="G314" s="6">
        <v>3.2844143305642763</v>
      </c>
      <c r="H314" s="7">
        <v>66.76608090462034</v>
      </c>
      <c r="I314" s="6"/>
      <c r="J314" s="6">
        <v>5.6975127108048795</v>
      </c>
      <c r="K314" s="7"/>
      <c r="L314" s="6"/>
      <c r="M314" s="6"/>
      <c r="N314" s="23"/>
      <c r="O314" s="5"/>
      <c r="P314" s="6"/>
      <c r="Q314" s="6"/>
      <c r="R314" s="6"/>
      <c r="S314" s="6"/>
      <c r="T314" s="6"/>
      <c r="U314" s="6"/>
      <c r="V314" s="5"/>
      <c r="W314" s="6"/>
      <c r="X314" s="6">
        <f>E314*F314/100</f>
      </c>
      <c r="Y314" s="6">
        <f>E314*G314/100</f>
      </c>
      <c r="Z314" s="7">
        <f>E314*H314</f>
      </c>
      <c r="AA314" s="7">
        <f>E314*J314</f>
      </c>
      <c r="AB314" s="6">
        <f>E314*I314/100</f>
      </c>
      <c r="AC314" s="15">
        <f>X314+Y314+AB314</f>
      </c>
      <c r="AD314" s="6">
        <f>F314+G314+I314</f>
      </c>
      <c r="AE314" s="3"/>
      <c r="AF314" s="6">
        <f>SUM(AM314:BC314)</f>
      </c>
      <c r="AG314" s="5">
        <f>IF(SUM(AM314:AO314)&gt;0.7*AF314,1,0)</f>
      </c>
      <c r="AH314" s="5">
        <f>IF(AN314&gt;0.4*AF314,1,0)</f>
      </c>
      <c r="AI314" s="5">
        <f>IF(SUM(AP314:AQ314)&gt;0.3*AF314,1,0)</f>
      </c>
      <c r="AJ314" s="5">
        <f>IF(AQ314&gt;0.2*AF314,1,0)</f>
      </c>
      <c r="AK314" s="5">
        <f>IF(SUM(AR314:BC314)&gt;0.3*AF314,1,0)</f>
      </c>
      <c r="AL314" s="3"/>
      <c r="AM314" s="6">
        <f>(F314/100)*AM$41</f>
      </c>
      <c r="AN314" s="6">
        <f>(G314/100)*AN$41</f>
      </c>
      <c r="AO314" s="6">
        <f>(H314/1000000)*AO$41</f>
      </c>
      <c r="AP314" s="6">
        <f>(I314/100)*AP$41</f>
      </c>
      <c r="AQ314" s="6">
        <f>(J314/1000000)*AQ$41</f>
      </c>
      <c r="AR314" s="6">
        <f>(K314/100)*AR$41</f>
      </c>
      <c r="AS314" s="6">
        <f>(L314/100)*AS$41</f>
      </c>
      <c r="AT314" s="6">
        <f>(M314/100)*AT$41</f>
      </c>
      <c r="AU314" s="6">
        <f>(N314/100)*AU$41</f>
      </c>
      <c r="AV314" s="6">
        <f>(O314/1000000)*AV$41</f>
      </c>
      <c r="AW314" s="6">
        <f>(P314/100)*AW$41</f>
      </c>
      <c r="AX314" s="6">
        <f>(Q314/100)*AX$41</f>
      </c>
      <c r="AY314" s="6">
        <f>(R314/100)*AY$41</f>
      </c>
      <c r="AZ314" s="6">
        <f>(S314/100)*AZ$41</f>
      </c>
      <c r="BA314" s="6">
        <f>(T314/100)*BA$41</f>
      </c>
      <c r="BB314" s="6">
        <f>(U314/100)*BB$41</f>
      </c>
      <c r="BC314" s="6"/>
      <c r="BD314" s="3"/>
      <c r="BE314" s="3"/>
      <c r="BF314" s="7">
        <f>AF314*E314</f>
      </c>
      <c r="BG314" s="6"/>
      <c r="BH314" s="3"/>
      <c r="BI314" s="6"/>
    </row>
    <row x14ac:dyDescent="0.25" r="315" customHeight="1" ht="12.75">
      <c r="A315" s="5" t="s">
        <v>658</v>
      </c>
      <c r="B315" s="3" t="s">
        <v>855</v>
      </c>
      <c r="C315" s="43" t="s">
        <v>866</v>
      </c>
      <c r="D315" s="34" t="s">
        <v>988</v>
      </c>
      <c r="E315" s="6">
        <v>14.4</v>
      </c>
      <c r="F315" s="6">
        <v>0.76</v>
      </c>
      <c r="G315" s="6">
        <v>1.75</v>
      </c>
      <c r="H315" s="6">
        <v>6.93</v>
      </c>
      <c r="I315" s="6"/>
      <c r="J315" s="6"/>
      <c r="K315" s="7"/>
      <c r="L315" s="6"/>
      <c r="M315" s="6"/>
      <c r="N315" s="23"/>
      <c r="O315" s="5"/>
      <c r="P315" s="6"/>
      <c r="Q315" s="6"/>
      <c r="R315" s="6"/>
      <c r="S315" s="6"/>
      <c r="T315" s="6"/>
      <c r="U315" s="6"/>
      <c r="V315" s="5"/>
      <c r="W315" s="6"/>
      <c r="X315" s="6">
        <f>E315*F315/100</f>
      </c>
      <c r="Y315" s="6">
        <f>E315*G315/100</f>
      </c>
      <c r="Z315" s="7">
        <f>E315*H315</f>
      </c>
      <c r="AA315" s="7">
        <f>E315*J315</f>
      </c>
      <c r="AB315" s="6">
        <f>E315*I315/100</f>
      </c>
      <c r="AC315" s="15">
        <f>X315+Y315+AB315</f>
      </c>
      <c r="AD315" s="6">
        <f>F315+G315+I315</f>
      </c>
      <c r="AE315" s="3"/>
      <c r="AF315" s="6">
        <f>SUM(AM315:BC315)</f>
      </c>
      <c r="AG315" s="5">
        <f>IF(SUM(AM315:AO315)&gt;0.7*AF315,1,0)</f>
      </c>
      <c r="AH315" s="5">
        <f>IF(AN315&gt;0.4*AF315,1,0)</f>
      </c>
      <c r="AI315" s="5">
        <f>IF(SUM(AP315:AQ315)&gt;0.3*AF315,1,0)</f>
      </c>
      <c r="AJ315" s="5">
        <f>IF(AQ315&gt;0.2*AF315,1,0)</f>
      </c>
      <c r="AK315" s="5">
        <f>IF(SUM(AR315:BC315)&gt;0.3*AF315,1,0)</f>
      </c>
      <c r="AL315" s="3"/>
      <c r="AM315" s="6">
        <f>(F315/100)*AM$41</f>
      </c>
      <c r="AN315" s="6">
        <f>(G315/100)*AN$41</f>
      </c>
      <c r="AO315" s="6">
        <f>(H315/1000000)*AO$41</f>
      </c>
      <c r="AP315" s="6">
        <f>(I315/100)*AP$41</f>
      </c>
      <c r="AQ315" s="6">
        <f>(J315/1000000)*AQ$41</f>
      </c>
      <c r="AR315" s="6">
        <f>(K315/100)*AR$41</f>
      </c>
      <c r="AS315" s="6">
        <f>(L315/100)*AS$41</f>
      </c>
      <c r="AT315" s="6">
        <f>(M315/100)*AT$41</f>
      </c>
      <c r="AU315" s="6">
        <f>(N315/100)*AU$41</f>
      </c>
      <c r="AV315" s="6">
        <f>(O315/1000000)*AV$41</f>
      </c>
      <c r="AW315" s="6">
        <f>(P315/100)*AW$41</f>
      </c>
      <c r="AX315" s="6">
        <f>(Q315/100)*AX$41</f>
      </c>
      <c r="AY315" s="6">
        <f>(R315/100)*AY$41</f>
      </c>
      <c r="AZ315" s="6">
        <f>(S315/100)*AZ$41</f>
      </c>
      <c r="BA315" s="6">
        <f>(T315/100)*BA$41</f>
      </c>
      <c r="BB315" s="6">
        <f>(U315/100)*BB$41</f>
      </c>
      <c r="BC315" s="6"/>
      <c r="BD315" s="3"/>
      <c r="BE315" s="3"/>
      <c r="BF315" s="7">
        <f>AF315*E315</f>
      </c>
      <c r="BG315" s="6"/>
      <c r="BH315" s="3"/>
      <c r="BI315" s="6"/>
    </row>
    <row x14ac:dyDescent="0.25" r="316" customHeight="1" ht="12.75">
      <c r="A316" s="5" t="s">
        <v>659</v>
      </c>
      <c r="B316" s="3" t="s">
        <v>855</v>
      </c>
      <c r="C316" s="43" t="s">
        <v>866</v>
      </c>
      <c r="D316" s="34" t="s">
        <v>988</v>
      </c>
      <c r="E316" s="6">
        <v>6.18</v>
      </c>
      <c r="F316" s="6">
        <v>1.23</v>
      </c>
      <c r="G316" s="6">
        <v>4.55</v>
      </c>
      <c r="H316" s="7"/>
      <c r="I316" s="6"/>
      <c r="J316" s="6"/>
      <c r="K316" s="7"/>
      <c r="L316" s="6"/>
      <c r="M316" s="6"/>
      <c r="N316" s="23"/>
      <c r="O316" s="5"/>
      <c r="P316" s="6"/>
      <c r="Q316" s="6"/>
      <c r="R316" s="6"/>
      <c r="S316" s="6"/>
      <c r="T316" s="6"/>
      <c r="U316" s="6"/>
      <c r="V316" s="5"/>
      <c r="W316" s="6"/>
      <c r="X316" s="6">
        <f>E316*F316/100</f>
      </c>
      <c r="Y316" s="6">
        <f>E316*G316/100</f>
      </c>
      <c r="Z316" s="7">
        <f>E316*H316</f>
      </c>
      <c r="AA316" s="7">
        <f>E316*J316</f>
      </c>
      <c r="AB316" s="6">
        <f>E316*I316/100</f>
      </c>
      <c r="AC316" s="15">
        <f>X316+Y316+AB316</f>
      </c>
      <c r="AD316" s="6">
        <f>F316+G316+I316</f>
      </c>
      <c r="AE316" s="3"/>
      <c r="AF316" s="6">
        <f>SUM(AM316:BC316)</f>
      </c>
      <c r="AG316" s="5">
        <f>IF(SUM(AM316:AO316)&gt;0.7*AF316,1,0)</f>
      </c>
      <c r="AH316" s="5">
        <f>IF(AN316&gt;0.4*AF316,1,0)</f>
      </c>
      <c r="AI316" s="5">
        <f>IF(SUM(AP316:AQ316)&gt;0.3*AF316,1,0)</f>
      </c>
      <c r="AJ316" s="5">
        <f>IF(AQ316&gt;0.2*AF316,1,0)</f>
      </c>
      <c r="AK316" s="5">
        <f>IF(SUM(AR316:BC316)&gt;0.3*AF316,1,0)</f>
      </c>
      <c r="AL316" s="3"/>
      <c r="AM316" s="6">
        <f>(F316/100)*AM$41</f>
      </c>
      <c r="AN316" s="6">
        <f>(G316/100)*AN$41</f>
      </c>
      <c r="AO316" s="6">
        <f>(H316/1000000)*AO$41</f>
      </c>
      <c r="AP316" s="6">
        <f>(I316/100)*AP$41</f>
      </c>
      <c r="AQ316" s="6">
        <f>(J316/1000000)*AQ$41</f>
      </c>
      <c r="AR316" s="6">
        <f>(K316/100)*AR$41</f>
      </c>
      <c r="AS316" s="6">
        <f>(L316/100)*AS$41</f>
      </c>
      <c r="AT316" s="6">
        <f>(M316/100)*AT$41</f>
      </c>
      <c r="AU316" s="6">
        <f>(N316/100)*AU$41</f>
      </c>
      <c r="AV316" s="6">
        <f>(O316/1000000)*AV$41</f>
      </c>
      <c r="AW316" s="6">
        <f>(P316/100)*AW$41</f>
      </c>
      <c r="AX316" s="6">
        <f>(Q316/100)*AX$41</f>
      </c>
      <c r="AY316" s="6">
        <f>(R316/100)*AY$41</f>
      </c>
      <c r="AZ316" s="6">
        <f>(S316/100)*AZ$41</f>
      </c>
      <c r="BA316" s="6">
        <f>(T316/100)*BA$41</f>
      </c>
      <c r="BB316" s="6">
        <f>(U316/100)*BB$41</f>
      </c>
      <c r="BC316" s="6"/>
      <c r="BD316" s="3"/>
      <c r="BE316" s="3"/>
      <c r="BF316" s="7">
        <f>AF316*E316</f>
      </c>
      <c r="BG316" s="6"/>
      <c r="BH316" s="3"/>
      <c r="BI316" s="6"/>
    </row>
    <row x14ac:dyDescent="0.25" r="317" customHeight="1" ht="12.75">
      <c r="A317" s="5" t="s">
        <v>661</v>
      </c>
      <c r="B317" s="3" t="s">
        <v>855</v>
      </c>
      <c r="C317" s="43" t="s">
        <v>866</v>
      </c>
      <c r="D317" s="34" t="s">
        <v>993</v>
      </c>
      <c r="E317" s="5">
        <v>8</v>
      </c>
      <c r="F317" s="6"/>
      <c r="G317" s="6">
        <v>4.42</v>
      </c>
      <c r="H317" s="7">
        <v>19.593</v>
      </c>
      <c r="I317" s="6"/>
      <c r="J317" s="6"/>
      <c r="K317" s="7"/>
      <c r="L317" s="6"/>
      <c r="M317" s="6"/>
      <c r="N317" s="23"/>
      <c r="O317" s="5"/>
      <c r="P317" s="6"/>
      <c r="Q317" s="6"/>
      <c r="R317" s="6"/>
      <c r="S317" s="6"/>
      <c r="T317" s="6"/>
      <c r="U317" s="6"/>
      <c r="V317" s="5"/>
      <c r="W317" s="6"/>
      <c r="X317" s="6">
        <f>E317*F317/100</f>
      </c>
      <c r="Y317" s="6">
        <f>E317*G317/100</f>
      </c>
      <c r="Z317" s="7">
        <f>E317*H317</f>
      </c>
      <c r="AA317" s="7">
        <f>E317*J317</f>
      </c>
      <c r="AB317" s="6">
        <f>E317*I317/100</f>
      </c>
      <c r="AC317" s="15">
        <f>X317+Y317+AB317</f>
      </c>
      <c r="AD317" s="6">
        <f>F317+G317+I317</f>
      </c>
      <c r="AE317" s="3"/>
      <c r="AF317" s="6">
        <f>SUM(AM317:BC317)</f>
      </c>
      <c r="AG317" s="5">
        <f>IF(SUM(AM317:AO317)&gt;0.7*AF317,1,0)</f>
      </c>
      <c r="AH317" s="5">
        <f>IF(AN317&gt;0.4*AF317,1,0)</f>
      </c>
      <c r="AI317" s="5">
        <f>IF(SUM(AP317:AQ317)&gt;0.3*AF317,1,0)</f>
      </c>
      <c r="AJ317" s="5">
        <f>IF(AQ317&gt;0.2*AF317,1,0)</f>
      </c>
      <c r="AK317" s="5">
        <f>IF(SUM(AR317:BC317)&gt;0.3*AF317,1,0)</f>
      </c>
      <c r="AL317" s="3"/>
      <c r="AM317" s="6">
        <f>(F317/100)*AM$41</f>
      </c>
      <c r="AN317" s="6">
        <f>(G317/100)*AN$41</f>
      </c>
      <c r="AO317" s="6">
        <f>(H317/1000000)*AO$41</f>
      </c>
      <c r="AP317" s="6">
        <f>(I317/100)*AP$41</f>
      </c>
      <c r="AQ317" s="6">
        <f>(J317/1000000)*AQ$41</f>
      </c>
      <c r="AR317" s="6">
        <f>(K317/100)*AR$41</f>
      </c>
      <c r="AS317" s="6">
        <f>(L317/100)*AS$41</f>
      </c>
      <c r="AT317" s="6">
        <f>(M317/100)*AT$41</f>
      </c>
      <c r="AU317" s="6">
        <f>(N317/100)*AU$41</f>
      </c>
      <c r="AV317" s="6">
        <f>(O317/1000000)*AV$41</f>
      </c>
      <c r="AW317" s="6">
        <f>(P317/100)*AW$41</f>
      </c>
      <c r="AX317" s="6">
        <f>(Q317/100)*AX$41</f>
      </c>
      <c r="AY317" s="6">
        <f>(R317/100)*AY$41</f>
      </c>
      <c r="AZ317" s="6">
        <f>(S317/100)*AZ$41</f>
      </c>
      <c r="BA317" s="6">
        <f>(T317/100)*BA$41</f>
      </c>
      <c r="BB317" s="6">
        <f>(U317/100)*BB$41</f>
      </c>
      <c r="BC317" s="6"/>
      <c r="BD317" s="3"/>
      <c r="BE317" s="3"/>
      <c r="BF317" s="7">
        <f>AF317*E317</f>
      </c>
      <c r="BG317" s="6"/>
      <c r="BH317" s="3"/>
      <c r="BI317" s="6"/>
    </row>
    <row x14ac:dyDescent="0.25" r="318" customHeight="1" ht="12.75">
      <c r="A318" s="5" t="s">
        <v>663</v>
      </c>
      <c r="B318" s="3" t="s">
        <v>855</v>
      </c>
      <c r="C318" s="43" t="s">
        <v>866</v>
      </c>
      <c r="D318" s="34"/>
      <c r="E318" s="6">
        <v>10.9</v>
      </c>
      <c r="F318" s="6">
        <v>1.4</v>
      </c>
      <c r="G318" s="6">
        <v>1.8</v>
      </c>
      <c r="H318" s="7"/>
      <c r="I318" s="6"/>
      <c r="J318" s="6"/>
      <c r="K318" s="7"/>
      <c r="L318" s="6"/>
      <c r="M318" s="6"/>
      <c r="N318" s="23"/>
      <c r="O318" s="5"/>
      <c r="P318" s="6"/>
      <c r="Q318" s="6"/>
      <c r="R318" s="6"/>
      <c r="S318" s="6"/>
      <c r="T318" s="6"/>
      <c r="U318" s="6"/>
      <c r="V318" s="5"/>
      <c r="W318" s="6"/>
      <c r="X318" s="6">
        <f>E318*F318/100</f>
      </c>
      <c r="Y318" s="6">
        <f>E318*G318/100</f>
      </c>
      <c r="Z318" s="7">
        <f>E318*H318</f>
      </c>
      <c r="AA318" s="7">
        <f>E318*J318</f>
      </c>
      <c r="AB318" s="6">
        <f>E318*I318/100</f>
      </c>
      <c r="AC318" s="15">
        <f>X318+Y318+AB318</f>
      </c>
      <c r="AD318" s="6">
        <f>F318+G318+I318</f>
      </c>
      <c r="AE318" s="3"/>
      <c r="AF318" s="6">
        <f>SUM(AM318:BC318)</f>
      </c>
      <c r="AG318" s="5">
        <f>IF(SUM(AM318:AO318)&gt;0.7*AF318,1,0)</f>
      </c>
      <c r="AH318" s="5">
        <f>IF(AN318&gt;0.4*AF318,1,0)</f>
      </c>
      <c r="AI318" s="5">
        <f>IF(SUM(AP318:AQ318)&gt;0.3*AF318,1,0)</f>
      </c>
      <c r="AJ318" s="5">
        <f>IF(AQ318&gt;0.2*AF318,1,0)</f>
      </c>
      <c r="AK318" s="5">
        <f>IF(SUM(AR318:BC318)&gt;0.3*AF318,1,0)</f>
      </c>
      <c r="AL318" s="3"/>
      <c r="AM318" s="6">
        <f>(F318/100)*AM$41</f>
      </c>
      <c r="AN318" s="6">
        <f>(G318/100)*AN$41</f>
      </c>
      <c r="AO318" s="6">
        <f>(H318/1000000)*AO$41</f>
      </c>
      <c r="AP318" s="6">
        <f>(I318/100)*AP$41</f>
      </c>
      <c r="AQ318" s="6">
        <f>(J318/1000000)*AQ$41</f>
      </c>
      <c r="AR318" s="6">
        <f>(K318/100)*AR$41</f>
      </c>
      <c r="AS318" s="6">
        <f>(L318/100)*AS$41</f>
      </c>
      <c r="AT318" s="6">
        <f>(M318/100)*AT$41</f>
      </c>
      <c r="AU318" s="6">
        <f>(N318/100)*AU$41</f>
      </c>
      <c r="AV318" s="6">
        <f>(O318/1000000)*AV$41</f>
      </c>
      <c r="AW318" s="6">
        <f>(P318/100)*AW$41</f>
      </c>
      <c r="AX318" s="6">
        <f>(Q318/100)*AX$41</f>
      </c>
      <c r="AY318" s="6">
        <f>(R318/100)*AY$41</f>
      </c>
      <c r="AZ318" s="6">
        <f>(S318/100)*AZ$41</f>
      </c>
      <c r="BA318" s="6">
        <f>(T318/100)*BA$41</f>
      </c>
      <c r="BB318" s="6">
        <f>(U318/100)*BB$41</f>
      </c>
      <c r="BC318" s="6"/>
      <c r="BD318" s="3"/>
      <c r="BE318" s="3"/>
      <c r="BF318" s="7">
        <f>AF318*E318</f>
      </c>
      <c r="BG318" s="6"/>
      <c r="BH318" s="3"/>
      <c r="BI318" s="6"/>
    </row>
    <row x14ac:dyDescent="0.25" r="319" customHeight="1" ht="12.75">
      <c r="A319" s="5" t="s">
        <v>548</v>
      </c>
      <c r="B319" s="3" t="s">
        <v>855</v>
      </c>
      <c r="C319" s="43" t="s">
        <v>866</v>
      </c>
      <c r="D319" s="34" t="s">
        <v>988</v>
      </c>
      <c r="E319" s="6">
        <v>4.7</v>
      </c>
      <c r="F319" s="7">
        <v>2.0170212765957447</v>
      </c>
      <c r="G319" s="7">
        <v>4.81063829787234</v>
      </c>
      <c r="H319" s="7">
        <v>48.106382978723396</v>
      </c>
      <c r="I319" s="6">
        <v>0.2</v>
      </c>
      <c r="J319" s="6"/>
      <c r="K319" s="7"/>
      <c r="L319" s="6"/>
      <c r="M319" s="6"/>
      <c r="N319" s="23"/>
      <c r="O319" s="5"/>
      <c r="P319" s="6"/>
      <c r="Q319" s="6"/>
      <c r="R319" s="6"/>
      <c r="S319" s="6"/>
      <c r="T319" s="6"/>
      <c r="U319" s="6"/>
      <c r="V319" s="5"/>
      <c r="W319" s="6"/>
      <c r="X319" s="6">
        <f>E319*F319/100</f>
      </c>
      <c r="Y319" s="6">
        <f>E319*G319/100</f>
      </c>
      <c r="Z319" s="7">
        <f>E319*H319</f>
      </c>
      <c r="AA319" s="7">
        <f>E319*J319</f>
      </c>
      <c r="AB319" s="6">
        <f>E319*I319/100</f>
      </c>
      <c r="AC319" s="15">
        <f>X319+Y319+AB319</f>
      </c>
      <c r="AD319" s="6">
        <f>F319+G319+I319</f>
      </c>
      <c r="AE319" s="3"/>
      <c r="AF319" s="6">
        <f>SUM(AM319:BC319)</f>
      </c>
      <c r="AG319" s="5">
        <f>IF(SUM(AM319:AO319)&gt;0.7*AF319,1,0)</f>
      </c>
      <c r="AH319" s="5">
        <f>IF(AN319&gt;0.4*AF319,1,0)</f>
      </c>
      <c r="AI319" s="5">
        <f>IF(SUM(AP319:AQ319)&gt;0.3*AF319,1,0)</f>
      </c>
      <c r="AJ319" s="5">
        <f>IF(AQ319&gt;0.2*AF319,1,0)</f>
      </c>
      <c r="AK319" s="5">
        <f>IF(SUM(AR319:BC319)&gt;0.3*AF319,1,0)</f>
      </c>
      <c r="AL319" s="3"/>
      <c r="AM319" s="6">
        <f>(F319/100)*AM$41</f>
      </c>
      <c r="AN319" s="6">
        <f>(G319/100)*AN$41</f>
      </c>
      <c r="AO319" s="6">
        <f>(H319/1000000)*AO$41</f>
      </c>
      <c r="AP319" s="6">
        <f>(I319/100)*AP$41</f>
      </c>
      <c r="AQ319" s="6">
        <f>(J319/1000000)*AQ$41</f>
      </c>
      <c r="AR319" s="6">
        <f>(K319/100)*AR$41</f>
      </c>
      <c r="AS319" s="6">
        <f>(L319/100)*AS$41</f>
      </c>
      <c r="AT319" s="6">
        <f>(M319/100)*AT$41</f>
      </c>
      <c r="AU319" s="6">
        <f>(N319/100)*AU$41</f>
      </c>
      <c r="AV319" s="6">
        <f>(O319/1000000)*AV$41</f>
      </c>
      <c r="AW319" s="6">
        <f>(P319/100)*AW$41</f>
      </c>
      <c r="AX319" s="6">
        <f>(Q319/100)*AX$41</f>
      </c>
      <c r="AY319" s="6">
        <f>(R319/100)*AY$41</f>
      </c>
      <c r="AZ319" s="6">
        <f>(S319/100)*AZ$41</f>
      </c>
      <c r="BA319" s="6">
        <f>(T319/100)*BA$41</f>
      </c>
      <c r="BB319" s="6">
        <f>(U319/100)*BB$41</f>
      </c>
      <c r="BC319" s="6"/>
      <c r="BD319" s="3"/>
      <c r="BE319" s="3"/>
      <c r="BF319" s="7">
        <f>AF319*E319</f>
      </c>
      <c r="BG319" s="6"/>
      <c r="BH319" s="3"/>
      <c r="BI319" s="6"/>
    </row>
    <row x14ac:dyDescent="0.25" r="320" customHeight="1" ht="12.75">
      <c r="A320" s="5" t="s">
        <v>73</v>
      </c>
      <c r="B320" s="3" t="s">
        <v>855</v>
      </c>
      <c r="C320" s="43" t="s">
        <v>866</v>
      </c>
      <c r="D320" s="34" t="s">
        <v>988</v>
      </c>
      <c r="E320" s="6">
        <v>1.6</v>
      </c>
      <c r="F320" s="6">
        <v>13.9</v>
      </c>
      <c r="G320" s="6">
        <v>5.1</v>
      </c>
      <c r="H320" s="5">
        <v>157</v>
      </c>
      <c r="I320" s="6"/>
      <c r="J320" s="6"/>
      <c r="K320" s="7"/>
      <c r="L320" s="6"/>
      <c r="M320" s="6"/>
      <c r="N320" s="23"/>
      <c r="O320" s="5"/>
      <c r="P320" s="6"/>
      <c r="Q320" s="6"/>
      <c r="R320" s="6"/>
      <c r="S320" s="6"/>
      <c r="T320" s="6"/>
      <c r="U320" s="6"/>
      <c r="V320" s="5"/>
      <c r="W320" s="6"/>
      <c r="X320" s="6">
        <f>E320*F320/100</f>
      </c>
      <c r="Y320" s="6">
        <f>E320*G320/100</f>
      </c>
      <c r="Z320" s="7">
        <f>E320*H320</f>
      </c>
      <c r="AA320" s="7">
        <f>E320*J320</f>
      </c>
      <c r="AB320" s="6">
        <f>E320*I320/100</f>
      </c>
      <c r="AC320" s="15">
        <f>X320+Y320+AB320</f>
      </c>
      <c r="AD320" s="6">
        <f>F320+G320+I320</f>
      </c>
      <c r="AE320" s="3"/>
      <c r="AF320" s="6">
        <f>SUM(AM320:BC320)</f>
      </c>
      <c r="AG320" s="5">
        <f>IF(SUM(AM320:AO320)&gt;0.7*AF320,1,0)</f>
      </c>
      <c r="AH320" s="5">
        <f>IF(AN320&gt;0.4*AF320,1,0)</f>
      </c>
      <c r="AI320" s="5">
        <f>IF(SUM(AP320:AQ320)&gt;0.3*AF320,1,0)</f>
      </c>
      <c r="AJ320" s="5">
        <f>IF(AQ320&gt;0.2*AF320,1,0)</f>
      </c>
      <c r="AK320" s="5">
        <f>IF(SUM(AR320:BC320)&gt;0.3*AF320,1,0)</f>
      </c>
      <c r="AL320" s="3"/>
      <c r="AM320" s="6">
        <f>(F320/100)*AM$41</f>
      </c>
      <c r="AN320" s="6">
        <f>(G320/100)*AN$41</f>
      </c>
      <c r="AO320" s="6">
        <f>(H320/1000000)*AO$41</f>
      </c>
      <c r="AP320" s="6">
        <f>(I320/100)*AP$41</f>
      </c>
      <c r="AQ320" s="6">
        <f>(J320/1000000)*AQ$41</f>
      </c>
      <c r="AR320" s="6">
        <f>(K320/100)*AR$41</f>
      </c>
      <c r="AS320" s="6">
        <f>(L320/100)*AS$41</f>
      </c>
      <c r="AT320" s="6">
        <f>(M320/100)*AT$41</f>
      </c>
      <c r="AU320" s="6">
        <f>(N320/100)*AU$41</f>
      </c>
      <c r="AV320" s="6">
        <f>(O320/1000000)*AV$41</f>
      </c>
      <c r="AW320" s="6">
        <f>(P320/100)*AW$41</f>
      </c>
      <c r="AX320" s="6">
        <f>(Q320/100)*AX$41</f>
      </c>
      <c r="AY320" s="6">
        <f>(R320/100)*AY$41</f>
      </c>
      <c r="AZ320" s="6">
        <f>(S320/100)*AZ$41</f>
      </c>
      <c r="BA320" s="6">
        <f>(T320/100)*BA$41</f>
      </c>
      <c r="BB320" s="6">
        <f>(U320/100)*BB$41</f>
      </c>
      <c r="BC320" s="6"/>
      <c r="BD320" s="3"/>
      <c r="BE320" s="3"/>
      <c r="BF320" s="7">
        <f>AF320*E320</f>
      </c>
      <c r="BG320" s="6"/>
      <c r="BH320" s="3"/>
      <c r="BI320" s="6"/>
    </row>
    <row x14ac:dyDescent="0.25" r="321" customHeight="1" ht="12.75">
      <c r="A321" s="5" t="s">
        <v>681</v>
      </c>
      <c r="B321" s="3" t="s">
        <v>855</v>
      </c>
      <c r="C321" s="43" t="s">
        <v>866</v>
      </c>
      <c r="D321" s="34" t="s">
        <v>989</v>
      </c>
      <c r="E321" s="6">
        <v>10.4</v>
      </c>
      <c r="F321" s="6">
        <v>0.2</v>
      </c>
      <c r="G321" s="6">
        <v>2.7</v>
      </c>
      <c r="H321" s="5">
        <v>1</v>
      </c>
      <c r="I321" s="6"/>
      <c r="J321" s="6"/>
      <c r="K321" s="7"/>
      <c r="L321" s="6"/>
      <c r="M321" s="6"/>
      <c r="N321" s="23"/>
      <c r="O321" s="5"/>
      <c r="P321" s="6"/>
      <c r="Q321" s="6"/>
      <c r="R321" s="6"/>
      <c r="S321" s="6"/>
      <c r="T321" s="6"/>
      <c r="U321" s="6"/>
      <c r="V321" s="5"/>
      <c r="W321" s="6"/>
      <c r="X321" s="6">
        <f>E321*F321/100</f>
      </c>
      <c r="Y321" s="6">
        <f>E321*G321/100</f>
      </c>
      <c r="Z321" s="7">
        <f>E321*H321</f>
      </c>
      <c r="AA321" s="7">
        <f>E321*J321</f>
      </c>
      <c r="AB321" s="6">
        <f>E321*I321/100</f>
      </c>
      <c r="AC321" s="15">
        <f>X321+Y321+AB321</f>
      </c>
      <c r="AD321" s="6">
        <f>F321+G321+I321</f>
      </c>
      <c r="AE321" s="3"/>
      <c r="AF321" s="6">
        <f>SUM(AM321:BC321)</f>
      </c>
      <c r="AG321" s="5">
        <f>IF(SUM(AM321:AO321)&gt;0.7*AF321,1,0)</f>
      </c>
      <c r="AH321" s="5">
        <f>IF(AN321&gt;0.4*AF321,1,0)</f>
      </c>
      <c r="AI321" s="5">
        <f>IF(SUM(AP321:AQ321)&gt;0.3*AF321,1,0)</f>
      </c>
      <c r="AJ321" s="5">
        <f>IF(AQ321&gt;0.2*AF321,1,0)</f>
      </c>
      <c r="AK321" s="5">
        <f>IF(SUM(AR321:BC321)&gt;0.3*AF321,1,0)</f>
      </c>
      <c r="AL321" s="3"/>
      <c r="AM321" s="6">
        <f>(F321/100)*AM$41</f>
      </c>
      <c r="AN321" s="6">
        <f>(G321/100)*AN$41</f>
      </c>
      <c r="AO321" s="6">
        <f>(H321/1000000)*AO$41</f>
      </c>
      <c r="AP321" s="6">
        <f>(I321/100)*AP$41</f>
      </c>
      <c r="AQ321" s="6">
        <f>(J321/1000000)*AQ$41</f>
      </c>
      <c r="AR321" s="6">
        <f>(K321/100)*AR$41</f>
      </c>
      <c r="AS321" s="6">
        <f>(L321/100)*AS$41</f>
      </c>
      <c r="AT321" s="6">
        <f>(M321/100)*AT$41</f>
      </c>
      <c r="AU321" s="6">
        <f>(N321/100)*AU$41</f>
      </c>
      <c r="AV321" s="6">
        <f>(O321/1000000)*AV$41</f>
      </c>
      <c r="AW321" s="6">
        <f>(P321/100)*AW$41</f>
      </c>
      <c r="AX321" s="6">
        <f>(Q321/100)*AX$41</f>
      </c>
      <c r="AY321" s="6">
        <f>(R321/100)*AY$41</f>
      </c>
      <c r="AZ321" s="6">
        <f>(S321/100)*AZ$41</f>
      </c>
      <c r="BA321" s="6">
        <f>(T321/100)*BA$41</f>
      </c>
      <c r="BB321" s="6">
        <f>(U321/100)*BB$41</f>
      </c>
      <c r="BC321" s="6"/>
      <c r="BD321" s="3"/>
      <c r="BE321" s="3"/>
      <c r="BF321" s="7">
        <f>AF321*E321</f>
      </c>
      <c r="BG321" s="6"/>
      <c r="BH321" s="3"/>
      <c r="BI321" s="6"/>
    </row>
    <row x14ac:dyDescent="0.25" r="322" customHeight="1" ht="12.75">
      <c r="A322" s="5" t="s">
        <v>691</v>
      </c>
      <c r="B322" s="3" t="s">
        <v>855</v>
      </c>
      <c r="C322" s="43" t="s">
        <v>866</v>
      </c>
      <c r="D322" s="34" t="s">
        <v>988</v>
      </c>
      <c r="E322" s="6">
        <v>6.85</v>
      </c>
      <c r="F322" s="6">
        <v>0.9</v>
      </c>
      <c r="G322" s="6">
        <v>3.2</v>
      </c>
      <c r="H322" s="7"/>
      <c r="I322" s="6"/>
      <c r="J322" s="6"/>
      <c r="K322" s="7"/>
      <c r="L322" s="6"/>
      <c r="M322" s="6"/>
      <c r="N322" s="23"/>
      <c r="O322" s="5"/>
      <c r="P322" s="6"/>
      <c r="Q322" s="6"/>
      <c r="R322" s="6"/>
      <c r="S322" s="6"/>
      <c r="T322" s="6"/>
      <c r="U322" s="6"/>
      <c r="V322" s="5"/>
      <c r="W322" s="6"/>
      <c r="X322" s="6">
        <f>E322*F322/100</f>
      </c>
      <c r="Y322" s="6">
        <f>E322*G322/100</f>
      </c>
      <c r="Z322" s="7">
        <f>E322*H322</f>
      </c>
      <c r="AA322" s="7">
        <f>E322*J322</f>
      </c>
      <c r="AB322" s="6">
        <f>E322*I322/100</f>
      </c>
      <c r="AC322" s="15">
        <f>X322+Y322+AB322</f>
      </c>
      <c r="AD322" s="6">
        <f>F322+G322+I322</f>
      </c>
      <c r="AE322" s="3"/>
      <c r="AF322" s="6">
        <f>SUM(AM322:BC322)</f>
      </c>
      <c r="AG322" s="5">
        <f>IF(SUM(AM322:AO322)&gt;0.7*AF322,1,0)</f>
      </c>
      <c r="AH322" s="5">
        <f>IF(AN322&gt;0.4*AF322,1,0)</f>
      </c>
      <c r="AI322" s="5">
        <f>IF(SUM(AP322:AQ322)&gt;0.3*AF322,1,0)</f>
      </c>
      <c r="AJ322" s="5">
        <f>IF(AQ322&gt;0.2*AF322,1,0)</f>
      </c>
      <c r="AK322" s="5">
        <f>IF(SUM(AR322:BC322)&gt;0.3*AF322,1,0)</f>
      </c>
      <c r="AL322" s="3"/>
      <c r="AM322" s="6">
        <f>(F322/100)*AM$41</f>
      </c>
      <c r="AN322" s="6">
        <f>(G322/100)*AN$41</f>
      </c>
      <c r="AO322" s="6">
        <f>(H322/1000000)*AO$41</f>
      </c>
      <c r="AP322" s="6">
        <f>(I322/100)*AP$41</f>
      </c>
      <c r="AQ322" s="6">
        <f>(J322/1000000)*AQ$41</f>
      </c>
      <c r="AR322" s="6">
        <f>(K322/100)*AR$41</f>
      </c>
      <c r="AS322" s="6">
        <f>(L322/100)*AS$41</f>
      </c>
      <c r="AT322" s="6">
        <f>(M322/100)*AT$41</f>
      </c>
      <c r="AU322" s="6">
        <f>(N322/100)*AU$41</f>
      </c>
      <c r="AV322" s="6">
        <f>(O322/1000000)*AV$41</f>
      </c>
      <c r="AW322" s="6">
        <f>(P322/100)*AW$41</f>
      </c>
      <c r="AX322" s="6">
        <f>(Q322/100)*AX$41</f>
      </c>
      <c r="AY322" s="6">
        <f>(R322/100)*AY$41</f>
      </c>
      <c r="AZ322" s="6">
        <f>(S322/100)*AZ$41</f>
      </c>
      <c r="BA322" s="6">
        <f>(T322/100)*BA$41</f>
      </c>
      <c r="BB322" s="6">
        <f>(U322/100)*BB$41</f>
      </c>
      <c r="BC322" s="6"/>
      <c r="BD322" s="3"/>
      <c r="BE322" s="3"/>
      <c r="BF322" s="7">
        <f>AF322*E322</f>
      </c>
      <c r="BG322" s="6"/>
      <c r="BH322" s="3"/>
      <c r="BI322" s="6"/>
    </row>
    <row x14ac:dyDescent="0.25" r="323" customHeight="1" ht="12.75">
      <c r="A323" s="5" t="s">
        <v>694</v>
      </c>
      <c r="B323" s="3" t="s">
        <v>855</v>
      </c>
      <c r="C323" s="43" t="s">
        <v>866</v>
      </c>
      <c r="D323" s="34" t="s">
        <v>989</v>
      </c>
      <c r="E323" s="6">
        <v>8.836</v>
      </c>
      <c r="F323" s="6">
        <v>0.99</v>
      </c>
      <c r="G323" s="6">
        <v>2.17</v>
      </c>
      <c r="H323" s="6">
        <v>7.3</v>
      </c>
      <c r="I323" s="6"/>
      <c r="J323" s="6"/>
      <c r="K323" s="6">
        <v>12.744937892856072</v>
      </c>
      <c r="L323" s="6"/>
      <c r="M323" s="6"/>
      <c r="N323" s="23"/>
      <c r="O323" s="5"/>
      <c r="P323" s="6"/>
      <c r="Q323" s="6"/>
      <c r="R323" s="6"/>
      <c r="S323" s="6"/>
      <c r="T323" s="6"/>
      <c r="U323" s="6"/>
      <c r="V323" s="6">
        <v>5.06</v>
      </c>
      <c r="W323" s="6" t="s">
        <v>997</v>
      </c>
      <c r="X323" s="6">
        <f>E323*F323/100</f>
      </c>
      <c r="Y323" s="6">
        <f>E323*G323/100</f>
      </c>
      <c r="Z323" s="7">
        <f>E323*H323</f>
      </c>
      <c r="AA323" s="7">
        <f>E323*J323</f>
      </c>
      <c r="AB323" s="6">
        <f>E323*I323/100</f>
      </c>
      <c r="AC323" s="15">
        <f>X323+Y323+AB323</f>
      </c>
      <c r="AD323" s="6">
        <f>F323+G323+I323</f>
      </c>
      <c r="AE323" s="3"/>
      <c r="AF323" s="6">
        <f>SUM(AM323:BC323)</f>
      </c>
      <c r="AG323" s="5">
        <f>IF(SUM(AM323:AO323)&gt;0.7*AF323,1,0)</f>
      </c>
      <c r="AH323" s="5">
        <f>IF(AN323&gt;0.4*AF323,1,0)</f>
      </c>
      <c r="AI323" s="5">
        <f>IF(SUM(AP323:AQ323)&gt;0.3*AF323,1,0)</f>
      </c>
      <c r="AJ323" s="5">
        <f>IF(AQ323&gt;0.2*AF323,1,0)</f>
      </c>
      <c r="AK323" s="5">
        <f>IF(SUM(AR323:BC323)&gt;0.3*AF323,1,0)</f>
      </c>
      <c r="AL323" s="3"/>
      <c r="AM323" s="6">
        <f>(F323/100)*AM$41</f>
      </c>
      <c r="AN323" s="6">
        <f>(G323/100)*AN$41</f>
      </c>
      <c r="AO323" s="6">
        <f>(H323/1000000)*AO$41</f>
      </c>
      <c r="AP323" s="6">
        <f>(I323/100)*AP$41</f>
      </c>
      <c r="AQ323" s="6">
        <f>(J323/1000000)*AQ$41</f>
      </c>
      <c r="AR323" s="6">
        <f>(K323/100)*AR$41</f>
      </c>
      <c r="AS323" s="6">
        <f>(L323/100)*AS$41</f>
      </c>
      <c r="AT323" s="6">
        <f>(M323/100)*AT$41</f>
      </c>
      <c r="AU323" s="6">
        <f>(N323/100)*AU$41</f>
      </c>
      <c r="AV323" s="6">
        <f>(O323/1000000)*AV$41</f>
      </c>
      <c r="AW323" s="6">
        <f>(P323/100)*AW$41</f>
      </c>
      <c r="AX323" s="6">
        <f>(Q323/100)*AX$41</f>
      </c>
      <c r="AY323" s="6">
        <f>(R323/100)*AY$41</f>
      </c>
      <c r="AZ323" s="6">
        <f>(S323/100)*AZ$41</f>
      </c>
      <c r="BA323" s="6">
        <f>(T323/100)*BA$41</f>
      </c>
      <c r="BB323" s="6">
        <f>(U323/100)*BB$41</f>
      </c>
      <c r="BC323" s="6">
        <f>(V323/100)*350</f>
      </c>
      <c r="BD323" s="3" t="s">
        <v>998</v>
      </c>
      <c r="BE323" s="3"/>
      <c r="BF323" s="7">
        <f>AF323*E323</f>
      </c>
      <c r="BG323" s="6"/>
      <c r="BH323" s="3"/>
      <c r="BI323" s="6"/>
    </row>
    <row x14ac:dyDescent="0.25" r="324" customHeight="1" ht="12.75">
      <c r="A324" s="5" t="s">
        <v>275</v>
      </c>
      <c r="B324" s="3" t="s">
        <v>855</v>
      </c>
      <c r="C324" s="43" t="s">
        <v>866</v>
      </c>
      <c r="D324" s="34" t="s">
        <v>989</v>
      </c>
      <c r="E324" s="23">
        <v>2.494758</v>
      </c>
      <c r="F324" s="6"/>
      <c r="G324" s="5">
        <v>11</v>
      </c>
      <c r="H324" s="7"/>
      <c r="I324" s="6"/>
      <c r="J324" s="6"/>
      <c r="K324" s="7"/>
      <c r="L324" s="6"/>
      <c r="M324" s="6"/>
      <c r="N324" s="23"/>
      <c r="O324" s="5"/>
      <c r="P324" s="6"/>
      <c r="Q324" s="6"/>
      <c r="R324" s="6"/>
      <c r="S324" s="6"/>
      <c r="T324" s="6"/>
      <c r="U324" s="6"/>
      <c r="V324" s="5"/>
      <c r="W324" s="6"/>
      <c r="X324" s="6">
        <f>E324*F324/100</f>
      </c>
      <c r="Y324" s="6">
        <f>E324*G324/100</f>
      </c>
      <c r="Z324" s="7">
        <f>E324*H324</f>
      </c>
      <c r="AA324" s="7">
        <f>E324*J324</f>
      </c>
      <c r="AB324" s="6">
        <f>E324*I324/100</f>
      </c>
      <c r="AC324" s="15">
        <f>X324+Y324+AB324</f>
      </c>
      <c r="AD324" s="6">
        <f>F324+G324+I324</f>
      </c>
      <c r="AE324" s="3"/>
      <c r="AF324" s="6">
        <f>SUM(AM324:BC324)</f>
      </c>
      <c r="AG324" s="5">
        <f>IF(SUM(AM324:AO324)&gt;0.7*AF324,1,0)</f>
      </c>
      <c r="AH324" s="5">
        <f>IF(AN324&gt;0.4*AF324,1,0)</f>
      </c>
      <c r="AI324" s="5">
        <f>IF(SUM(AP324:AQ324)&gt;0.3*AF324,1,0)</f>
      </c>
      <c r="AJ324" s="5">
        <f>IF(AQ324&gt;0.2*AF324,1,0)</f>
      </c>
      <c r="AK324" s="5">
        <f>IF(SUM(AR324:BC324)&gt;0.3*AF324,1,0)</f>
      </c>
      <c r="AL324" s="3"/>
      <c r="AM324" s="6">
        <f>(F324/100)*AM$41</f>
      </c>
      <c r="AN324" s="6">
        <f>(G324/100)*AN$41</f>
      </c>
      <c r="AO324" s="6">
        <f>(H324/1000000)*AO$41</f>
      </c>
      <c r="AP324" s="6">
        <f>(I324/100)*AP$41</f>
      </c>
      <c r="AQ324" s="6">
        <f>(J324/1000000)*AQ$41</f>
      </c>
      <c r="AR324" s="6">
        <f>(K324/100)*AR$41</f>
      </c>
      <c r="AS324" s="6">
        <f>(L324/100)*AS$41</f>
      </c>
      <c r="AT324" s="6">
        <f>(M324/100)*AT$41</f>
      </c>
      <c r="AU324" s="6">
        <f>(N324/100)*AU$41</f>
      </c>
      <c r="AV324" s="6">
        <f>(O324/1000000)*AV$41</f>
      </c>
      <c r="AW324" s="6">
        <f>(P324/100)*AW$41</f>
      </c>
      <c r="AX324" s="6">
        <f>(Q324/100)*AX$41</f>
      </c>
      <c r="AY324" s="6">
        <f>(R324/100)*AY$41</f>
      </c>
      <c r="AZ324" s="6">
        <f>(S324/100)*AZ$41</f>
      </c>
      <c r="BA324" s="6">
        <f>(T324/100)*BA$41</f>
      </c>
      <c r="BB324" s="6">
        <f>(U324/100)*BB$41</f>
      </c>
      <c r="BC324" s="6"/>
      <c r="BD324" s="3"/>
      <c r="BE324" s="3"/>
      <c r="BF324" s="7">
        <f>AF324*E324</f>
      </c>
      <c r="BG324" s="6"/>
      <c r="BH324" s="3"/>
      <c r="BI324" s="6"/>
    </row>
    <row x14ac:dyDescent="0.25" r="325" customHeight="1" ht="12.75">
      <c r="A325" s="5" t="s">
        <v>699</v>
      </c>
      <c r="B325" s="3" t="s">
        <v>855</v>
      </c>
      <c r="C325" s="43" t="s">
        <v>866</v>
      </c>
      <c r="D325" s="34" t="s">
        <v>988</v>
      </c>
      <c r="E325" s="6">
        <v>5.8</v>
      </c>
      <c r="F325" s="7">
        <v>4</v>
      </c>
      <c r="G325" s="6">
        <v>0.5</v>
      </c>
      <c r="H325" s="5">
        <v>40</v>
      </c>
      <c r="I325" s="6"/>
      <c r="J325" s="6"/>
      <c r="K325" s="7"/>
      <c r="L325" s="6"/>
      <c r="M325" s="6"/>
      <c r="N325" s="23"/>
      <c r="O325" s="5"/>
      <c r="P325" s="6"/>
      <c r="Q325" s="6"/>
      <c r="R325" s="6"/>
      <c r="S325" s="6"/>
      <c r="T325" s="6"/>
      <c r="U325" s="6"/>
      <c r="V325" s="5"/>
      <c r="W325" s="6"/>
      <c r="X325" s="6">
        <f>E325*F325/100</f>
      </c>
      <c r="Y325" s="6">
        <f>E325*G325/100</f>
      </c>
      <c r="Z325" s="7">
        <f>E325*H325</f>
      </c>
      <c r="AA325" s="7">
        <f>E325*J325</f>
      </c>
      <c r="AB325" s="6">
        <f>E325*I325/100</f>
      </c>
      <c r="AC325" s="15">
        <f>X325+Y325+AB325</f>
      </c>
      <c r="AD325" s="6">
        <f>F325+G325+I325</f>
      </c>
      <c r="AE325" s="3"/>
      <c r="AF325" s="6">
        <f>SUM(AM325:BC325)</f>
      </c>
      <c r="AG325" s="5">
        <f>IF(SUM(AM325:AO325)&gt;0.7*AF325,1,0)</f>
      </c>
      <c r="AH325" s="5">
        <f>IF(AN325&gt;0.4*AF325,1,0)</f>
      </c>
      <c r="AI325" s="5">
        <f>IF(SUM(AP325:AQ325)&gt;0.3*AF325,1,0)</f>
      </c>
      <c r="AJ325" s="5">
        <f>IF(AQ325&gt;0.2*AF325,1,0)</f>
      </c>
      <c r="AK325" s="5">
        <f>IF(SUM(AR325:BC325)&gt;0.3*AF325,1,0)</f>
      </c>
      <c r="AL325" s="3"/>
      <c r="AM325" s="6">
        <f>(F325/100)*AM$41</f>
      </c>
      <c r="AN325" s="6">
        <f>(G325/100)*AN$41</f>
      </c>
      <c r="AO325" s="6">
        <f>(H325/1000000)*AO$41</f>
      </c>
      <c r="AP325" s="6">
        <f>(I325/100)*AP$41</f>
      </c>
      <c r="AQ325" s="6">
        <f>(J325/1000000)*AQ$41</f>
      </c>
      <c r="AR325" s="6">
        <f>(K325/100)*AR$41</f>
      </c>
      <c r="AS325" s="6">
        <f>(L325/100)*AS$41</f>
      </c>
      <c r="AT325" s="6">
        <f>(M325/100)*AT$41</f>
      </c>
      <c r="AU325" s="6">
        <f>(N325/100)*AU$41</f>
      </c>
      <c r="AV325" s="6">
        <f>(O325/1000000)*AV$41</f>
      </c>
      <c r="AW325" s="6">
        <f>(P325/100)*AW$41</f>
      </c>
      <c r="AX325" s="6">
        <f>(Q325/100)*AX$41</f>
      </c>
      <c r="AY325" s="6">
        <f>(R325/100)*AY$41</f>
      </c>
      <c r="AZ325" s="6">
        <f>(S325/100)*AZ$41</f>
      </c>
      <c r="BA325" s="6">
        <f>(T325/100)*BA$41</f>
      </c>
      <c r="BB325" s="6">
        <f>(U325/100)*BB$41</f>
      </c>
      <c r="BC325" s="6"/>
      <c r="BD325" s="3"/>
      <c r="BE325" s="3"/>
      <c r="BF325" s="7">
        <f>AF325*E325</f>
      </c>
      <c r="BG325" s="6"/>
      <c r="BH325" s="3"/>
      <c r="BI325" s="6"/>
    </row>
    <row x14ac:dyDescent="0.25" r="326" customHeight="1" ht="12.75">
      <c r="A326" s="5" t="s">
        <v>77</v>
      </c>
      <c r="B326" s="3" t="s">
        <v>855</v>
      </c>
      <c r="C326" s="43" t="s">
        <v>866</v>
      </c>
      <c r="D326" s="34" t="s">
        <v>989</v>
      </c>
      <c r="E326" s="23">
        <v>1.3396</v>
      </c>
      <c r="F326" s="6">
        <v>3.69</v>
      </c>
      <c r="G326" s="6">
        <v>14.74</v>
      </c>
      <c r="H326" s="6">
        <v>8.7</v>
      </c>
      <c r="I326" s="6"/>
      <c r="J326" s="6"/>
      <c r="K326" s="7"/>
      <c r="L326" s="6"/>
      <c r="M326" s="6"/>
      <c r="N326" s="23"/>
      <c r="O326" s="5"/>
      <c r="P326" s="6"/>
      <c r="Q326" s="6"/>
      <c r="R326" s="6"/>
      <c r="S326" s="6"/>
      <c r="T326" s="6"/>
      <c r="U326" s="23">
        <v>0.18429158854868244</v>
      </c>
      <c r="V326" s="23"/>
      <c r="W326" s="6"/>
      <c r="X326" s="6">
        <f>E326*F326/100</f>
      </c>
      <c r="Y326" s="6">
        <f>E326*G326/100</f>
      </c>
      <c r="Z326" s="7">
        <f>E326*H326</f>
      </c>
      <c r="AA326" s="7">
        <f>E326*J326</f>
      </c>
      <c r="AB326" s="6">
        <f>E326*I326/100</f>
      </c>
      <c r="AC326" s="15">
        <f>X326+Y326+AB326</f>
      </c>
      <c r="AD326" s="6">
        <f>F326+G326+I326</f>
      </c>
      <c r="AE326" s="3"/>
      <c r="AF326" s="6">
        <f>SUM(AM326:BC326)</f>
      </c>
      <c r="AG326" s="5">
        <f>IF(SUM(AM326:AO326)&gt;0.7*AF326,1,0)</f>
      </c>
      <c r="AH326" s="5">
        <f>IF(AN326&gt;0.4*AF326,1,0)</f>
      </c>
      <c r="AI326" s="5">
        <f>IF(SUM(AP326:AQ326)&gt;0.3*AF326,1,0)</f>
      </c>
      <c r="AJ326" s="5">
        <f>IF(AQ326&gt;0.2*AF326,1,0)</f>
      </c>
      <c r="AK326" s="5">
        <f>IF(SUM(AR326:BC326)&gt;0.3*AF326,1,0)</f>
      </c>
      <c r="AL326" s="3"/>
      <c r="AM326" s="6">
        <f>(F326/100)*AM$41</f>
      </c>
      <c r="AN326" s="6">
        <f>(G326/100)*AN$41</f>
      </c>
      <c r="AO326" s="6">
        <f>(H326/1000000)*AO$41</f>
      </c>
      <c r="AP326" s="6">
        <f>(I326/100)*AP$41</f>
      </c>
      <c r="AQ326" s="6">
        <f>(J326/1000000)*AQ$41</f>
      </c>
      <c r="AR326" s="6">
        <f>(K326/100)*AR$41</f>
      </c>
      <c r="AS326" s="6">
        <f>(L326/100)*AS$41</f>
      </c>
      <c r="AT326" s="6">
        <f>(M326/100)*AT$41</f>
      </c>
      <c r="AU326" s="6">
        <f>(N326/100)*AU$41</f>
      </c>
      <c r="AV326" s="6">
        <f>(O326/1000000)*AV$41</f>
      </c>
      <c r="AW326" s="6">
        <f>(P326/100)*AW$41</f>
      </c>
      <c r="AX326" s="6">
        <f>(Q326/100)*AX$41</f>
      </c>
      <c r="AY326" s="6">
        <f>(R326/100)*AY$41</f>
      </c>
      <c r="AZ326" s="6">
        <f>(S326/100)*AZ$41</f>
      </c>
      <c r="BA326" s="6">
        <f>(T326/100)*BA$41</f>
      </c>
      <c r="BB326" s="6">
        <f>(U326/100)*BB$41</f>
      </c>
      <c r="BC326" s="6"/>
      <c r="BD326" s="3"/>
      <c r="BE326" s="3"/>
      <c r="BF326" s="7">
        <f>AF326*E326</f>
      </c>
      <c r="BG326" s="6"/>
      <c r="BH326" s="3"/>
      <c r="BI326" s="6"/>
    </row>
    <row x14ac:dyDescent="0.25" r="327" customHeight="1" ht="12.75">
      <c r="A327" s="5" t="s">
        <v>15</v>
      </c>
      <c r="B327" s="3" t="s">
        <v>855</v>
      </c>
      <c r="C327" s="43" t="s">
        <v>866</v>
      </c>
      <c r="D327" s="34" t="s">
        <v>989</v>
      </c>
      <c r="E327" s="6">
        <v>0.694</v>
      </c>
      <c r="F327" s="6">
        <v>1.4</v>
      </c>
      <c r="G327" s="6">
        <v>30.2</v>
      </c>
      <c r="H327" s="7"/>
      <c r="I327" s="6"/>
      <c r="J327" s="6"/>
      <c r="K327" s="7"/>
      <c r="L327" s="6"/>
      <c r="M327" s="6"/>
      <c r="N327" s="23"/>
      <c r="O327" s="5"/>
      <c r="P327" s="6"/>
      <c r="Q327" s="6"/>
      <c r="R327" s="6"/>
      <c r="S327" s="6"/>
      <c r="T327" s="6"/>
      <c r="U327" s="6"/>
      <c r="V327" s="5"/>
      <c r="W327" s="6"/>
      <c r="X327" s="6">
        <f>E327*F327/100</f>
      </c>
      <c r="Y327" s="6">
        <f>E327*G327/100</f>
      </c>
      <c r="Z327" s="7">
        <f>E327*H327</f>
      </c>
      <c r="AA327" s="7">
        <f>E327*J327</f>
      </c>
      <c r="AB327" s="6">
        <f>E327*I327/100</f>
      </c>
      <c r="AC327" s="15">
        <f>X327+Y327+AB327</f>
      </c>
      <c r="AD327" s="6">
        <f>F327+G327+I327</f>
      </c>
      <c r="AE327" s="3"/>
      <c r="AF327" s="6">
        <f>SUM(AM327:BC327)</f>
      </c>
      <c r="AG327" s="5">
        <f>IF(SUM(AM327:AO327)&gt;0.7*AF327,1,0)</f>
      </c>
      <c r="AH327" s="5">
        <f>IF(AN327&gt;0.4*AF327,1,0)</f>
      </c>
      <c r="AI327" s="5">
        <f>IF(SUM(AP327:AQ327)&gt;0.3*AF327,1,0)</f>
      </c>
      <c r="AJ327" s="5">
        <f>IF(AQ327&gt;0.2*AF327,1,0)</f>
      </c>
      <c r="AK327" s="5">
        <f>IF(SUM(AR327:BC327)&gt;0.3*AF327,1,0)</f>
      </c>
      <c r="AL327" s="3"/>
      <c r="AM327" s="6">
        <f>(F327/100)*AM$41</f>
      </c>
      <c r="AN327" s="6">
        <f>(G327/100)*AN$41</f>
      </c>
      <c r="AO327" s="6">
        <f>(H327/1000000)*AO$41</f>
      </c>
      <c r="AP327" s="6">
        <f>(I327/100)*AP$41</f>
      </c>
      <c r="AQ327" s="6">
        <f>(J327/1000000)*AQ$41</f>
      </c>
      <c r="AR327" s="6">
        <f>(K327/100)*AR$41</f>
      </c>
      <c r="AS327" s="6">
        <f>(L327/100)*AS$41</f>
      </c>
      <c r="AT327" s="6">
        <f>(M327/100)*AT$41</f>
      </c>
      <c r="AU327" s="6">
        <f>(N327/100)*AU$41</f>
      </c>
      <c r="AV327" s="6">
        <f>(O327/1000000)*AV$41</f>
      </c>
      <c r="AW327" s="6">
        <f>(P327/100)*AW$41</f>
      </c>
      <c r="AX327" s="6">
        <f>(Q327/100)*AX$41</f>
      </c>
      <c r="AY327" s="6">
        <f>(R327/100)*AY$41</f>
      </c>
      <c r="AZ327" s="6">
        <f>(S327/100)*AZ$41</f>
      </c>
      <c r="BA327" s="6">
        <f>(T327/100)*BA$41</f>
      </c>
      <c r="BB327" s="6">
        <f>(U327/100)*BB$41</f>
      </c>
      <c r="BC327" s="6"/>
      <c r="BD327" s="3"/>
      <c r="BE327" s="3"/>
      <c r="BF327" s="7">
        <f>AF327*E327</f>
      </c>
      <c r="BG327" s="6"/>
      <c r="BH327" s="3"/>
      <c r="BI327" s="6"/>
    </row>
    <row x14ac:dyDescent="0.25" r="328" customHeight="1" ht="12.75">
      <c r="A328" s="5" t="s">
        <v>469</v>
      </c>
      <c r="B328" s="3" t="s">
        <v>855</v>
      </c>
      <c r="C328" s="43" t="s">
        <v>866</v>
      </c>
      <c r="D328" s="34" t="s">
        <v>988</v>
      </c>
      <c r="E328" s="6">
        <v>3.1999999999999997</v>
      </c>
      <c r="F328" s="6">
        <v>1.1775</v>
      </c>
      <c r="G328" s="6">
        <v>4.355</v>
      </c>
      <c r="H328" s="7">
        <v>53.025000000000006</v>
      </c>
      <c r="I328" s="6">
        <v>1.31</v>
      </c>
      <c r="J328" s="6">
        <v>0.9337500000000001</v>
      </c>
      <c r="K328" s="7"/>
      <c r="L328" s="6"/>
      <c r="M328" s="6"/>
      <c r="N328" s="23"/>
      <c r="O328" s="5"/>
      <c r="P328" s="6"/>
      <c r="Q328" s="6"/>
      <c r="R328" s="6"/>
      <c r="S328" s="6"/>
      <c r="T328" s="6"/>
      <c r="U328" s="6"/>
      <c r="V328" s="5"/>
      <c r="W328" s="6"/>
      <c r="X328" s="6">
        <f>E328*F328/100</f>
      </c>
      <c r="Y328" s="6">
        <f>E328*G328/100</f>
      </c>
      <c r="Z328" s="7">
        <f>E328*H328</f>
      </c>
      <c r="AA328" s="7">
        <f>E328*J328</f>
      </c>
      <c r="AB328" s="6">
        <f>E328*I328/100</f>
      </c>
      <c r="AC328" s="15">
        <f>X328+Y328+AB328</f>
      </c>
      <c r="AD328" s="6">
        <f>F328+G328+I328</f>
      </c>
      <c r="AE328" s="3"/>
      <c r="AF328" s="6">
        <f>SUM(AM328:BC328)</f>
      </c>
      <c r="AG328" s="5">
        <f>IF(SUM(AM328:AO328)&gt;0.7*AF328,1,0)</f>
      </c>
      <c r="AH328" s="5">
        <f>IF(AN328&gt;0.4*AF328,1,0)</f>
      </c>
      <c r="AI328" s="5">
        <f>IF(SUM(AP328:AQ328)&gt;0.3*AF328,1,0)</f>
      </c>
      <c r="AJ328" s="5">
        <f>IF(AQ328&gt;0.2*AF328,1,0)</f>
      </c>
      <c r="AK328" s="5">
        <f>IF(SUM(AR328:BC328)&gt;0.3*AF328,1,0)</f>
      </c>
      <c r="AL328" s="3"/>
      <c r="AM328" s="6">
        <f>(F328/100)*AM$41</f>
      </c>
      <c r="AN328" s="6">
        <f>(G328/100)*AN$41</f>
      </c>
      <c r="AO328" s="6">
        <f>(H328/1000000)*AO$41</f>
      </c>
      <c r="AP328" s="6">
        <f>(I328/100)*AP$41</f>
      </c>
      <c r="AQ328" s="6">
        <f>(J328/1000000)*AQ$41</f>
      </c>
      <c r="AR328" s="6">
        <f>(K328/100)*AR$41</f>
      </c>
      <c r="AS328" s="6">
        <f>(L328/100)*AS$41</f>
      </c>
      <c r="AT328" s="6">
        <f>(M328/100)*AT$41</f>
      </c>
      <c r="AU328" s="6">
        <f>(N328/100)*AU$41</f>
      </c>
      <c r="AV328" s="6">
        <f>(O328/1000000)*AV$41</f>
      </c>
      <c r="AW328" s="6">
        <f>(P328/100)*AW$41</f>
      </c>
      <c r="AX328" s="6">
        <f>(Q328/100)*AX$41</f>
      </c>
      <c r="AY328" s="6">
        <f>(R328/100)*AY$41</f>
      </c>
      <c r="AZ328" s="6">
        <f>(S328/100)*AZ$41</f>
      </c>
      <c r="BA328" s="6">
        <f>(T328/100)*BA$41</f>
      </c>
      <c r="BB328" s="6">
        <f>(U328/100)*BB$41</f>
      </c>
      <c r="BC328" s="6"/>
      <c r="BD328" s="3"/>
      <c r="BE328" s="3"/>
      <c r="BF328" s="7">
        <f>AF328*E328</f>
      </c>
      <c r="BG328" s="6"/>
      <c r="BH328" s="3"/>
      <c r="BI328" s="6"/>
    </row>
    <row x14ac:dyDescent="0.25" r="329" customHeight="1" ht="12.75">
      <c r="A329" s="5" t="s">
        <v>730</v>
      </c>
      <c r="B329" s="3" t="s">
        <v>855</v>
      </c>
      <c r="C329" s="43" t="s">
        <v>866</v>
      </c>
      <c r="D329" s="34" t="s">
        <v>988</v>
      </c>
      <c r="E329" s="6">
        <v>4.74</v>
      </c>
      <c r="F329" s="6">
        <v>0.11</v>
      </c>
      <c r="G329" s="6">
        <v>4.06</v>
      </c>
      <c r="H329" s="7"/>
      <c r="I329" s="6">
        <v>0.3</v>
      </c>
      <c r="J329" s="6"/>
      <c r="K329" s="7"/>
      <c r="L329" s="6"/>
      <c r="M329" s="6"/>
      <c r="N329" s="23"/>
      <c r="O329" s="5"/>
      <c r="P329" s="6"/>
      <c r="Q329" s="6"/>
      <c r="R329" s="6"/>
      <c r="S329" s="6"/>
      <c r="T329" s="6"/>
      <c r="U329" s="6"/>
      <c r="V329" s="5"/>
      <c r="W329" s="6"/>
      <c r="X329" s="6">
        <f>E329*F329/100</f>
      </c>
      <c r="Y329" s="6">
        <f>E329*G329/100</f>
      </c>
      <c r="Z329" s="7">
        <f>E329*H329</f>
      </c>
      <c r="AA329" s="7">
        <f>E329*J329</f>
      </c>
      <c r="AB329" s="6">
        <f>E329*I329/100</f>
      </c>
      <c r="AC329" s="15">
        <f>X329+Y329+AB329</f>
      </c>
      <c r="AD329" s="6">
        <f>F329+G329+I329</f>
      </c>
      <c r="AE329" s="3"/>
      <c r="AF329" s="6">
        <f>SUM(AM329:BC329)</f>
      </c>
      <c r="AG329" s="5">
        <f>IF(SUM(AM329:AO329)&gt;0.7*AF329,1,0)</f>
      </c>
      <c r="AH329" s="5">
        <f>IF(AN329&gt;0.4*AF329,1,0)</f>
      </c>
      <c r="AI329" s="5">
        <f>IF(SUM(AP329:AQ329)&gt;0.3*AF329,1,0)</f>
      </c>
      <c r="AJ329" s="5">
        <f>IF(AQ329&gt;0.2*AF329,1,0)</f>
      </c>
      <c r="AK329" s="5">
        <f>IF(SUM(AR329:BC329)&gt;0.3*AF329,1,0)</f>
      </c>
      <c r="AL329" s="3"/>
      <c r="AM329" s="6">
        <f>(F329/100)*AM$41</f>
      </c>
      <c r="AN329" s="6">
        <f>(G329/100)*AN$41</f>
      </c>
      <c r="AO329" s="6">
        <f>(H329/1000000)*AO$41</f>
      </c>
      <c r="AP329" s="6">
        <f>(I329/100)*AP$41</f>
      </c>
      <c r="AQ329" s="6">
        <f>(J329/1000000)*AQ$41</f>
      </c>
      <c r="AR329" s="6">
        <f>(K329/100)*AR$41</f>
      </c>
      <c r="AS329" s="6">
        <f>(L329/100)*AS$41</f>
      </c>
      <c r="AT329" s="6">
        <f>(M329/100)*AT$41</f>
      </c>
      <c r="AU329" s="6">
        <f>(N329/100)*AU$41</f>
      </c>
      <c r="AV329" s="6">
        <f>(O329/1000000)*AV$41</f>
      </c>
      <c r="AW329" s="6">
        <f>(P329/100)*AW$41</f>
      </c>
      <c r="AX329" s="6">
        <f>(Q329/100)*AX$41</f>
      </c>
      <c r="AY329" s="6">
        <f>(R329/100)*AY$41</f>
      </c>
      <c r="AZ329" s="6">
        <f>(S329/100)*AZ$41</f>
      </c>
      <c r="BA329" s="6">
        <f>(T329/100)*BA$41</f>
      </c>
      <c r="BB329" s="6">
        <f>(U329/100)*BB$41</f>
      </c>
      <c r="BC329" s="6"/>
      <c r="BD329" s="3"/>
      <c r="BE329" s="3"/>
      <c r="BF329" s="7">
        <f>AF329*E329</f>
      </c>
      <c r="BG329" s="6"/>
      <c r="BH329" s="3"/>
      <c r="BI329" s="6"/>
    </row>
    <row x14ac:dyDescent="0.25" r="330" customHeight="1" ht="12.75">
      <c r="A330" s="5" t="s">
        <v>638</v>
      </c>
      <c r="B330" s="3" t="s">
        <v>855</v>
      </c>
      <c r="C330" s="43" t="s">
        <v>866</v>
      </c>
      <c r="D330" s="34" t="s">
        <v>994</v>
      </c>
      <c r="E330" s="7">
        <v>41.5</v>
      </c>
      <c r="F330" s="6">
        <v>0.5</v>
      </c>
      <c r="G330" s="6"/>
      <c r="H330" s="5">
        <v>45</v>
      </c>
      <c r="I330" s="6"/>
      <c r="J330" s="6"/>
      <c r="K330" s="7"/>
      <c r="L330" s="6"/>
      <c r="M330" s="6"/>
      <c r="N330" s="23"/>
      <c r="O330" s="5"/>
      <c r="P330" s="6"/>
      <c r="Q330" s="6"/>
      <c r="R330" s="6"/>
      <c r="S330" s="6"/>
      <c r="T330" s="6"/>
      <c r="U330" s="6"/>
      <c r="V330" s="5"/>
      <c r="W330" s="6"/>
      <c r="X330" s="6">
        <f>E330*F330/100</f>
      </c>
      <c r="Y330" s="6">
        <f>E330*G330/100</f>
      </c>
      <c r="Z330" s="7">
        <f>E330*H330</f>
      </c>
      <c r="AA330" s="7">
        <f>E330*J330</f>
      </c>
      <c r="AB330" s="6">
        <f>E330*I330/100</f>
      </c>
      <c r="AC330" s="15">
        <f>X330+Y330+AB330</f>
      </c>
      <c r="AD330" s="6">
        <f>F330+G330+I330</f>
      </c>
      <c r="AE330" s="3"/>
      <c r="AF330" s="6">
        <f>SUM(AM330:BC330)</f>
      </c>
      <c r="AG330" s="5">
        <f>IF(SUM(AM330:AO330)&gt;0.7*AF330,1,0)</f>
      </c>
      <c r="AH330" s="5">
        <f>IF(AN330&gt;0.4*AF330,1,0)</f>
      </c>
      <c r="AI330" s="5">
        <f>IF(SUM(AP330:AQ330)&gt;0.3*AF330,1,0)</f>
      </c>
      <c r="AJ330" s="5">
        <f>IF(AQ330&gt;0.2*AF330,1,0)</f>
      </c>
      <c r="AK330" s="5">
        <f>IF(SUM(AR330:BC330)&gt;0.3*AF330,1,0)</f>
      </c>
      <c r="AL330" s="3"/>
      <c r="AM330" s="6">
        <f>(F330/100)*AM$41</f>
      </c>
      <c r="AN330" s="6">
        <f>(G330/100)*AN$41</f>
      </c>
      <c r="AO330" s="6">
        <f>(H330/1000000)*AO$41</f>
      </c>
      <c r="AP330" s="6">
        <f>(I330/100)*AP$41</f>
      </c>
      <c r="AQ330" s="6">
        <f>(J330/1000000)*AQ$41</f>
      </c>
      <c r="AR330" s="6">
        <f>(K330/100)*AR$41</f>
      </c>
      <c r="AS330" s="6">
        <f>(L330/100)*AS$41</f>
      </c>
      <c r="AT330" s="6">
        <f>(M330/100)*AT$41</f>
      </c>
      <c r="AU330" s="6">
        <f>(N330/100)*AU$41</f>
      </c>
      <c r="AV330" s="6">
        <f>(O330/1000000)*AV$41</f>
      </c>
      <c r="AW330" s="6">
        <f>(P330/100)*AW$41</f>
      </c>
      <c r="AX330" s="6">
        <f>(Q330/100)*AX$41</f>
      </c>
      <c r="AY330" s="6">
        <f>(R330/100)*AY$41</f>
      </c>
      <c r="AZ330" s="6">
        <f>(S330/100)*AZ$41</f>
      </c>
      <c r="BA330" s="6">
        <f>(T330/100)*BA$41</f>
      </c>
      <c r="BB330" s="6">
        <f>(U330/100)*BB$41</f>
      </c>
      <c r="BC330" s="6"/>
      <c r="BD330" s="3"/>
      <c r="BE330" s="3"/>
      <c r="BF330" s="7">
        <f>AF330*E330</f>
      </c>
      <c r="BG330" s="6"/>
      <c r="BH330" s="3"/>
      <c r="BI330" s="6"/>
    </row>
    <row x14ac:dyDescent="0.25" r="331" customHeight="1" ht="12.75">
      <c r="A331" s="5" t="s">
        <v>732</v>
      </c>
      <c r="B331" s="3" t="s">
        <v>855</v>
      </c>
      <c r="C331" s="43" t="s">
        <v>866</v>
      </c>
      <c r="D331" s="34"/>
      <c r="E331" s="5">
        <v>17</v>
      </c>
      <c r="F331" s="6">
        <v>1.2</v>
      </c>
      <c r="G331" s="6"/>
      <c r="H331" s="5">
        <v>10</v>
      </c>
      <c r="I331" s="6"/>
      <c r="J331" s="6"/>
      <c r="K331" s="7"/>
      <c r="L331" s="6"/>
      <c r="M331" s="6"/>
      <c r="N331" s="23"/>
      <c r="O331" s="5"/>
      <c r="P331" s="6"/>
      <c r="Q331" s="6"/>
      <c r="R331" s="6"/>
      <c r="S331" s="6"/>
      <c r="T331" s="6"/>
      <c r="U331" s="6"/>
      <c r="V331" s="5"/>
      <c r="W331" s="6"/>
      <c r="X331" s="6">
        <f>E331*F331/100</f>
      </c>
      <c r="Y331" s="6">
        <f>E331*G331/100</f>
      </c>
      <c r="Z331" s="7">
        <f>E331*H331</f>
      </c>
      <c r="AA331" s="7">
        <f>E331*J331</f>
      </c>
      <c r="AB331" s="6">
        <f>E331*I331/100</f>
      </c>
      <c r="AC331" s="15">
        <f>X331+Y331+AB331</f>
      </c>
      <c r="AD331" s="6">
        <f>F331+G331+I331</f>
      </c>
      <c r="AE331" s="3"/>
      <c r="AF331" s="6">
        <f>SUM(AM331:BC331)</f>
      </c>
      <c r="AG331" s="5">
        <f>IF(SUM(AM331:AO331)&gt;0.7*AF331,1,0)</f>
      </c>
      <c r="AH331" s="5">
        <f>IF(AN331&gt;0.4*AF331,1,0)</f>
      </c>
      <c r="AI331" s="5">
        <f>IF(SUM(AP331:AQ331)&gt;0.3*AF331,1,0)</f>
      </c>
      <c r="AJ331" s="5">
        <f>IF(AQ331&gt;0.2*AF331,1,0)</f>
      </c>
      <c r="AK331" s="5">
        <f>IF(SUM(AR331:BC331)&gt;0.3*AF331,1,0)</f>
      </c>
      <c r="AL331" s="3"/>
      <c r="AM331" s="6">
        <f>(F331/100)*AM$41</f>
      </c>
      <c r="AN331" s="6">
        <f>(G331/100)*AN$41</f>
      </c>
      <c r="AO331" s="6">
        <f>(H331/1000000)*AO$41</f>
      </c>
      <c r="AP331" s="6">
        <f>(I331/100)*AP$41</f>
      </c>
      <c r="AQ331" s="6">
        <f>(J331/1000000)*AQ$41</f>
      </c>
      <c r="AR331" s="6">
        <f>(K331/100)*AR$41</f>
      </c>
      <c r="AS331" s="6">
        <f>(L331/100)*AS$41</f>
      </c>
      <c r="AT331" s="6">
        <f>(M331/100)*AT$41</f>
      </c>
      <c r="AU331" s="6">
        <f>(N331/100)*AU$41</f>
      </c>
      <c r="AV331" s="6">
        <f>(O331/1000000)*AV$41</f>
      </c>
      <c r="AW331" s="6">
        <f>(P331/100)*AW$41</f>
      </c>
      <c r="AX331" s="6">
        <f>(Q331/100)*AX$41</f>
      </c>
      <c r="AY331" s="6">
        <f>(R331/100)*AY$41</f>
      </c>
      <c r="AZ331" s="6">
        <f>(S331/100)*AZ$41</f>
      </c>
      <c r="BA331" s="6">
        <f>(T331/100)*BA$41</f>
      </c>
      <c r="BB331" s="6">
        <f>(U331/100)*BB$41</f>
      </c>
      <c r="BC331" s="6"/>
      <c r="BD331" s="3"/>
      <c r="BE331" s="3"/>
      <c r="BF331" s="7">
        <f>AF331*E331</f>
      </c>
      <c r="BG331" s="6"/>
      <c r="BH331" s="3"/>
      <c r="BI331" s="6"/>
    </row>
    <row x14ac:dyDescent="0.25" r="332" customHeight="1" ht="12.75">
      <c r="A332" s="5" t="s">
        <v>46</v>
      </c>
      <c r="B332" s="3" t="s">
        <v>855</v>
      </c>
      <c r="C332" s="43" t="s">
        <v>866</v>
      </c>
      <c r="D332" s="34" t="s">
        <v>989</v>
      </c>
      <c r="E332" s="23">
        <v>0.87498</v>
      </c>
      <c r="F332" s="6">
        <v>13.5</v>
      </c>
      <c r="G332" s="6">
        <v>8.5</v>
      </c>
      <c r="H332" s="5">
        <v>123</v>
      </c>
      <c r="I332" s="6"/>
      <c r="J332" s="6"/>
      <c r="K332" s="7"/>
      <c r="L332" s="6"/>
      <c r="M332" s="6"/>
      <c r="N332" s="23"/>
      <c r="O332" s="5"/>
      <c r="P332" s="6"/>
      <c r="Q332" s="6"/>
      <c r="R332" s="6"/>
      <c r="S332" s="6"/>
      <c r="T332" s="6"/>
      <c r="U332" s="6"/>
      <c r="V332" s="5"/>
      <c r="W332" s="6"/>
      <c r="X332" s="6">
        <f>E332*F332/100</f>
      </c>
      <c r="Y332" s="6">
        <f>E332*G332/100</f>
      </c>
      <c r="Z332" s="7">
        <f>E332*H332</f>
      </c>
      <c r="AA332" s="7">
        <f>E332*J332</f>
      </c>
      <c r="AB332" s="6">
        <f>E332*I332/100</f>
      </c>
      <c r="AC332" s="15">
        <f>X332+Y332+AB332</f>
      </c>
      <c r="AD332" s="6">
        <f>F332+G332+I332</f>
      </c>
      <c r="AE332" s="3"/>
      <c r="AF332" s="6">
        <f>SUM(AM332:BC332)</f>
      </c>
      <c r="AG332" s="5">
        <f>IF(SUM(AM332:AO332)&gt;0.7*AF332,1,0)</f>
      </c>
      <c r="AH332" s="5">
        <f>IF(AN332&gt;0.4*AF332,1,0)</f>
      </c>
      <c r="AI332" s="5">
        <f>IF(SUM(AP332:AQ332)&gt;0.3*AF332,1,0)</f>
      </c>
      <c r="AJ332" s="5">
        <f>IF(AQ332&gt;0.2*AF332,1,0)</f>
      </c>
      <c r="AK332" s="5">
        <f>IF(SUM(AR332:BC332)&gt;0.3*AF332,1,0)</f>
      </c>
      <c r="AL332" s="3"/>
      <c r="AM332" s="6">
        <f>(F332/100)*AM$41</f>
      </c>
      <c r="AN332" s="6">
        <f>(G332/100)*AN$41</f>
      </c>
      <c r="AO332" s="6">
        <f>(H332/1000000)*AO$41</f>
      </c>
      <c r="AP332" s="6">
        <f>(I332/100)*AP$41</f>
      </c>
      <c r="AQ332" s="6">
        <f>(J332/1000000)*AQ$41</f>
      </c>
      <c r="AR332" s="6">
        <f>(K332/100)*AR$41</f>
      </c>
      <c r="AS332" s="6">
        <f>(L332/100)*AS$41</f>
      </c>
      <c r="AT332" s="6">
        <f>(M332/100)*AT$41</f>
      </c>
      <c r="AU332" s="6">
        <f>(N332/100)*AU$41</f>
      </c>
      <c r="AV332" s="6">
        <f>(O332/1000000)*AV$41</f>
      </c>
      <c r="AW332" s="6">
        <f>(P332/100)*AW$41</f>
      </c>
      <c r="AX332" s="6">
        <f>(Q332/100)*AX$41</f>
      </c>
      <c r="AY332" s="6">
        <f>(R332/100)*AY$41</f>
      </c>
      <c r="AZ332" s="6">
        <f>(S332/100)*AZ$41</f>
      </c>
      <c r="BA332" s="6">
        <f>(T332/100)*BA$41</f>
      </c>
      <c r="BB332" s="6">
        <f>(U332/100)*BB$41</f>
      </c>
      <c r="BC332" s="6"/>
      <c r="BD332" s="3"/>
      <c r="BE332" s="3"/>
      <c r="BF332" s="7">
        <f>AF332*E332</f>
      </c>
      <c r="BG332" s="6"/>
      <c r="BH332" s="3"/>
      <c r="BI332" s="6"/>
    </row>
    <row x14ac:dyDescent="0.25" r="333" customHeight="1" ht="12.75">
      <c r="A333" s="5" t="s">
        <v>741</v>
      </c>
      <c r="B333" s="3" t="s">
        <v>855</v>
      </c>
      <c r="C333" s="43" t="s">
        <v>866</v>
      </c>
      <c r="D333" s="34" t="s">
        <v>988</v>
      </c>
      <c r="E333" s="6">
        <v>7.1</v>
      </c>
      <c r="F333" s="6">
        <v>0.86</v>
      </c>
      <c r="G333" s="6">
        <v>1.4</v>
      </c>
      <c r="H333" s="7"/>
      <c r="I333" s="6">
        <v>0.36</v>
      </c>
      <c r="J333" s="6"/>
      <c r="K333" s="7"/>
      <c r="L333" s="6"/>
      <c r="M333" s="6"/>
      <c r="N333" s="23"/>
      <c r="O333" s="5"/>
      <c r="P333" s="6"/>
      <c r="Q333" s="6"/>
      <c r="R333" s="6"/>
      <c r="S333" s="6"/>
      <c r="T333" s="6"/>
      <c r="U333" s="6"/>
      <c r="V333" s="5"/>
      <c r="W333" s="6"/>
      <c r="X333" s="6">
        <f>E333*F333/100</f>
      </c>
      <c r="Y333" s="6">
        <f>E333*G333/100</f>
      </c>
      <c r="Z333" s="7">
        <f>E333*H333</f>
      </c>
      <c r="AA333" s="7">
        <f>E333*J333</f>
      </c>
      <c r="AB333" s="6">
        <f>E333*I333/100</f>
      </c>
      <c r="AC333" s="15">
        <f>X333+Y333+AB333</f>
      </c>
      <c r="AD333" s="6">
        <f>F333+G333+I333</f>
      </c>
      <c r="AE333" s="3"/>
      <c r="AF333" s="6">
        <f>SUM(AM333:BC333)</f>
      </c>
      <c r="AG333" s="5">
        <f>IF(SUM(AM333:AO333)&gt;0.7*AF333,1,0)</f>
      </c>
      <c r="AH333" s="5">
        <f>IF(AN333&gt;0.4*AF333,1,0)</f>
      </c>
      <c r="AI333" s="5">
        <f>IF(SUM(AP333:AQ333)&gt;0.3*AF333,1,0)</f>
      </c>
      <c r="AJ333" s="5">
        <f>IF(AQ333&gt;0.2*AF333,1,0)</f>
      </c>
      <c r="AK333" s="5">
        <f>IF(SUM(AR333:BC333)&gt;0.3*AF333,1,0)</f>
      </c>
      <c r="AL333" s="3"/>
      <c r="AM333" s="6">
        <f>(F333/100)*AM$41</f>
      </c>
      <c r="AN333" s="6">
        <f>(G333/100)*AN$41</f>
      </c>
      <c r="AO333" s="6">
        <f>(H333/1000000)*AO$41</f>
      </c>
      <c r="AP333" s="6">
        <f>(I333/100)*AP$41</f>
      </c>
      <c r="AQ333" s="6">
        <f>(J333/1000000)*AQ$41</f>
      </c>
      <c r="AR333" s="6">
        <f>(K333/100)*AR$41</f>
      </c>
      <c r="AS333" s="6">
        <f>(L333/100)*AS$41</f>
      </c>
      <c r="AT333" s="6">
        <f>(M333/100)*AT$41</f>
      </c>
      <c r="AU333" s="6">
        <f>(N333/100)*AU$41</f>
      </c>
      <c r="AV333" s="6">
        <f>(O333/1000000)*AV$41</f>
      </c>
      <c r="AW333" s="6">
        <f>(P333/100)*AW$41</f>
      </c>
      <c r="AX333" s="6">
        <f>(Q333/100)*AX$41</f>
      </c>
      <c r="AY333" s="6">
        <f>(R333/100)*AY$41</f>
      </c>
      <c r="AZ333" s="6">
        <f>(S333/100)*AZ$41</f>
      </c>
      <c r="BA333" s="6">
        <f>(T333/100)*BA$41</f>
      </c>
      <c r="BB333" s="6">
        <f>(U333/100)*BB$41</f>
      </c>
      <c r="BC333" s="6"/>
      <c r="BD333" s="3"/>
      <c r="BE333" s="3"/>
      <c r="BF333" s="7">
        <f>AF333*E333</f>
      </c>
      <c r="BG333" s="6"/>
      <c r="BH333" s="3"/>
      <c r="BI333" s="6"/>
    </row>
    <row x14ac:dyDescent="0.25" r="334" customHeight="1" ht="12.75">
      <c r="A334" s="5" t="s">
        <v>524</v>
      </c>
      <c r="B334" s="3" t="s">
        <v>855</v>
      </c>
      <c r="C334" s="43" t="s">
        <v>866</v>
      </c>
      <c r="D334" s="34" t="s">
        <v>988</v>
      </c>
      <c r="E334" s="6">
        <v>2.51</v>
      </c>
      <c r="F334" s="6">
        <v>3.17</v>
      </c>
      <c r="G334" s="6">
        <v>3.84</v>
      </c>
      <c r="H334" s="7">
        <v>10.72163346613546</v>
      </c>
      <c r="I334" s="6">
        <v>0.31</v>
      </c>
      <c r="J334" s="6"/>
      <c r="K334" s="7"/>
      <c r="L334" s="6"/>
      <c r="M334" s="6"/>
      <c r="N334" s="23"/>
      <c r="O334" s="5"/>
      <c r="P334" s="6"/>
      <c r="Q334" s="6"/>
      <c r="R334" s="6"/>
      <c r="S334" s="6"/>
      <c r="T334" s="6"/>
      <c r="U334" s="6"/>
      <c r="V334" s="5"/>
      <c r="W334" s="6"/>
      <c r="X334" s="6">
        <f>E334*F334/100</f>
      </c>
      <c r="Y334" s="6">
        <f>E334*G334/100</f>
      </c>
      <c r="Z334" s="7">
        <f>E334*H334</f>
      </c>
      <c r="AA334" s="7">
        <f>E334*J334</f>
      </c>
      <c r="AB334" s="6">
        <f>E334*I334/100</f>
      </c>
      <c r="AC334" s="15">
        <f>X334+Y334+AB334</f>
      </c>
      <c r="AD334" s="6">
        <f>F334+G334+I334</f>
      </c>
      <c r="AE334" s="3"/>
      <c r="AF334" s="6">
        <f>SUM(AM334:BC334)</f>
      </c>
      <c r="AG334" s="5">
        <f>IF(SUM(AM334:AO334)&gt;0.7*AF334,1,0)</f>
      </c>
      <c r="AH334" s="5">
        <f>IF(AN334&gt;0.4*AF334,1,0)</f>
      </c>
      <c r="AI334" s="5">
        <f>IF(SUM(AP334:AQ334)&gt;0.3*AF334,1,0)</f>
      </c>
      <c r="AJ334" s="5">
        <f>IF(AQ334&gt;0.2*AF334,1,0)</f>
      </c>
      <c r="AK334" s="5">
        <f>IF(SUM(AR334:BC334)&gt;0.3*AF334,1,0)</f>
      </c>
      <c r="AL334" s="3"/>
      <c r="AM334" s="6">
        <f>(F334/100)*AM$41</f>
      </c>
      <c r="AN334" s="6">
        <f>(G334/100)*AN$41</f>
      </c>
      <c r="AO334" s="6">
        <f>(H334/1000000)*AO$41</f>
      </c>
      <c r="AP334" s="6">
        <f>(I334/100)*AP$41</f>
      </c>
      <c r="AQ334" s="6">
        <f>(J334/1000000)*AQ$41</f>
      </c>
      <c r="AR334" s="6">
        <f>(K334/100)*AR$41</f>
      </c>
      <c r="AS334" s="6">
        <f>(L334/100)*AS$41</f>
      </c>
      <c r="AT334" s="6">
        <f>(M334/100)*AT$41</f>
      </c>
      <c r="AU334" s="6">
        <f>(N334/100)*AU$41</f>
      </c>
      <c r="AV334" s="6">
        <f>(O334/1000000)*AV$41</f>
      </c>
      <c r="AW334" s="6">
        <f>(P334/100)*AW$41</f>
      </c>
      <c r="AX334" s="6">
        <f>(Q334/100)*AX$41</f>
      </c>
      <c r="AY334" s="6">
        <f>(R334/100)*AY$41</f>
      </c>
      <c r="AZ334" s="6">
        <f>(S334/100)*AZ$41</f>
      </c>
      <c r="BA334" s="6">
        <f>(T334/100)*BA$41</f>
      </c>
      <c r="BB334" s="6">
        <f>(U334/100)*BB$41</f>
      </c>
      <c r="BC334" s="6"/>
      <c r="BD334" s="3"/>
      <c r="BE334" s="3"/>
      <c r="BF334" s="7">
        <f>AF334*E334</f>
      </c>
      <c r="BG334" s="6"/>
      <c r="BH334" s="3"/>
      <c r="BI334" s="6"/>
    </row>
    <row x14ac:dyDescent="0.25" r="335" customHeight="1" ht="12.75">
      <c r="A335" s="5" t="s">
        <v>719</v>
      </c>
      <c r="B335" s="3" t="s">
        <v>855</v>
      </c>
      <c r="C335" s="43" t="s">
        <v>866</v>
      </c>
      <c r="D335" s="34" t="s">
        <v>988</v>
      </c>
      <c r="E335" s="6">
        <v>8.096</v>
      </c>
      <c r="F335" s="6">
        <v>0.3</v>
      </c>
      <c r="G335" s="6">
        <v>0.7</v>
      </c>
      <c r="H335" s="5">
        <v>9</v>
      </c>
      <c r="I335" s="6">
        <v>1.2</v>
      </c>
      <c r="J335" s="6"/>
      <c r="K335" s="7"/>
      <c r="L335" s="6"/>
      <c r="M335" s="6"/>
      <c r="N335" s="23"/>
      <c r="O335" s="5"/>
      <c r="P335" s="6"/>
      <c r="Q335" s="6"/>
      <c r="R335" s="6"/>
      <c r="S335" s="6"/>
      <c r="T335" s="6"/>
      <c r="U335" s="6"/>
      <c r="V335" s="5"/>
      <c r="W335" s="6"/>
      <c r="X335" s="6">
        <f>E335*F335/100</f>
      </c>
      <c r="Y335" s="6">
        <f>E335*G335/100</f>
      </c>
      <c r="Z335" s="7">
        <f>E335*H335</f>
      </c>
      <c r="AA335" s="7">
        <f>E335*J335</f>
      </c>
      <c r="AB335" s="6">
        <f>E335*I335/100</f>
      </c>
      <c r="AC335" s="15">
        <f>X335+Y335+AB335</f>
      </c>
      <c r="AD335" s="6">
        <f>F335+G335+I335</f>
      </c>
      <c r="AE335" s="3"/>
      <c r="AF335" s="6">
        <f>SUM(AM335:BC335)</f>
      </c>
      <c r="AG335" s="5">
        <f>IF(SUM(AM335:AO335)&gt;0.7*AF335,1,0)</f>
      </c>
      <c r="AH335" s="5">
        <f>IF(AN335&gt;0.4*AF335,1,0)</f>
      </c>
      <c r="AI335" s="5">
        <f>IF(SUM(AP335:AQ335)&gt;0.3*AF335,1,0)</f>
      </c>
      <c r="AJ335" s="5">
        <f>IF(AQ335&gt;0.2*AF335,1,0)</f>
      </c>
      <c r="AK335" s="5">
        <f>IF(SUM(AR335:BC335)&gt;0.3*AF335,1,0)</f>
      </c>
      <c r="AL335" s="3"/>
      <c r="AM335" s="6">
        <f>(F335/100)*AM$41</f>
      </c>
      <c r="AN335" s="6">
        <f>(G335/100)*AN$41</f>
      </c>
      <c r="AO335" s="6">
        <f>(H335/1000000)*AO$41</f>
      </c>
      <c r="AP335" s="6">
        <f>(I335/100)*AP$41</f>
      </c>
      <c r="AQ335" s="6">
        <f>(J335/1000000)*AQ$41</f>
      </c>
      <c r="AR335" s="6">
        <f>(K335/100)*AR$41</f>
      </c>
      <c r="AS335" s="6">
        <f>(L335/100)*AS$41</f>
      </c>
      <c r="AT335" s="6">
        <f>(M335/100)*AT$41</f>
      </c>
      <c r="AU335" s="6">
        <f>(N335/100)*AU$41</f>
      </c>
      <c r="AV335" s="6">
        <f>(O335/1000000)*AV$41</f>
      </c>
      <c r="AW335" s="6">
        <f>(P335/100)*AW$41</f>
      </c>
      <c r="AX335" s="6">
        <f>(Q335/100)*AX$41</f>
      </c>
      <c r="AY335" s="6">
        <f>(R335/100)*AY$41</f>
      </c>
      <c r="AZ335" s="6">
        <f>(S335/100)*AZ$41</f>
      </c>
      <c r="BA335" s="6">
        <f>(T335/100)*BA$41</f>
      </c>
      <c r="BB335" s="6">
        <f>(U335/100)*BB$41</f>
      </c>
      <c r="BC335" s="6"/>
      <c r="BD335" s="3"/>
      <c r="BE335" s="3"/>
      <c r="BF335" s="7">
        <f>AF335*E335</f>
      </c>
      <c r="BG335" s="6"/>
      <c r="BH335" s="3"/>
      <c r="BI335" s="6"/>
    </row>
    <row x14ac:dyDescent="0.25" r="336" customHeight="1" ht="12.75">
      <c r="A336" s="5" t="s">
        <v>751</v>
      </c>
      <c r="B336" s="3" t="s">
        <v>855</v>
      </c>
      <c r="C336" s="43" t="s">
        <v>866</v>
      </c>
      <c r="D336" s="34" t="s">
        <v>989</v>
      </c>
      <c r="E336" s="6">
        <v>5.32</v>
      </c>
      <c r="F336" s="6">
        <v>1.4699812030075188</v>
      </c>
      <c r="G336" s="6">
        <v>1.8474624060150375</v>
      </c>
      <c r="H336" s="7"/>
      <c r="I336" s="6"/>
      <c r="J336" s="6"/>
      <c r="K336" s="7"/>
      <c r="L336" s="6"/>
      <c r="M336" s="6"/>
      <c r="N336" s="23"/>
      <c r="O336" s="5"/>
      <c r="P336" s="6"/>
      <c r="Q336" s="6"/>
      <c r="R336" s="6"/>
      <c r="S336" s="6"/>
      <c r="T336" s="6"/>
      <c r="U336" s="6"/>
      <c r="V336" s="5"/>
      <c r="W336" s="6"/>
      <c r="X336" s="6">
        <f>E336*F336/100</f>
      </c>
      <c r="Y336" s="6">
        <f>E336*G336/100</f>
      </c>
      <c r="Z336" s="7">
        <f>E336*H336</f>
      </c>
      <c r="AA336" s="7">
        <f>E336*J336</f>
      </c>
      <c r="AB336" s="6">
        <f>E336*I336/100</f>
      </c>
      <c r="AC336" s="15">
        <f>X336+Y336+AB336</f>
      </c>
      <c r="AD336" s="6">
        <f>F336+G336+I336</f>
      </c>
      <c r="AE336" s="3"/>
      <c r="AF336" s="6">
        <f>SUM(AM336:BC336)</f>
      </c>
      <c r="AG336" s="5">
        <f>IF(SUM(AM336:AO336)&gt;0.7*AF336,1,0)</f>
      </c>
      <c r="AH336" s="5">
        <f>IF(AN336&gt;0.4*AF336,1,0)</f>
      </c>
      <c r="AI336" s="5">
        <f>IF(SUM(AP336:AQ336)&gt;0.3*AF336,1,0)</f>
      </c>
      <c r="AJ336" s="5">
        <f>IF(AQ336&gt;0.2*AF336,1,0)</f>
      </c>
      <c r="AK336" s="5">
        <f>IF(SUM(AR336:BC336)&gt;0.3*AF336,1,0)</f>
      </c>
      <c r="AL336" s="3"/>
      <c r="AM336" s="6">
        <f>(F336/100)*AM$41</f>
      </c>
      <c r="AN336" s="6">
        <f>(G336/100)*AN$41</f>
      </c>
      <c r="AO336" s="6">
        <f>(H336/1000000)*AO$41</f>
      </c>
      <c r="AP336" s="6">
        <f>(I336/100)*AP$41</f>
      </c>
      <c r="AQ336" s="6">
        <f>(J336/1000000)*AQ$41</f>
      </c>
      <c r="AR336" s="6">
        <f>(K336/100)*AR$41</f>
      </c>
      <c r="AS336" s="6">
        <f>(L336/100)*AS$41</f>
      </c>
      <c r="AT336" s="6">
        <f>(M336/100)*AT$41</f>
      </c>
      <c r="AU336" s="6">
        <f>(N336/100)*AU$41</f>
      </c>
      <c r="AV336" s="6">
        <f>(O336/1000000)*AV$41</f>
      </c>
      <c r="AW336" s="6">
        <f>(P336/100)*AW$41</f>
      </c>
      <c r="AX336" s="6">
        <f>(Q336/100)*AX$41</f>
      </c>
      <c r="AY336" s="6">
        <f>(R336/100)*AY$41</f>
      </c>
      <c r="AZ336" s="6">
        <f>(S336/100)*AZ$41</f>
      </c>
      <c r="BA336" s="6">
        <f>(T336/100)*BA$41</f>
      </c>
      <c r="BB336" s="6">
        <f>(U336/100)*BB$41</f>
      </c>
      <c r="BC336" s="6"/>
      <c r="BD336" s="3"/>
      <c r="BE336" s="3"/>
      <c r="BF336" s="7">
        <f>AF336*E336</f>
      </c>
      <c r="BG336" s="6"/>
      <c r="BH336" s="3"/>
      <c r="BI336" s="6"/>
    </row>
    <row x14ac:dyDescent="0.25" r="337" customHeight="1" ht="12.75">
      <c r="A337" s="5" t="s">
        <v>434</v>
      </c>
      <c r="B337" s="3" t="s">
        <v>855</v>
      </c>
      <c r="C337" s="43" t="s">
        <v>866</v>
      </c>
      <c r="D337" s="34" t="s">
        <v>989</v>
      </c>
      <c r="E337" s="6">
        <v>2.1</v>
      </c>
      <c r="F337" s="6">
        <v>1.2</v>
      </c>
      <c r="G337" s="6">
        <v>7.2</v>
      </c>
      <c r="H337" s="7"/>
      <c r="I337" s="6"/>
      <c r="J337" s="6"/>
      <c r="K337" s="7"/>
      <c r="L337" s="6"/>
      <c r="M337" s="6"/>
      <c r="N337" s="23"/>
      <c r="O337" s="5"/>
      <c r="P337" s="6"/>
      <c r="Q337" s="6"/>
      <c r="R337" s="6"/>
      <c r="S337" s="6"/>
      <c r="T337" s="6"/>
      <c r="U337" s="6"/>
      <c r="V337" s="5"/>
      <c r="W337" s="6"/>
      <c r="X337" s="6">
        <f>E337*F337/100</f>
      </c>
      <c r="Y337" s="6">
        <f>E337*G337/100</f>
      </c>
      <c r="Z337" s="7">
        <f>E337*H337</f>
      </c>
      <c r="AA337" s="7">
        <f>E337*J337</f>
      </c>
      <c r="AB337" s="6">
        <f>E337*I337/100</f>
      </c>
      <c r="AC337" s="15">
        <f>X337+Y337+AB337</f>
      </c>
      <c r="AD337" s="6">
        <f>F337+G337+I337</f>
      </c>
      <c r="AE337" s="3"/>
      <c r="AF337" s="6">
        <f>SUM(AM337:BC337)</f>
      </c>
      <c r="AG337" s="5">
        <f>IF(SUM(AM337:AO337)&gt;0.7*AF337,1,0)</f>
      </c>
      <c r="AH337" s="5">
        <f>IF(AN337&gt;0.4*AF337,1,0)</f>
      </c>
      <c r="AI337" s="5">
        <f>IF(SUM(AP337:AQ337)&gt;0.3*AF337,1,0)</f>
      </c>
      <c r="AJ337" s="5">
        <f>IF(AQ337&gt;0.2*AF337,1,0)</f>
      </c>
      <c r="AK337" s="5">
        <f>IF(SUM(AR337:BC337)&gt;0.3*AF337,1,0)</f>
      </c>
      <c r="AL337" s="3"/>
      <c r="AM337" s="6">
        <f>(F337/100)*AM$41</f>
      </c>
      <c r="AN337" s="6">
        <f>(G337/100)*AN$41</f>
      </c>
      <c r="AO337" s="6">
        <f>(H337/1000000)*AO$41</f>
      </c>
      <c r="AP337" s="6">
        <f>(I337/100)*AP$41</f>
      </c>
      <c r="AQ337" s="6">
        <f>(J337/1000000)*AQ$41</f>
      </c>
      <c r="AR337" s="6">
        <f>(K337/100)*AR$41</f>
      </c>
      <c r="AS337" s="6">
        <f>(L337/100)*AS$41</f>
      </c>
      <c r="AT337" s="6">
        <f>(M337/100)*AT$41</f>
      </c>
      <c r="AU337" s="6">
        <f>(N337/100)*AU$41</f>
      </c>
      <c r="AV337" s="6">
        <f>(O337/1000000)*AV$41</f>
      </c>
      <c r="AW337" s="6">
        <f>(P337/100)*AW$41</f>
      </c>
      <c r="AX337" s="6">
        <f>(Q337/100)*AX$41</f>
      </c>
      <c r="AY337" s="6">
        <f>(R337/100)*AY$41</f>
      </c>
      <c r="AZ337" s="6">
        <f>(S337/100)*AZ$41</f>
      </c>
      <c r="BA337" s="6">
        <f>(T337/100)*BA$41</f>
      </c>
      <c r="BB337" s="6">
        <f>(U337/100)*BB$41</f>
      </c>
      <c r="BC337" s="6"/>
      <c r="BD337" s="3"/>
      <c r="BE337" s="3"/>
      <c r="BF337" s="7">
        <f>AF337*E337</f>
      </c>
      <c r="BG337" s="6"/>
      <c r="BH337" s="3"/>
      <c r="BI337" s="6"/>
    </row>
    <row x14ac:dyDescent="0.25" r="338" customHeight="1" ht="12.75">
      <c r="A338" s="5" t="s">
        <v>97</v>
      </c>
      <c r="B338" s="3" t="s">
        <v>855</v>
      </c>
      <c r="C338" s="43" t="s">
        <v>866</v>
      </c>
      <c r="D338" s="34" t="s">
        <v>988</v>
      </c>
      <c r="E338" s="7">
        <v>1</v>
      </c>
      <c r="F338" s="6">
        <v>6.5</v>
      </c>
      <c r="G338" s="7">
        <v>11</v>
      </c>
      <c r="H338" s="7"/>
      <c r="I338" s="6"/>
      <c r="J338" s="6"/>
      <c r="K338" s="7"/>
      <c r="L338" s="6"/>
      <c r="M338" s="6"/>
      <c r="N338" s="23"/>
      <c r="O338" s="5"/>
      <c r="P338" s="6"/>
      <c r="Q338" s="6"/>
      <c r="R338" s="6"/>
      <c r="S338" s="6"/>
      <c r="T338" s="6"/>
      <c r="U338" s="6"/>
      <c r="V338" s="5"/>
      <c r="W338" s="6"/>
      <c r="X338" s="6">
        <f>E338*F338/100</f>
      </c>
      <c r="Y338" s="6">
        <f>E338*G338/100</f>
      </c>
      <c r="Z338" s="7">
        <f>E338*H338</f>
      </c>
      <c r="AA338" s="7">
        <f>E338*J338</f>
      </c>
      <c r="AB338" s="6">
        <f>E338*I338/100</f>
      </c>
      <c r="AC338" s="15">
        <f>X338+Y338+AB338</f>
      </c>
      <c r="AD338" s="6">
        <f>F338+G338+I338</f>
      </c>
      <c r="AE338" s="3"/>
      <c r="AF338" s="6">
        <f>SUM(AM338:BC338)</f>
      </c>
      <c r="AG338" s="5">
        <f>IF(SUM(AM338:AO338)&gt;0.7*AF338,1,0)</f>
      </c>
      <c r="AH338" s="5">
        <f>IF(AN338&gt;0.4*AF338,1,0)</f>
      </c>
      <c r="AI338" s="5">
        <f>IF(SUM(AP338:AQ338)&gt;0.3*AF338,1,0)</f>
      </c>
      <c r="AJ338" s="5">
        <f>IF(AQ338&gt;0.2*AF338,1,0)</f>
      </c>
      <c r="AK338" s="5">
        <f>IF(SUM(AR338:BC338)&gt;0.3*AF338,1,0)</f>
      </c>
      <c r="AL338" s="3"/>
      <c r="AM338" s="6">
        <f>(F338/100)*AM$41</f>
      </c>
      <c r="AN338" s="6">
        <f>(G338/100)*AN$41</f>
      </c>
      <c r="AO338" s="6">
        <f>(H338/1000000)*AO$41</f>
      </c>
      <c r="AP338" s="6">
        <f>(I338/100)*AP$41</f>
      </c>
      <c r="AQ338" s="6">
        <f>(J338/1000000)*AQ$41</f>
      </c>
      <c r="AR338" s="6">
        <f>(K338/100)*AR$41</f>
      </c>
      <c r="AS338" s="6">
        <f>(L338/100)*AS$41</f>
      </c>
      <c r="AT338" s="6">
        <f>(M338/100)*AT$41</f>
      </c>
      <c r="AU338" s="6">
        <f>(N338/100)*AU$41</f>
      </c>
      <c r="AV338" s="6">
        <f>(O338/1000000)*AV$41</f>
      </c>
      <c r="AW338" s="6">
        <f>(P338/100)*AW$41</f>
      </c>
      <c r="AX338" s="6">
        <f>(Q338/100)*AX$41</f>
      </c>
      <c r="AY338" s="6">
        <f>(R338/100)*AY$41</f>
      </c>
      <c r="AZ338" s="6">
        <f>(S338/100)*AZ$41</f>
      </c>
      <c r="BA338" s="6">
        <f>(T338/100)*BA$41</f>
      </c>
      <c r="BB338" s="6">
        <f>(U338/100)*BB$41</f>
      </c>
      <c r="BC338" s="6"/>
      <c r="BD338" s="3"/>
      <c r="BE338" s="3"/>
      <c r="BF338" s="7">
        <f>AF338*E338</f>
      </c>
      <c r="BG338" s="6"/>
      <c r="BH338" s="3"/>
      <c r="BI338" s="6"/>
    </row>
    <row x14ac:dyDescent="0.25" r="339" customHeight="1" ht="12.75">
      <c r="A339" s="5" t="s">
        <v>348</v>
      </c>
      <c r="B339" s="3" t="s">
        <v>855</v>
      </c>
      <c r="C339" s="43" t="s">
        <v>866</v>
      </c>
      <c r="D339" s="34" t="s">
        <v>988</v>
      </c>
      <c r="E339" s="6">
        <v>2.444</v>
      </c>
      <c r="F339" s="6">
        <v>2.8</v>
      </c>
      <c r="G339" s="6">
        <v>3.8</v>
      </c>
      <c r="H339" s="6">
        <v>16.7</v>
      </c>
      <c r="I339" s="6">
        <v>0.2</v>
      </c>
      <c r="J339" s="6">
        <v>4.1</v>
      </c>
      <c r="K339" s="7"/>
      <c r="L339" s="6"/>
      <c r="M339" s="6"/>
      <c r="N339" s="23"/>
      <c r="O339" s="5"/>
      <c r="P339" s="6"/>
      <c r="Q339" s="6"/>
      <c r="R339" s="6"/>
      <c r="S339" s="6"/>
      <c r="T339" s="6"/>
      <c r="U339" s="6"/>
      <c r="V339" s="5"/>
      <c r="W339" s="6"/>
      <c r="X339" s="6">
        <f>E339*F339/100</f>
      </c>
      <c r="Y339" s="6">
        <f>E339*G339/100</f>
      </c>
      <c r="Z339" s="7">
        <f>E339*H339</f>
      </c>
      <c r="AA339" s="7">
        <f>E339*J339</f>
      </c>
      <c r="AB339" s="6">
        <f>E339*I339/100</f>
      </c>
      <c r="AC339" s="15">
        <f>X339+Y339+AB339</f>
      </c>
      <c r="AD339" s="6">
        <f>F339+G339+I339</f>
      </c>
      <c r="AE339" s="3"/>
      <c r="AF339" s="6">
        <f>SUM(AM339:BC339)</f>
      </c>
      <c r="AG339" s="5">
        <f>IF(SUM(AM339:AO339)&gt;0.7*AF339,1,0)</f>
      </c>
      <c r="AH339" s="5">
        <f>IF(AN339&gt;0.4*AF339,1,0)</f>
      </c>
      <c r="AI339" s="5">
        <f>IF(SUM(AP339:AQ339)&gt;0.3*AF339,1,0)</f>
      </c>
      <c r="AJ339" s="5">
        <f>IF(AQ339&gt;0.2*AF339,1,0)</f>
      </c>
      <c r="AK339" s="5">
        <f>IF(SUM(AR339:BC339)&gt;0.3*AF339,1,0)</f>
      </c>
      <c r="AL339" s="3"/>
      <c r="AM339" s="6">
        <f>(F339/100)*AM$41</f>
      </c>
      <c r="AN339" s="6">
        <f>(G339/100)*AN$41</f>
      </c>
      <c r="AO339" s="6">
        <f>(H339/1000000)*AO$41</f>
      </c>
      <c r="AP339" s="6">
        <f>(I339/100)*AP$41</f>
      </c>
      <c r="AQ339" s="6">
        <f>(J339/1000000)*AQ$41</f>
      </c>
      <c r="AR339" s="6">
        <f>(K339/100)*AR$41</f>
      </c>
      <c r="AS339" s="6">
        <f>(L339/100)*AS$41</f>
      </c>
      <c r="AT339" s="6">
        <f>(M339/100)*AT$41</f>
      </c>
      <c r="AU339" s="6">
        <f>(N339/100)*AU$41</f>
      </c>
      <c r="AV339" s="6">
        <f>(O339/1000000)*AV$41</f>
      </c>
      <c r="AW339" s="6">
        <f>(P339/100)*AW$41</f>
      </c>
      <c r="AX339" s="6">
        <f>(Q339/100)*AX$41</f>
      </c>
      <c r="AY339" s="6">
        <f>(R339/100)*AY$41</f>
      </c>
      <c r="AZ339" s="6">
        <f>(S339/100)*AZ$41</f>
      </c>
      <c r="BA339" s="6">
        <f>(T339/100)*BA$41</f>
      </c>
      <c r="BB339" s="6">
        <f>(U339/100)*BB$41</f>
      </c>
      <c r="BC339" s="6"/>
      <c r="BD339" s="3"/>
      <c r="BE339" s="3"/>
      <c r="BF339" s="7">
        <f>AF339*E339</f>
      </c>
      <c r="BG339" s="6"/>
      <c r="BH339" s="3"/>
      <c r="BI339" s="6"/>
    </row>
    <row x14ac:dyDescent="0.25" r="340" customHeight="1" ht="12.75">
      <c r="A340" s="5" t="s">
        <v>307</v>
      </c>
      <c r="B340" s="3" t="s">
        <v>855</v>
      </c>
      <c r="C340" s="43" t="s">
        <v>866</v>
      </c>
      <c r="D340" s="34" t="s">
        <v>989</v>
      </c>
      <c r="E340" s="6">
        <v>1.609</v>
      </c>
      <c r="F340" s="6"/>
      <c r="G340" s="6">
        <v>10.3</v>
      </c>
      <c r="H340" s="7"/>
      <c r="I340" s="6"/>
      <c r="J340" s="6"/>
      <c r="K340" s="7"/>
      <c r="L340" s="6"/>
      <c r="M340" s="6"/>
      <c r="N340" s="23"/>
      <c r="O340" s="5"/>
      <c r="P340" s="6"/>
      <c r="Q340" s="6"/>
      <c r="R340" s="6"/>
      <c r="S340" s="6"/>
      <c r="T340" s="6"/>
      <c r="U340" s="6"/>
      <c r="V340" s="5"/>
      <c r="W340" s="6"/>
      <c r="X340" s="6">
        <f>E340*F340/100</f>
      </c>
      <c r="Y340" s="6">
        <f>E340*G340/100</f>
      </c>
      <c r="Z340" s="7">
        <f>E340*H340</f>
      </c>
      <c r="AA340" s="7">
        <f>E340*J340</f>
      </c>
      <c r="AB340" s="6">
        <f>E340*I340/100</f>
      </c>
      <c r="AC340" s="15">
        <f>X340+Y340+AB340</f>
      </c>
      <c r="AD340" s="6">
        <f>F340+G340+I340</f>
      </c>
      <c r="AE340" s="3"/>
      <c r="AF340" s="6">
        <f>SUM(AM340:BC340)</f>
      </c>
      <c r="AG340" s="5">
        <f>IF(SUM(AM340:AO340)&gt;0.7*AF340,1,0)</f>
      </c>
      <c r="AH340" s="5">
        <f>IF(AN340&gt;0.4*AF340,1,0)</f>
      </c>
      <c r="AI340" s="5">
        <f>IF(SUM(AP340:AQ340)&gt;0.3*AF340,1,0)</f>
      </c>
      <c r="AJ340" s="5">
        <f>IF(AQ340&gt;0.2*AF340,1,0)</f>
      </c>
      <c r="AK340" s="5">
        <f>IF(SUM(AR340:BC340)&gt;0.3*AF340,1,0)</f>
      </c>
      <c r="AL340" s="3"/>
      <c r="AM340" s="6">
        <f>(F340/100)*AM$41</f>
      </c>
      <c r="AN340" s="6">
        <f>(G340/100)*AN$41</f>
      </c>
      <c r="AO340" s="6">
        <f>(H340/1000000)*AO$41</f>
      </c>
      <c r="AP340" s="6">
        <f>(I340/100)*AP$41</f>
      </c>
      <c r="AQ340" s="6">
        <f>(J340/1000000)*AQ$41</f>
      </c>
      <c r="AR340" s="6">
        <f>(K340/100)*AR$41</f>
      </c>
      <c r="AS340" s="6">
        <f>(L340/100)*AS$41</f>
      </c>
      <c r="AT340" s="6">
        <f>(M340/100)*AT$41</f>
      </c>
      <c r="AU340" s="6">
        <f>(N340/100)*AU$41</f>
      </c>
      <c r="AV340" s="6">
        <f>(O340/1000000)*AV$41</f>
      </c>
      <c r="AW340" s="6">
        <f>(P340/100)*AW$41</f>
      </c>
      <c r="AX340" s="6">
        <f>(Q340/100)*AX$41</f>
      </c>
      <c r="AY340" s="6">
        <f>(R340/100)*AY$41</f>
      </c>
      <c r="AZ340" s="6">
        <f>(S340/100)*AZ$41</f>
      </c>
      <c r="BA340" s="6">
        <f>(T340/100)*BA$41</f>
      </c>
      <c r="BB340" s="6">
        <f>(U340/100)*BB$41</f>
      </c>
      <c r="BC340" s="6"/>
      <c r="BD340" s="3"/>
      <c r="BE340" s="3"/>
      <c r="BF340" s="7">
        <f>AF340*E340</f>
      </c>
      <c r="BG340" s="6"/>
      <c r="BH340" s="3"/>
      <c r="BI340" s="6"/>
    </row>
    <row x14ac:dyDescent="0.25" r="341" customHeight="1" ht="12.75">
      <c r="A341" s="5" t="s">
        <v>378</v>
      </c>
      <c r="B341" s="3" t="s">
        <v>855</v>
      </c>
      <c r="C341" s="43" t="s">
        <v>866</v>
      </c>
      <c r="D341" s="34" t="s">
        <v>988</v>
      </c>
      <c r="E341" s="6">
        <v>1.7</v>
      </c>
      <c r="F341" s="6">
        <v>2.5</v>
      </c>
      <c r="G341" s="6">
        <v>6.9</v>
      </c>
      <c r="H341" s="7"/>
      <c r="I341" s="6"/>
      <c r="J341" s="6"/>
      <c r="K341" s="7"/>
      <c r="L341" s="6"/>
      <c r="M341" s="6"/>
      <c r="N341" s="23"/>
      <c r="O341" s="5"/>
      <c r="P341" s="6"/>
      <c r="Q341" s="6"/>
      <c r="R341" s="6"/>
      <c r="S341" s="6"/>
      <c r="T341" s="6"/>
      <c r="U341" s="6"/>
      <c r="V341" s="5"/>
      <c r="W341" s="6"/>
      <c r="X341" s="6">
        <f>E341*F341/100</f>
      </c>
      <c r="Y341" s="6">
        <f>E341*G341/100</f>
      </c>
      <c r="Z341" s="7">
        <f>E341*H341</f>
      </c>
      <c r="AA341" s="7">
        <f>E341*J341</f>
      </c>
      <c r="AB341" s="6">
        <f>E341*I341/100</f>
      </c>
      <c r="AC341" s="15">
        <f>X341+Y341+AB341</f>
      </c>
      <c r="AD341" s="6">
        <f>F341+G341+I341</f>
      </c>
      <c r="AE341" s="3"/>
      <c r="AF341" s="6">
        <f>SUM(AM341:BC341)</f>
      </c>
      <c r="AG341" s="5">
        <f>IF(SUM(AM341:AO341)&gt;0.7*AF341,1,0)</f>
      </c>
      <c r="AH341" s="5">
        <f>IF(AN341&gt;0.4*AF341,1,0)</f>
      </c>
      <c r="AI341" s="5">
        <f>IF(SUM(AP341:AQ341)&gt;0.3*AF341,1,0)</f>
      </c>
      <c r="AJ341" s="5">
        <f>IF(AQ341&gt;0.2*AF341,1,0)</f>
      </c>
      <c r="AK341" s="5">
        <f>IF(SUM(AR341:BC341)&gt;0.3*AF341,1,0)</f>
      </c>
      <c r="AL341" s="3"/>
      <c r="AM341" s="6">
        <f>(F341/100)*AM$41</f>
      </c>
      <c r="AN341" s="6">
        <f>(G341/100)*AN$41</f>
      </c>
      <c r="AO341" s="6">
        <f>(H341/1000000)*AO$41</f>
      </c>
      <c r="AP341" s="6">
        <f>(I341/100)*AP$41</f>
      </c>
      <c r="AQ341" s="6">
        <f>(J341/1000000)*AQ$41</f>
      </c>
      <c r="AR341" s="6">
        <f>(K341/100)*AR$41</f>
      </c>
      <c r="AS341" s="6">
        <f>(L341/100)*AS$41</f>
      </c>
      <c r="AT341" s="6">
        <f>(M341/100)*AT$41</f>
      </c>
      <c r="AU341" s="6">
        <f>(N341/100)*AU$41</f>
      </c>
      <c r="AV341" s="6">
        <f>(O341/1000000)*AV$41</f>
      </c>
      <c r="AW341" s="6">
        <f>(P341/100)*AW$41</f>
      </c>
      <c r="AX341" s="6">
        <f>(Q341/100)*AX$41</f>
      </c>
      <c r="AY341" s="6">
        <f>(R341/100)*AY$41</f>
      </c>
      <c r="AZ341" s="6">
        <f>(S341/100)*AZ$41</f>
      </c>
      <c r="BA341" s="6">
        <f>(T341/100)*BA$41</f>
      </c>
      <c r="BB341" s="6">
        <f>(U341/100)*BB$41</f>
      </c>
      <c r="BC341" s="6"/>
      <c r="BD341" s="3"/>
      <c r="BE341" s="3"/>
      <c r="BF341" s="7">
        <f>AF341*E341</f>
      </c>
      <c r="BG341" s="6"/>
      <c r="BH341" s="3"/>
      <c r="BI341" s="6"/>
    </row>
    <row x14ac:dyDescent="0.25" r="342" customHeight="1" ht="12.75">
      <c r="A342" s="5" t="s">
        <v>758</v>
      </c>
      <c r="B342" s="3" t="s">
        <v>855</v>
      </c>
      <c r="C342" s="43" t="s">
        <v>866</v>
      </c>
      <c r="D342" s="34" t="s">
        <v>989</v>
      </c>
      <c r="E342" s="23">
        <v>3.464892</v>
      </c>
      <c r="F342" s="6">
        <v>0.86</v>
      </c>
      <c r="G342" s="6">
        <v>3.62</v>
      </c>
      <c r="H342" s="7"/>
      <c r="I342" s="6"/>
      <c r="J342" s="6"/>
      <c r="K342" s="7"/>
      <c r="L342" s="6"/>
      <c r="M342" s="6"/>
      <c r="N342" s="23"/>
      <c r="O342" s="5"/>
      <c r="P342" s="6"/>
      <c r="Q342" s="6"/>
      <c r="R342" s="6"/>
      <c r="S342" s="6"/>
      <c r="T342" s="6"/>
      <c r="U342" s="6"/>
      <c r="V342" s="5"/>
      <c r="W342" s="6"/>
      <c r="X342" s="6">
        <f>E342*F342/100</f>
      </c>
      <c r="Y342" s="6">
        <f>E342*G342/100</f>
      </c>
      <c r="Z342" s="7">
        <f>E342*H342</f>
      </c>
      <c r="AA342" s="7">
        <f>E342*J342</f>
      </c>
      <c r="AB342" s="6">
        <f>E342*I342/100</f>
      </c>
      <c r="AC342" s="15">
        <f>X342+Y342+AB342</f>
      </c>
      <c r="AD342" s="6">
        <f>F342+G342+I342</f>
      </c>
      <c r="AE342" s="3"/>
      <c r="AF342" s="6">
        <f>SUM(AM342:BC342)</f>
      </c>
      <c r="AG342" s="5">
        <f>IF(SUM(AM342:AO342)&gt;0.7*AF342,1,0)</f>
      </c>
      <c r="AH342" s="5">
        <f>IF(AN342&gt;0.4*AF342,1,0)</f>
      </c>
      <c r="AI342" s="5">
        <f>IF(SUM(AP342:AQ342)&gt;0.3*AF342,1,0)</f>
      </c>
      <c r="AJ342" s="5">
        <f>IF(AQ342&gt;0.2*AF342,1,0)</f>
      </c>
      <c r="AK342" s="5">
        <f>IF(SUM(AR342:BC342)&gt;0.3*AF342,1,0)</f>
      </c>
      <c r="AL342" s="3"/>
      <c r="AM342" s="6">
        <f>(F342/100)*AM$41</f>
      </c>
      <c r="AN342" s="6">
        <f>(G342/100)*AN$41</f>
      </c>
      <c r="AO342" s="6">
        <f>(H342/1000000)*AO$41</f>
      </c>
      <c r="AP342" s="6">
        <f>(I342/100)*AP$41</f>
      </c>
      <c r="AQ342" s="6">
        <f>(J342/1000000)*AQ$41</f>
      </c>
      <c r="AR342" s="6">
        <f>(K342/100)*AR$41</f>
      </c>
      <c r="AS342" s="6">
        <f>(L342/100)*AS$41</f>
      </c>
      <c r="AT342" s="6">
        <f>(M342/100)*AT$41</f>
      </c>
      <c r="AU342" s="6">
        <f>(N342/100)*AU$41</f>
      </c>
      <c r="AV342" s="6">
        <f>(O342/1000000)*AV$41</f>
      </c>
      <c r="AW342" s="6">
        <f>(P342/100)*AW$41</f>
      </c>
      <c r="AX342" s="6">
        <f>(Q342/100)*AX$41</f>
      </c>
      <c r="AY342" s="6">
        <f>(R342/100)*AY$41</f>
      </c>
      <c r="AZ342" s="6">
        <f>(S342/100)*AZ$41</f>
      </c>
      <c r="BA342" s="6">
        <f>(T342/100)*BA$41</f>
      </c>
      <c r="BB342" s="6">
        <f>(U342/100)*BB$41</f>
      </c>
      <c r="BC342" s="6"/>
      <c r="BD342" s="3"/>
      <c r="BE342" s="3"/>
      <c r="BF342" s="7">
        <f>AF342*E342</f>
      </c>
      <c r="BG342" s="6"/>
      <c r="BH342" s="3"/>
      <c r="BI342" s="6"/>
    </row>
    <row x14ac:dyDescent="0.25" r="343" customHeight="1" ht="12.75">
      <c r="A343" s="5" t="s">
        <v>188</v>
      </c>
      <c r="B343" s="3" t="s">
        <v>855</v>
      </c>
      <c r="C343" s="43" t="s">
        <v>866</v>
      </c>
      <c r="D343" s="34" t="s">
        <v>993</v>
      </c>
      <c r="E343" s="6">
        <v>1.1966999999999999</v>
      </c>
      <c r="F343" s="6">
        <v>8.072602155928804</v>
      </c>
      <c r="G343" s="6">
        <v>3.8778215091501638</v>
      </c>
      <c r="H343" s="31">
        <v>200.05776886437707</v>
      </c>
      <c r="I343" s="6">
        <v>0.8863950864878416</v>
      </c>
      <c r="J343" s="6"/>
      <c r="K343" s="7"/>
      <c r="L343" s="6"/>
      <c r="M343" s="6"/>
      <c r="N343" s="23"/>
      <c r="O343" s="5"/>
      <c r="P343" s="6"/>
      <c r="Q343" s="6"/>
      <c r="R343" s="6"/>
      <c r="S343" s="6"/>
      <c r="T343" s="6"/>
      <c r="U343" s="6"/>
      <c r="V343" s="5"/>
      <c r="W343" s="6"/>
      <c r="X343" s="6">
        <f>E343*F343/100</f>
      </c>
      <c r="Y343" s="6">
        <f>E343*G343/100</f>
      </c>
      <c r="Z343" s="7">
        <f>E343*H343</f>
      </c>
      <c r="AA343" s="7">
        <f>E343*J343</f>
      </c>
      <c r="AB343" s="6">
        <f>E343*I343/100</f>
      </c>
      <c r="AC343" s="15">
        <f>X343+Y343+AB343</f>
      </c>
      <c r="AD343" s="6">
        <f>F343+G343+I343</f>
      </c>
      <c r="AE343" s="3"/>
      <c r="AF343" s="6">
        <f>SUM(AM343:BC343)</f>
      </c>
      <c r="AG343" s="5">
        <f>IF(SUM(AM343:AO343)&gt;0.7*AF343,1,0)</f>
      </c>
      <c r="AH343" s="5">
        <f>IF(AN343&gt;0.4*AF343,1,0)</f>
      </c>
      <c r="AI343" s="5">
        <f>IF(SUM(AP343:AQ343)&gt;0.3*AF343,1,0)</f>
      </c>
      <c r="AJ343" s="5">
        <f>IF(AQ343&gt;0.2*AF343,1,0)</f>
      </c>
      <c r="AK343" s="5">
        <f>IF(SUM(AR343:BC343)&gt;0.3*AF343,1,0)</f>
      </c>
      <c r="AL343" s="3"/>
      <c r="AM343" s="6">
        <f>(F343/100)*AM$41</f>
      </c>
      <c r="AN343" s="6">
        <f>(G343/100)*AN$41</f>
      </c>
      <c r="AO343" s="6">
        <f>(H343/1000000)*AO$41</f>
      </c>
      <c r="AP343" s="6">
        <f>(I343/100)*AP$41</f>
      </c>
      <c r="AQ343" s="6">
        <f>(J343/1000000)*AQ$41</f>
      </c>
      <c r="AR343" s="6">
        <f>(K343/100)*AR$41</f>
      </c>
      <c r="AS343" s="6">
        <f>(L343/100)*AS$41</f>
      </c>
      <c r="AT343" s="6">
        <f>(M343/100)*AT$41</f>
      </c>
      <c r="AU343" s="6">
        <f>(N343/100)*AU$41</f>
      </c>
      <c r="AV343" s="6">
        <f>(O343/1000000)*AV$41</f>
      </c>
      <c r="AW343" s="6">
        <f>(P343/100)*AW$41</f>
      </c>
      <c r="AX343" s="6">
        <f>(Q343/100)*AX$41</f>
      </c>
      <c r="AY343" s="6">
        <f>(R343/100)*AY$41</f>
      </c>
      <c r="AZ343" s="6">
        <f>(S343/100)*AZ$41</f>
      </c>
      <c r="BA343" s="6">
        <f>(T343/100)*BA$41</f>
      </c>
      <c r="BB343" s="6">
        <f>(U343/100)*BB$41</f>
      </c>
      <c r="BC343" s="6"/>
      <c r="BD343" s="3"/>
      <c r="BE343" s="3"/>
      <c r="BF343" s="7">
        <f>AF343*E343</f>
      </c>
      <c r="BG343" s="6"/>
      <c r="BH343" s="3"/>
      <c r="BI343" s="6"/>
    </row>
    <row x14ac:dyDescent="0.25" r="344" customHeight="1" ht="12.75">
      <c r="A344" s="5" t="s">
        <v>744</v>
      </c>
      <c r="B344" s="3" t="s">
        <v>855</v>
      </c>
      <c r="C344" s="43" t="s">
        <v>866</v>
      </c>
      <c r="D344" s="34" t="s">
        <v>988</v>
      </c>
      <c r="E344" s="6">
        <v>3.15</v>
      </c>
      <c r="F344" s="6">
        <v>1.1016190476190477</v>
      </c>
      <c r="G344" s="6">
        <v>3.51847619047619</v>
      </c>
      <c r="H344" s="7"/>
      <c r="I344" s="6"/>
      <c r="J344" s="6"/>
      <c r="K344" s="7"/>
      <c r="L344" s="6"/>
      <c r="M344" s="6"/>
      <c r="N344" s="23"/>
      <c r="O344" s="5"/>
      <c r="P344" s="6"/>
      <c r="Q344" s="6"/>
      <c r="R344" s="6"/>
      <c r="S344" s="6"/>
      <c r="T344" s="6"/>
      <c r="U344" s="6"/>
      <c r="V344" s="5"/>
      <c r="W344" s="6"/>
      <c r="X344" s="6">
        <f>E344*F344/100</f>
      </c>
      <c r="Y344" s="6">
        <f>E344*G344/100</f>
      </c>
      <c r="Z344" s="7">
        <f>E344*H344</f>
      </c>
      <c r="AA344" s="7">
        <f>E344*J344</f>
      </c>
      <c r="AB344" s="6">
        <f>E344*I344/100</f>
      </c>
      <c r="AC344" s="15">
        <f>X344+Y344+AB344</f>
      </c>
      <c r="AD344" s="6">
        <f>F344+G344+I344</f>
      </c>
      <c r="AE344" s="3"/>
      <c r="AF344" s="6">
        <f>SUM(AM344:BC344)</f>
      </c>
      <c r="AG344" s="5">
        <f>IF(SUM(AM344:AO344)&gt;0.7*AF344,1,0)</f>
      </c>
      <c r="AH344" s="5">
        <f>IF(AN344&gt;0.4*AF344,1,0)</f>
      </c>
      <c r="AI344" s="5">
        <f>IF(SUM(AP344:AQ344)&gt;0.3*AF344,1,0)</f>
      </c>
      <c r="AJ344" s="5">
        <f>IF(AQ344&gt;0.2*AF344,1,0)</f>
      </c>
      <c r="AK344" s="5">
        <f>IF(SUM(AR344:BC344)&gt;0.3*AF344,1,0)</f>
      </c>
      <c r="AL344" s="3"/>
      <c r="AM344" s="6">
        <f>(F344/100)*AM$41</f>
      </c>
      <c r="AN344" s="6">
        <f>(G344/100)*AN$41</f>
      </c>
      <c r="AO344" s="6">
        <f>(H344/1000000)*AO$41</f>
      </c>
      <c r="AP344" s="6">
        <f>(I344/100)*AP$41</f>
      </c>
      <c r="AQ344" s="6">
        <f>(J344/1000000)*AQ$41</f>
      </c>
      <c r="AR344" s="6">
        <f>(K344/100)*AR$41</f>
      </c>
      <c r="AS344" s="6">
        <f>(L344/100)*AS$41</f>
      </c>
      <c r="AT344" s="6">
        <f>(M344/100)*AT$41</f>
      </c>
      <c r="AU344" s="6">
        <f>(N344/100)*AU$41</f>
      </c>
      <c r="AV344" s="6">
        <f>(O344/1000000)*AV$41</f>
      </c>
      <c r="AW344" s="6">
        <f>(P344/100)*AW$41</f>
      </c>
      <c r="AX344" s="6">
        <f>(Q344/100)*AX$41</f>
      </c>
      <c r="AY344" s="6">
        <f>(R344/100)*AY$41</f>
      </c>
      <c r="AZ344" s="6">
        <f>(S344/100)*AZ$41</f>
      </c>
      <c r="BA344" s="6">
        <f>(T344/100)*BA$41</f>
      </c>
      <c r="BB344" s="6">
        <f>(U344/100)*BB$41</f>
      </c>
      <c r="BC344" s="6"/>
      <c r="BD344" s="3"/>
      <c r="BE344" s="3"/>
      <c r="BF344" s="7">
        <f>AF344*E344</f>
      </c>
      <c r="BG344" s="6"/>
      <c r="BH344" s="3"/>
      <c r="BI344" s="6"/>
    </row>
    <row x14ac:dyDescent="0.25" r="345" customHeight="1" ht="12.75">
      <c r="A345" s="5" t="s">
        <v>243</v>
      </c>
      <c r="B345" s="3" t="s">
        <v>855</v>
      </c>
      <c r="C345" s="43" t="s">
        <v>866</v>
      </c>
      <c r="D345" s="34" t="s">
        <v>989</v>
      </c>
      <c r="E345" s="6">
        <v>1.2</v>
      </c>
      <c r="F345" s="6">
        <v>5.6</v>
      </c>
      <c r="G345" s="7">
        <v>6</v>
      </c>
      <c r="H345" s="7"/>
      <c r="I345" s="6"/>
      <c r="J345" s="6"/>
      <c r="K345" s="7"/>
      <c r="L345" s="6"/>
      <c r="M345" s="6"/>
      <c r="N345" s="23"/>
      <c r="O345" s="5"/>
      <c r="P345" s="6"/>
      <c r="Q345" s="6"/>
      <c r="R345" s="6"/>
      <c r="S345" s="6"/>
      <c r="T345" s="6"/>
      <c r="U345" s="6"/>
      <c r="V345" s="5"/>
      <c r="W345" s="6"/>
      <c r="X345" s="6">
        <f>E345*F345/100</f>
      </c>
      <c r="Y345" s="6">
        <f>E345*G345/100</f>
      </c>
      <c r="Z345" s="7">
        <f>E345*H345</f>
      </c>
      <c r="AA345" s="7">
        <f>E345*J345</f>
      </c>
      <c r="AB345" s="6">
        <f>E345*I345/100</f>
      </c>
      <c r="AC345" s="15">
        <f>X345+Y345+AB345</f>
      </c>
      <c r="AD345" s="6">
        <f>F345+G345+I345</f>
      </c>
      <c r="AE345" s="3"/>
      <c r="AF345" s="6">
        <f>SUM(AM345:BC345)</f>
      </c>
      <c r="AG345" s="5">
        <f>IF(SUM(AM345:AO345)&gt;0.7*AF345,1,0)</f>
      </c>
      <c r="AH345" s="5">
        <f>IF(AN345&gt;0.4*AF345,1,0)</f>
      </c>
      <c r="AI345" s="5">
        <f>IF(SUM(AP345:AQ345)&gt;0.3*AF345,1,0)</f>
      </c>
      <c r="AJ345" s="5">
        <f>IF(AQ345&gt;0.2*AF345,1,0)</f>
      </c>
      <c r="AK345" s="5">
        <f>IF(SUM(AR345:BC345)&gt;0.3*AF345,1,0)</f>
      </c>
      <c r="AL345" s="3"/>
      <c r="AM345" s="6">
        <f>(F345/100)*AM$41</f>
      </c>
      <c r="AN345" s="6">
        <f>(G345/100)*AN$41</f>
      </c>
      <c r="AO345" s="6">
        <f>(H345/1000000)*AO$41</f>
      </c>
      <c r="AP345" s="6">
        <f>(I345/100)*AP$41</f>
      </c>
      <c r="AQ345" s="6">
        <f>(J345/1000000)*AQ$41</f>
      </c>
      <c r="AR345" s="6">
        <f>(K345/100)*AR$41</f>
      </c>
      <c r="AS345" s="6">
        <f>(L345/100)*AS$41</f>
      </c>
      <c r="AT345" s="6">
        <f>(M345/100)*AT$41</f>
      </c>
      <c r="AU345" s="6">
        <f>(N345/100)*AU$41</f>
      </c>
      <c r="AV345" s="6">
        <f>(O345/1000000)*AV$41</f>
      </c>
      <c r="AW345" s="6">
        <f>(P345/100)*AW$41</f>
      </c>
      <c r="AX345" s="6">
        <f>(Q345/100)*AX$41</f>
      </c>
      <c r="AY345" s="6">
        <f>(R345/100)*AY$41</f>
      </c>
      <c r="AZ345" s="6">
        <f>(S345/100)*AZ$41</f>
      </c>
      <c r="BA345" s="6">
        <f>(T345/100)*BA$41</f>
      </c>
      <c r="BB345" s="6">
        <f>(U345/100)*BB$41</f>
      </c>
      <c r="BC345" s="6"/>
      <c r="BD345" s="3"/>
      <c r="BE345" s="3"/>
      <c r="BF345" s="7">
        <f>AF345*E345</f>
      </c>
      <c r="BG345" s="6"/>
      <c r="BH345" s="3"/>
      <c r="BI345" s="6"/>
    </row>
    <row x14ac:dyDescent="0.25" r="346" customHeight="1" ht="12.75">
      <c r="A346" s="5" t="s">
        <v>679</v>
      </c>
      <c r="B346" s="3" t="s">
        <v>855</v>
      </c>
      <c r="C346" s="43" t="s">
        <v>866</v>
      </c>
      <c r="D346" s="34" t="s">
        <v>989</v>
      </c>
      <c r="E346" s="23">
        <v>2.1450389999999997</v>
      </c>
      <c r="F346" s="6">
        <v>1.22</v>
      </c>
      <c r="G346" s="6">
        <v>4.41</v>
      </c>
      <c r="H346" s="6">
        <v>32.7</v>
      </c>
      <c r="I346" s="6"/>
      <c r="J346" s="6"/>
      <c r="K346" s="7"/>
      <c r="L346" s="6"/>
      <c r="M346" s="6"/>
      <c r="N346" s="23"/>
      <c r="O346" s="5"/>
      <c r="P346" s="6"/>
      <c r="Q346" s="6"/>
      <c r="R346" s="6"/>
      <c r="S346" s="6"/>
      <c r="T346" s="6"/>
      <c r="U346" s="6"/>
      <c r="V346" s="5"/>
      <c r="W346" s="6"/>
      <c r="X346" s="6">
        <f>E346*F346/100</f>
      </c>
      <c r="Y346" s="6">
        <f>E346*G346/100</f>
      </c>
      <c r="Z346" s="7">
        <f>E346*H346</f>
      </c>
      <c r="AA346" s="7">
        <f>E346*J346</f>
      </c>
      <c r="AB346" s="6">
        <f>E346*I346/100</f>
      </c>
      <c r="AC346" s="15">
        <f>X346+Y346+AB346</f>
      </c>
      <c r="AD346" s="6">
        <f>F346+G346+I346</f>
      </c>
      <c r="AE346" s="3"/>
      <c r="AF346" s="6">
        <f>SUM(AM346:BC346)</f>
      </c>
      <c r="AG346" s="5">
        <f>IF(SUM(AM346:AO346)&gt;0.7*AF346,1,0)</f>
      </c>
      <c r="AH346" s="5">
        <f>IF(AN346&gt;0.4*AF346,1,0)</f>
      </c>
      <c r="AI346" s="5">
        <f>IF(SUM(AP346:AQ346)&gt;0.3*AF346,1,0)</f>
      </c>
      <c r="AJ346" s="5">
        <f>IF(AQ346&gt;0.2*AF346,1,0)</f>
      </c>
      <c r="AK346" s="5">
        <f>IF(SUM(AR346:BC346)&gt;0.3*AF346,1,0)</f>
      </c>
      <c r="AL346" s="3"/>
      <c r="AM346" s="6">
        <f>(F346/100)*AM$41</f>
      </c>
      <c r="AN346" s="6">
        <f>(G346/100)*AN$41</f>
      </c>
      <c r="AO346" s="6">
        <f>(H346/1000000)*AO$41</f>
      </c>
      <c r="AP346" s="6">
        <f>(I346/100)*AP$41</f>
      </c>
      <c r="AQ346" s="6">
        <f>(J346/1000000)*AQ$41</f>
      </c>
      <c r="AR346" s="6">
        <f>(K346/100)*AR$41</f>
      </c>
      <c r="AS346" s="6">
        <f>(L346/100)*AS$41</f>
      </c>
      <c r="AT346" s="6">
        <f>(M346/100)*AT$41</f>
      </c>
      <c r="AU346" s="6">
        <f>(N346/100)*AU$41</f>
      </c>
      <c r="AV346" s="6">
        <f>(O346/1000000)*AV$41</f>
      </c>
      <c r="AW346" s="6">
        <f>(P346/100)*AW$41</f>
      </c>
      <c r="AX346" s="6">
        <f>(Q346/100)*AX$41</f>
      </c>
      <c r="AY346" s="6">
        <f>(R346/100)*AY$41</f>
      </c>
      <c r="AZ346" s="6">
        <f>(S346/100)*AZ$41</f>
      </c>
      <c r="BA346" s="6">
        <f>(T346/100)*BA$41</f>
      </c>
      <c r="BB346" s="6">
        <f>(U346/100)*BB$41</f>
      </c>
      <c r="BC346" s="6"/>
      <c r="BD346" s="3"/>
      <c r="BE346" s="3"/>
      <c r="BF346" s="7">
        <f>AF346*E346</f>
      </c>
      <c r="BG346" s="6"/>
      <c r="BH346" s="3"/>
      <c r="BI346" s="6"/>
    </row>
    <row x14ac:dyDescent="0.25" r="347" customHeight="1" ht="12.75">
      <c r="A347" s="5" t="s">
        <v>801</v>
      </c>
      <c r="B347" s="3" t="s">
        <v>855</v>
      </c>
      <c r="C347" s="43" t="s">
        <v>866</v>
      </c>
      <c r="D347" s="34" t="s">
        <v>989</v>
      </c>
      <c r="E347" s="6">
        <v>6.25</v>
      </c>
      <c r="F347" s="6">
        <v>0.005</v>
      </c>
      <c r="G347" s="6">
        <v>1.68</v>
      </c>
      <c r="H347" s="6">
        <v>1.53</v>
      </c>
      <c r="I347" s="6"/>
      <c r="J347" s="6"/>
      <c r="K347" s="7"/>
      <c r="L347" s="6"/>
      <c r="M347" s="6"/>
      <c r="N347" s="23"/>
      <c r="O347" s="5"/>
      <c r="P347" s="6"/>
      <c r="Q347" s="6"/>
      <c r="R347" s="6"/>
      <c r="S347" s="6"/>
      <c r="T347" s="6"/>
      <c r="U347" s="6"/>
      <c r="V347" s="5"/>
      <c r="W347" s="6"/>
      <c r="X347" s="6">
        <f>E347*F347/100</f>
      </c>
      <c r="Y347" s="6">
        <f>E347*G347/100</f>
      </c>
      <c r="Z347" s="7">
        <f>E347*H347</f>
      </c>
      <c r="AA347" s="7">
        <f>E347*J347</f>
      </c>
      <c r="AB347" s="6">
        <f>E347*I347/100</f>
      </c>
      <c r="AC347" s="15">
        <f>X347+Y347+AB347</f>
      </c>
      <c r="AD347" s="6">
        <f>F347+G347+I347</f>
      </c>
      <c r="AE347" s="3"/>
      <c r="AF347" s="6">
        <f>SUM(AM347:BC347)</f>
      </c>
      <c r="AG347" s="5">
        <f>IF(SUM(AM347:AO347)&gt;0.7*AF347,1,0)</f>
      </c>
      <c r="AH347" s="5">
        <f>IF(AN347&gt;0.4*AF347,1,0)</f>
      </c>
      <c r="AI347" s="5">
        <f>IF(SUM(AP347:AQ347)&gt;0.3*AF347,1,0)</f>
      </c>
      <c r="AJ347" s="5">
        <f>IF(AQ347&gt;0.2*AF347,1,0)</f>
      </c>
      <c r="AK347" s="5">
        <f>IF(SUM(AR347:BC347)&gt;0.3*AF347,1,0)</f>
      </c>
      <c r="AL347" s="3"/>
      <c r="AM347" s="6">
        <f>(F347/100)*AM$41</f>
      </c>
      <c r="AN347" s="6">
        <f>(G347/100)*AN$41</f>
      </c>
      <c r="AO347" s="6">
        <f>(H347/1000000)*AO$41</f>
      </c>
      <c r="AP347" s="6">
        <f>(I347/100)*AP$41</f>
      </c>
      <c r="AQ347" s="6">
        <f>(J347/1000000)*AQ$41</f>
      </c>
      <c r="AR347" s="6">
        <f>(K347/100)*AR$41</f>
      </c>
      <c r="AS347" s="6">
        <f>(L347/100)*AS$41</f>
      </c>
      <c r="AT347" s="6">
        <f>(M347/100)*AT$41</f>
      </c>
      <c r="AU347" s="6">
        <f>(N347/100)*AU$41</f>
      </c>
      <c r="AV347" s="6">
        <f>(O347/1000000)*AV$41</f>
      </c>
      <c r="AW347" s="6">
        <f>(P347/100)*AW$41</f>
      </c>
      <c r="AX347" s="6">
        <f>(Q347/100)*AX$41</f>
      </c>
      <c r="AY347" s="6">
        <f>(R347/100)*AY$41</f>
      </c>
      <c r="AZ347" s="6">
        <f>(S347/100)*AZ$41</f>
      </c>
      <c r="BA347" s="6">
        <f>(T347/100)*BA$41</f>
      </c>
      <c r="BB347" s="6">
        <f>(U347/100)*BB$41</f>
      </c>
      <c r="BC347" s="6"/>
      <c r="BD347" s="3"/>
      <c r="BE347" s="3"/>
      <c r="BF347" s="7">
        <f>AF347*E347</f>
      </c>
      <c r="BG347" s="6"/>
      <c r="BH347" s="3"/>
      <c r="BI347" s="6"/>
    </row>
    <row x14ac:dyDescent="0.25" r="348" customHeight="1" ht="12.75">
      <c r="A348" s="5" t="s">
        <v>440</v>
      </c>
      <c r="B348" s="3" t="s">
        <v>855</v>
      </c>
      <c r="C348" s="43" t="s">
        <v>866</v>
      </c>
      <c r="D348" s="34" t="s">
        <v>988</v>
      </c>
      <c r="E348" s="6">
        <v>1.58</v>
      </c>
      <c r="F348" s="6"/>
      <c r="G348" s="6">
        <v>4.5</v>
      </c>
      <c r="H348" s="6">
        <v>33.77</v>
      </c>
      <c r="I348" s="6">
        <v>2.08</v>
      </c>
      <c r="J348" s="6">
        <v>0.56</v>
      </c>
      <c r="K348" s="7"/>
      <c r="L348" s="6"/>
      <c r="M348" s="6"/>
      <c r="N348" s="23"/>
      <c r="O348" s="5"/>
      <c r="P348" s="6"/>
      <c r="Q348" s="6"/>
      <c r="R348" s="6"/>
      <c r="S348" s="6"/>
      <c r="T348" s="6"/>
      <c r="U348" s="6"/>
      <c r="V348" s="5"/>
      <c r="W348" s="6"/>
      <c r="X348" s="6">
        <f>E348*F348/100</f>
      </c>
      <c r="Y348" s="6">
        <f>E348*G348/100</f>
      </c>
      <c r="Z348" s="7">
        <f>E348*H348</f>
      </c>
      <c r="AA348" s="7">
        <f>E348*J348</f>
      </c>
      <c r="AB348" s="6">
        <f>E348*I348/100</f>
      </c>
      <c r="AC348" s="15">
        <f>X348+Y348+AB348</f>
      </c>
      <c r="AD348" s="6">
        <f>F348+G348+I348</f>
      </c>
      <c r="AE348" s="3"/>
      <c r="AF348" s="6">
        <f>SUM(AM348:BC348)</f>
      </c>
      <c r="AG348" s="5">
        <f>IF(SUM(AM348:AO348)&gt;0.7*AF348,1,0)</f>
      </c>
      <c r="AH348" s="5">
        <f>IF(AN348&gt;0.4*AF348,1,0)</f>
      </c>
      <c r="AI348" s="5">
        <f>IF(SUM(AP348:AQ348)&gt;0.3*AF348,1,0)</f>
      </c>
      <c r="AJ348" s="5">
        <f>IF(AQ348&gt;0.2*AF348,1,0)</f>
      </c>
      <c r="AK348" s="5">
        <f>IF(SUM(AR348:BC348)&gt;0.3*AF348,1,0)</f>
      </c>
      <c r="AL348" s="3"/>
      <c r="AM348" s="6">
        <f>(F348/100)*AM$41</f>
      </c>
      <c r="AN348" s="6">
        <f>(G348/100)*AN$41</f>
      </c>
      <c r="AO348" s="6">
        <f>(H348/1000000)*AO$41</f>
      </c>
      <c r="AP348" s="6">
        <f>(I348/100)*AP$41</f>
      </c>
      <c r="AQ348" s="6">
        <f>(J348/1000000)*AQ$41</f>
      </c>
      <c r="AR348" s="6">
        <f>(K348/100)*AR$41</f>
      </c>
      <c r="AS348" s="6">
        <f>(L348/100)*AS$41</f>
      </c>
      <c r="AT348" s="6">
        <f>(M348/100)*AT$41</f>
      </c>
      <c r="AU348" s="6">
        <f>(N348/100)*AU$41</f>
      </c>
      <c r="AV348" s="6">
        <f>(O348/1000000)*AV$41</f>
      </c>
      <c r="AW348" s="6">
        <f>(P348/100)*AW$41</f>
      </c>
      <c r="AX348" s="6">
        <f>(Q348/100)*AX$41</f>
      </c>
      <c r="AY348" s="6">
        <f>(R348/100)*AY$41</f>
      </c>
      <c r="AZ348" s="6">
        <f>(S348/100)*AZ$41</f>
      </c>
      <c r="BA348" s="6">
        <f>(T348/100)*BA$41</f>
      </c>
      <c r="BB348" s="6">
        <f>(U348/100)*BB$41</f>
      </c>
      <c r="BC348" s="6"/>
      <c r="BD348" s="3"/>
      <c r="BE348" s="3"/>
      <c r="BF348" s="7">
        <f>AF348*E348</f>
      </c>
      <c r="BG348" s="6"/>
      <c r="BH348" s="3"/>
      <c r="BI348" s="6"/>
    </row>
    <row x14ac:dyDescent="0.25" r="349" customHeight="1" ht="12.75">
      <c r="A349" s="5" t="s">
        <v>740</v>
      </c>
      <c r="B349" s="3" t="s">
        <v>855</v>
      </c>
      <c r="C349" s="43" t="s">
        <v>866</v>
      </c>
      <c r="D349" s="34" t="s">
        <v>988</v>
      </c>
      <c r="E349" s="6">
        <v>1.9</v>
      </c>
      <c r="F349" s="6">
        <v>1.51</v>
      </c>
      <c r="G349" s="6">
        <v>2.98</v>
      </c>
      <c r="H349" s="7"/>
      <c r="I349" s="6">
        <v>0.26</v>
      </c>
      <c r="J349" s="6"/>
      <c r="K349" s="7"/>
      <c r="L349" s="6"/>
      <c r="M349" s="6"/>
      <c r="N349" s="23"/>
      <c r="O349" s="5"/>
      <c r="P349" s="6"/>
      <c r="Q349" s="6"/>
      <c r="R349" s="6"/>
      <c r="S349" s="6"/>
      <c r="T349" s="6"/>
      <c r="U349" s="6"/>
      <c r="V349" s="5"/>
      <c r="W349" s="6"/>
      <c r="X349" s="6">
        <f>E349*F349/100</f>
      </c>
      <c r="Y349" s="6">
        <f>E349*G349/100</f>
      </c>
      <c r="Z349" s="7">
        <f>E349*H349</f>
      </c>
      <c r="AA349" s="7">
        <f>E349*J349</f>
      </c>
      <c r="AB349" s="6">
        <f>E349*I349/100</f>
      </c>
      <c r="AC349" s="15">
        <f>X349+Y349+AB349</f>
      </c>
      <c r="AD349" s="6">
        <f>F349+G349+I349</f>
      </c>
      <c r="AE349" s="3"/>
      <c r="AF349" s="6">
        <f>SUM(AM349:BC349)</f>
      </c>
      <c r="AG349" s="5">
        <f>IF(SUM(AM349:AO349)&gt;0.7*AF349,1,0)</f>
      </c>
      <c r="AH349" s="5">
        <f>IF(AN349&gt;0.4*AF349,1,0)</f>
      </c>
      <c r="AI349" s="5">
        <f>IF(SUM(AP349:AQ349)&gt;0.3*AF349,1,0)</f>
      </c>
      <c r="AJ349" s="5">
        <f>IF(AQ349&gt;0.2*AF349,1,0)</f>
      </c>
      <c r="AK349" s="5">
        <f>IF(SUM(AR349:BC349)&gt;0.3*AF349,1,0)</f>
      </c>
      <c r="AL349" s="3"/>
      <c r="AM349" s="6">
        <f>(F349/100)*AM$41</f>
      </c>
      <c r="AN349" s="6">
        <f>(G349/100)*AN$41</f>
      </c>
      <c r="AO349" s="6">
        <f>(H349/1000000)*AO$41</f>
      </c>
      <c r="AP349" s="6">
        <f>(I349/100)*AP$41</f>
      </c>
      <c r="AQ349" s="6">
        <f>(J349/1000000)*AQ$41</f>
      </c>
      <c r="AR349" s="6">
        <f>(K349/100)*AR$41</f>
      </c>
      <c r="AS349" s="6">
        <f>(L349/100)*AS$41</f>
      </c>
      <c r="AT349" s="6">
        <f>(M349/100)*AT$41</f>
      </c>
      <c r="AU349" s="6">
        <f>(N349/100)*AU$41</f>
      </c>
      <c r="AV349" s="6">
        <f>(O349/1000000)*AV$41</f>
      </c>
      <c r="AW349" s="6">
        <f>(P349/100)*AW$41</f>
      </c>
      <c r="AX349" s="6">
        <f>(Q349/100)*AX$41</f>
      </c>
      <c r="AY349" s="6">
        <f>(R349/100)*AY$41</f>
      </c>
      <c r="AZ349" s="6">
        <f>(S349/100)*AZ$41</f>
      </c>
      <c r="BA349" s="6">
        <f>(T349/100)*BA$41</f>
      </c>
      <c r="BB349" s="6">
        <f>(U349/100)*BB$41</f>
      </c>
      <c r="BC349" s="6"/>
      <c r="BD349" s="3"/>
      <c r="BE349" s="3"/>
      <c r="BF349" s="7">
        <f>AF349*E349</f>
      </c>
      <c r="BG349" s="6"/>
      <c r="BH349" s="3"/>
      <c r="BI349" s="6"/>
    </row>
    <row x14ac:dyDescent="0.25" r="350" customHeight="1" ht="12.75">
      <c r="A350" s="5" t="s">
        <v>342</v>
      </c>
      <c r="B350" s="3" t="s">
        <v>855</v>
      </c>
      <c r="C350" s="43" t="s">
        <v>866</v>
      </c>
      <c r="D350" s="34" t="s">
        <v>988</v>
      </c>
      <c r="E350" s="6">
        <v>0.8300000000000001</v>
      </c>
      <c r="F350" s="7">
        <v>5.0036144578313255</v>
      </c>
      <c r="G350" s="7">
        <v>4.967469879518072</v>
      </c>
      <c r="H350" s="31">
        <v>14.096385542168674</v>
      </c>
      <c r="I350" s="6"/>
      <c r="J350" s="6"/>
      <c r="K350" s="7"/>
      <c r="L350" s="6"/>
      <c r="M350" s="6"/>
      <c r="N350" s="23"/>
      <c r="O350" s="5"/>
      <c r="P350" s="6"/>
      <c r="Q350" s="6"/>
      <c r="R350" s="6"/>
      <c r="S350" s="6"/>
      <c r="T350" s="6"/>
      <c r="U350" s="6"/>
      <c r="V350" s="5"/>
      <c r="W350" s="6"/>
      <c r="X350" s="6">
        <f>E350*F350/100</f>
      </c>
      <c r="Y350" s="6">
        <f>E350*G350/100</f>
      </c>
      <c r="Z350" s="7">
        <f>E350*H350</f>
      </c>
      <c r="AA350" s="7">
        <f>E350*J350</f>
      </c>
      <c r="AB350" s="6">
        <f>E350*I350/100</f>
      </c>
      <c r="AC350" s="15">
        <f>X350+Y350+AB350</f>
      </c>
      <c r="AD350" s="6">
        <f>F350+G350+I350</f>
      </c>
      <c r="AE350" s="3"/>
      <c r="AF350" s="6">
        <f>SUM(AM350:BC350)</f>
      </c>
      <c r="AG350" s="5">
        <f>IF(SUM(AM350:AO350)&gt;0.7*AF350,1,0)</f>
      </c>
      <c r="AH350" s="5">
        <f>IF(AN350&gt;0.4*AF350,1,0)</f>
      </c>
      <c r="AI350" s="5">
        <f>IF(SUM(AP350:AQ350)&gt;0.3*AF350,1,0)</f>
      </c>
      <c r="AJ350" s="5">
        <f>IF(AQ350&gt;0.2*AF350,1,0)</f>
      </c>
      <c r="AK350" s="5">
        <f>IF(SUM(AR350:BC350)&gt;0.3*AF350,1,0)</f>
      </c>
      <c r="AL350" s="3"/>
      <c r="AM350" s="6">
        <f>(F350/100)*AM$41</f>
      </c>
      <c r="AN350" s="6">
        <f>(G350/100)*AN$41</f>
      </c>
      <c r="AO350" s="6">
        <f>(H350/1000000)*AO$41</f>
      </c>
      <c r="AP350" s="6">
        <f>(I350/100)*AP$41</f>
      </c>
      <c r="AQ350" s="6">
        <f>(J350/1000000)*AQ$41</f>
      </c>
      <c r="AR350" s="6">
        <f>(K350/100)*AR$41</f>
      </c>
      <c r="AS350" s="6">
        <f>(L350/100)*AS$41</f>
      </c>
      <c r="AT350" s="6">
        <f>(M350/100)*AT$41</f>
      </c>
      <c r="AU350" s="6">
        <f>(N350/100)*AU$41</f>
      </c>
      <c r="AV350" s="6">
        <f>(O350/1000000)*AV$41</f>
      </c>
      <c r="AW350" s="6">
        <f>(P350/100)*AW$41</f>
      </c>
      <c r="AX350" s="6">
        <f>(Q350/100)*AX$41</f>
      </c>
      <c r="AY350" s="6">
        <f>(R350/100)*AY$41</f>
      </c>
      <c r="AZ350" s="6">
        <f>(S350/100)*AZ$41</f>
      </c>
      <c r="BA350" s="6">
        <f>(T350/100)*BA$41</f>
      </c>
      <c r="BB350" s="6">
        <f>(U350/100)*BB$41</f>
      </c>
      <c r="BC350" s="6"/>
      <c r="BD350" s="3"/>
      <c r="BE350" s="3"/>
      <c r="BF350" s="7">
        <f>AF350*E350</f>
      </c>
      <c r="BG350" s="6"/>
      <c r="BH350" s="3"/>
      <c r="BI350" s="6"/>
    </row>
    <row x14ac:dyDescent="0.25" r="351" customHeight="1" ht="12.75">
      <c r="A351" s="5" t="s">
        <v>461</v>
      </c>
      <c r="B351" s="3" t="s">
        <v>855</v>
      </c>
      <c r="C351" s="43" t="s">
        <v>866</v>
      </c>
      <c r="D351" s="34" t="s">
        <v>988</v>
      </c>
      <c r="E351" s="6">
        <v>0.917</v>
      </c>
      <c r="F351" s="6">
        <v>2.4</v>
      </c>
      <c r="G351" s="6">
        <v>5.7</v>
      </c>
      <c r="H351" s="6">
        <v>44.8</v>
      </c>
      <c r="I351" s="6"/>
      <c r="J351" s="6"/>
      <c r="K351" s="7"/>
      <c r="L351" s="6"/>
      <c r="M351" s="6"/>
      <c r="N351" s="23"/>
      <c r="O351" s="31">
        <v>28.500000000000004</v>
      </c>
      <c r="P351" s="6"/>
      <c r="Q351" s="6"/>
      <c r="R351" s="6"/>
      <c r="S351" s="6"/>
      <c r="T351" s="6"/>
      <c r="U351" s="6"/>
      <c r="V351" s="5"/>
      <c r="W351" s="6"/>
      <c r="X351" s="6">
        <f>E351*F351/100</f>
      </c>
      <c r="Y351" s="6">
        <f>E351*G351/100</f>
      </c>
      <c r="Z351" s="7">
        <f>E351*H351</f>
      </c>
      <c r="AA351" s="7">
        <f>E351*J351</f>
      </c>
      <c r="AB351" s="6">
        <f>E351*I351/100</f>
      </c>
      <c r="AC351" s="15">
        <f>X351+Y351+AB351</f>
      </c>
      <c r="AD351" s="6">
        <f>F351+G351+I351</f>
      </c>
      <c r="AE351" s="3"/>
      <c r="AF351" s="6">
        <f>SUM(AM351:BC351)</f>
      </c>
      <c r="AG351" s="5">
        <f>IF(SUM(AM351:AO351)&gt;0.7*AF351,1,0)</f>
      </c>
      <c r="AH351" s="5">
        <f>IF(AN351&gt;0.4*AF351,1,0)</f>
      </c>
      <c r="AI351" s="5">
        <f>IF(SUM(AP351:AQ351)&gt;0.3*AF351,1,0)</f>
      </c>
      <c r="AJ351" s="5">
        <f>IF(AQ351&gt;0.2*AF351,1,0)</f>
      </c>
      <c r="AK351" s="5">
        <f>IF(SUM(AR351:BC351)&gt;0.3*AF351,1,0)</f>
      </c>
      <c r="AL351" s="3"/>
      <c r="AM351" s="6">
        <f>(F351/100)*AM$41</f>
      </c>
      <c r="AN351" s="6">
        <f>(G351/100)*AN$41</f>
      </c>
      <c r="AO351" s="6">
        <f>(H351/1000000)*AO$41</f>
      </c>
      <c r="AP351" s="6">
        <f>(I351/100)*AP$41</f>
      </c>
      <c r="AQ351" s="6">
        <f>(J351/1000000)*AQ$41</f>
      </c>
      <c r="AR351" s="6">
        <f>(K351/100)*AR$41</f>
      </c>
      <c r="AS351" s="6">
        <f>(L351/100)*AS$41</f>
      </c>
      <c r="AT351" s="6">
        <f>(M351/100)*AT$41</f>
      </c>
      <c r="AU351" s="6">
        <f>(N351/100)*AU$41</f>
      </c>
      <c r="AV351" s="6">
        <f>(O351/1000000)*AV$41</f>
      </c>
      <c r="AW351" s="6">
        <f>(P351/100)*AW$41</f>
      </c>
      <c r="AX351" s="6">
        <f>(Q351/100)*AX$41</f>
      </c>
      <c r="AY351" s="6">
        <f>(R351/100)*AY$41</f>
      </c>
      <c r="AZ351" s="6">
        <f>(S351/100)*AZ$41</f>
      </c>
      <c r="BA351" s="6">
        <f>(T351/100)*BA$41</f>
      </c>
      <c r="BB351" s="6">
        <f>(U351/100)*BB$41</f>
      </c>
      <c r="BC351" s="6"/>
      <c r="BD351" s="3"/>
      <c r="BE351" s="3"/>
      <c r="BF351" s="7">
        <f>AF351*E351</f>
      </c>
      <c r="BG351" s="6"/>
      <c r="BH351" s="3"/>
      <c r="BI351" s="6"/>
    </row>
    <row x14ac:dyDescent="0.25" r="352" customHeight="1" ht="12.75">
      <c r="A352" s="5" t="s">
        <v>420</v>
      </c>
      <c r="B352" s="3" t="s">
        <v>855</v>
      </c>
      <c r="C352" s="43" t="s">
        <v>866</v>
      </c>
      <c r="D352" s="34" t="s">
        <v>993</v>
      </c>
      <c r="E352" s="6">
        <v>0.79</v>
      </c>
      <c r="F352" s="6">
        <v>0.7</v>
      </c>
      <c r="G352" s="6">
        <v>8.01</v>
      </c>
      <c r="H352" s="6">
        <v>58.8</v>
      </c>
      <c r="I352" s="6"/>
      <c r="J352" s="6"/>
      <c r="K352" s="7"/>
      <c r="L352" s="6"/>
      <c r="M352" s="6"/>
      <c r="N352" s="23"/>
      <c r="O352" s="5"/>
      <c r="P352" s="6"/>
      <c r="Q352" s="6"/>
      <c r="R352" s="6"/>
      <c r="S352" s="6"/>
      <c r="T352" s="6"/>
      <c r="U352" s="6"/>
      <c r="V352" s="5"/>
      <c r="W352" s="6"/>
      <c r="X352" s="6">
        <f>E352*F352/100</f>
      </c>
      <c r="Y352" s="6">
        <f>E352*G352/100</f>
      </c>
      <c r="Z352" s="7">
        <f>E352*H352</f>
      </c>
      <c r="AA352" s="7">
        <f>E352*J352</f>
      </c>
      <c r="AB352" s="6">
        <f>E352*I352/100</f>
      </c>
      <c r="AC352" s="15">
        <f>X352+Y352+AB352</f>
      </c>
      <c r="AD352" s="6">
        <f>F352+G352+I352</f>
      </c>
      <c r="AE352" s="3"/>
      <c r="AF352" s="6">
        <f>SUM(AM352:BC352)</f>
      </c>
      <c r="AG352" s="5">
        <f>IF(SUM(AM352:AO352)&gt;0.7*AF352,1,0)</f>
      </c>
      <c r="AH352" s="5">
        <f>IF(AN352&gt;0.4*AF352,1,0)</f>
      </c>
      <c r="AI352" s="5">
        <f>IF(SUM(AP352:AQ352)&gt;0.3*AF352,1,0)</f>
      </c>
      <c r="AJ352" s="5">
        <f>IF(AQ352&gt;0.2*AF352,1,0)</f>
      </c>
      <c r="AK352" s="5">
        <f>IF(SUM(AR352:BC352)&gt;0.3*AF352,1,0)</f>
      </c>
      <c r="AL352" s="3"/>
      <c r="AM352" s="6">
        <f>(F352/100)*AM$41</f>
      </c>
      <c r="AN352" s="6">
        <f>(G352/100)*AN$41</f>
      </c>
      <c r="AO352" s="6">
        <f>(H352/1000000)*AO$41</f>
      </c>
      <c r="AP352" s="6">
        <f>(I352/100)*AP$41</f>
      </c>
      <c r="AQ352" s="6">
        <f>(J352/1000000)*AQ$41</f>
      </c>
      <c r="AR352" s="6">
        <f>(K352/100)*AR$41</f>
      </c>
      <c r="AS352" s="6">
        <f>(L352/100)*AS$41</f>
      </c>
      <c r="AT352" s="6">
        <f>(M352/100)*AT$41</f>
      </c>
      <c r="AU352" s="6">
        <f>(N352/100)*AU$41</f>
      </c>
      <c r="AV352" s="6">
        <f>(O352/1000000)*AV$41</f>
      </c>
      <c r="AW352" s="6">
        <f>(P352/100)*AW$41</f>
      </c>
      <c r="AX352" s="6">
        <f>(Q352/100)*AX$41</f>
      </c>
      <c r="AY352" s="6">
        <f>(R352/100)*AY$41</f>
      </c>
      <c r="AZ352" s="6">
        <f>(S352/100)*AZ$41</f>
      </c>
      <c r="BA352" s="6">
        <f>(T352/100)*BA$41</f>
      </c>
      <c r="BB352" s="6">
        <f>(U352/100)*BB$41</f>
      </c>
      <c r="BC352" s="6"/>
      <c r="BD352" s="3"/>
      <c r="BE352" s="3"/>
      <c r="BF352" s="7">
        <f>AF352*E352</f>
      </c>
      <c r="BG352" s="6"/>
      <c r="BH352" s="3"/>
      <c r="BI352" s="6"/>
    </row>
    <row x14ac:dyDescent="0.25" r="353" customHeight="1" ht="12.75">
      <c r="A353" s="5" t="s">
        <v>594</v>
      </c>
      <c r="B353" s="3" t="s">
        <v>855</v>
      </c>
      <c r="C353" s="43" t="s">
        <v>866</v>
      </c>
      <c r="D353" s="34" t="s">
        <v>999</v>
      </c>
      <c r="E353" s="6">
        <v>1.197</v>
      </c>
      <c r="F353" s="6"/>
      <c r="G353" s="6">
        <v>3.459974937343358</v>
      </c>
      <c r="H353" s="7">
        <v>45.16221386800335</v>
      </c>
      <c r="I353" s="6">
        <v>1.6954469507101082</v>
      </c>
      <c r="J353" s="6">
        <v>0.31203007518796994</v>
      </c>
      <c r="K353" s="7"/>
      <c r="L353" s="6"/>
      <c r="M353" s="6"/>
      <c r="N353" s="23"/>
      <c r="O353" s="5"/>
      <c r="P353" s="6"/>
      <c r="Q353" s="6"/>
      <c r="R353" s="6"/>
      <c r="S353" s="6"/>
      <c r="T353" s="6"/>
      <c r="U353" s="6"/>
      <c r="V353" s="5"/>
      <c r="W353" s="6"/>
      <c r="X353" s="6">
        <f>E353*F353/100</f>
      </c>
      <c r="Y353" s="6">
        <f>E353*G353/100</f>
      </c>
      <c r="Z353" s="7">
        <f>E353*H353</f>
      </c>
      <c r="AA353" s="7">
        <f>E353*J353</f>
      </c>
      <c r="AB353" s="6">
        <f>E353*I353/100</f>
      </c>
      <c r="AC353" s="15">
        <f>X353+Y353+AB353</f>
      </c>
      <c r="AD353" s="6">
        <f>F353+G353+I353</f>
      </c>
      <c r="AE353" s="3"/>
      <c r="AF353" s="6">
        <f>SUM(AM353:BC353)</f>
      </c>
      <c r="AG353" s="5">
        <f>IF(SUM(AM353:AO353)&gt;0.7*AF353,1,0)</f>
      </c>
      <c r="AH353" s="5">
        <f>IF(AN353&gt;0.4*AF353,1,0)</f>
      </c>
      <c r="AI353" s="5">
        <f>IF(SUM(AP353:AQ353)&gt;0.3*AF353,1,0)</f>
      </c>
      <c r="AJ353" s="5">
        <f>IF(AQ353&gt;0.2*AF353,1,0)</f>
      </c>
      <c r="AK353" s="5">
        <f>IF(SUM(AR353:BC353)&gt;0.3*AF353,1,0)</f>
      </c>
      <c r="AL353" s="3"/>
      <c r="AM353" s="6">
        <f>(F353/100)*AM$41</f>
      </c>
      <c r="AN353" s="6">
        <f>(G353/100)*AN$41</f>
      </c>
      <c r="AO353" s="6">
        <f>(H353/1000000)*AO$41</f>
      </c>
      <c r="AP353" s="6">
        <f>(I353/100)*AP$41</f>
      </c>
      <c r="AQ353" s="6">
        <f>(J353/1000000)*AQ$41</f>
      </c>
      <c r="AR353" s="6">
        <f>(K353/100)*AR$41</f>
      </c>
      <c r="AS353" s="6">
        <f>(L353/100)*AS$41</f>
      </c>
      <c r="AT353" s="6">
        <f>(M353/100)*AT$41</f>
      </c>
      <c r="AU353" s="6">
        <f>(N353/100)*AU$41</f>
      </c>
      <c r="AV353" s="6">
        <f>(O353/1000000)*AV$41</f>
      </c>
      <c r="AW353" s="6">
        <f>(P353/100)*AW$41</f>
      </c>
      <c r="AX353" s="6">
        <f>(Q353/100)*AX$41</f>
      </c>
      <c r="AY353" s="6">
        <f>(R353/100)*AY$41</f>
      </c>
      <c r="AZ353" s="6">
        <f>(S353/100)*AZ$41</f>
      </c>
      <c r="BA353" s="6">
        <f>(T353/100)*BA$41</f>
      </c>
      <c r="BB353" s="6">
        <f>(U353/100)*BB$41</f>
      </c>
      <c r="BC353" s="6"/>
      <c r="BD353" s="3"/>
      <c r="BE353" s="3"/>
      <c r="BF353" s="7">
        <f>AF353*E353</f>
      </c>
      <c r="BG353" s="6"/>
      <c r="BH353" s="3"/>
      <c r="BI353" s="6"/>
    </row>
    <row x14ac:dyDescent="0.25" r="354" customHeight="1" ht="12.75">
      <c r="A354" s="5" t="s">
        <v>629</v>
      </c>
      <c r="B354" s="3" t="s">
        <v>855</v>
      </c>
      <c r="C354" s="43" t="s">
        <v>866</v>
      </c>
      <c r="D354" s="34" t="s">
        <v>988</v>
      </c>
      <c r="E354" s="6">
        <v>0.91</v>
      </c>
      <c r="F354" s="6">
        <v>1.7</v>
      </c>
      <c r="G354" s="6">
        <v>4.2</v>
      </c>
      <c r="H354" s="7">
        <v>31.059375124956194</v>
      </c>
      <c r="I354" s="17">
        <v>0.22</v>
      </c>
      <c r="J354" s="17">
        <v>0.5</v>
      </c>
      <c r="K354" s="7"/>
      <c r="L354" s="6"/>
      <c r="M354" s="6"/>
      <c r="N354" s="23"/>
      <c r="O354" s="5"/>
      <c r="P354" s="6"/>
      <c r="Q354" s="6"/>
      <c r="R354" s="6"/>
      <c r="S354" s="6"/>
      <c r="T354" s="6"/>
      <c r="U354" s="6"/>
      <c r="V354" s="5"/>
      <c r="W354" s="6"/>
      <c r="X354" s="6">
        <f>E354*F354/100</f>
      </c>
      <c r="Y354" s="6">
        <f>E354*G354/100</f>
      </c>
      <c r="Z354" s="7">
        <f>E354*H354</f>
      </c>
      <c r="AA354" s="7">
        <f>E354*J354</f>
      </c>
      <c r="AB354" s="6">
        <f>E354*I354/100</f>
      </c>
      <c r="AC354" s="15">
        <f>X354+Y354+AB354</f>
      </c>
      <c r="AD354" s="6">
        <f>F354+G354+I354</f>
      </c>
      <c r="AE354" s="3"/>
      <c r="AF354" s="6">
        <f>SUM(AM354:BC354)</f>
      </c>
      <c r="AG354" s="5">
        <f>IF(SUM(AM354:AO354)&gt;0.7*AF354,1,0)</f>
      </c>
      <c r="AH354" s="5">
        <f>IF(AN354&gt;0.4*AF354,1,0)</f>
      </c>
      <c r="AI354" s="5">
        <f>IF(SUM(AP354:AQ354)&gt;0.3*AF354,1,0)</f>
      </c>
      <c r="AJ354" s="5">
        <f>IF(AQ354&gt;0.2*AF354,1,0)</f>
      </c>
      <c r="AK354" s="5">
        <f>IF(SUM(AR354:BC354)&gt;0.3*AF354,1,0)</f>
      </c>
      <c r="AL354" s="3"/>
      <c r="AM354" s="6">
        <f>(F354/100)*AM$41</f>
      </c>
      <c r="AN354" s="6">
        <f>(G354/100)*AN$41</f>
      </c>
      <c r="AO354" s="6">
        <f>(H354/1000000)*AO$41</f>
      </c>
      <c r="AP354" s="6">
        <f>(I354/100)*AP$41</f>
      </c>
      <c r="AQ354" s="6">
        <f>(J354/1000000)*AQ$41</f>
      </c>
      <c r="AR354" s="6">
        <f>(K354/100)*AR$41</f>
      </c>
      <c r="AS354" s="6">
        <f>(L354/100)*AS$41</f>
      </c>
      <c r="AT354" s="6">
        <f>(M354/100)*AT$41</f>
      </c>
      <c r="AU354" s="6">
        <f>(N354/100)*AU$41</f>
      </c>
      <c r="AV354" s="6">
        <f>(O354/1000000)*AV$41</f>
      </c>
      <c r="AW354" s="6">
        <f>(P354/100)*AW$41</f>
      </c>
      <c r="AX354" s="6">
        <f>(Q354/100)*AX$41</f>
      </c>
      <c r="AY354" s="6">
        <f>(R354/100)*AY$41</f>
      </c>
      <c r="AZ354" s="6">
        <f>(S354/100)*AZ$41</f>
      </c>
      <c r="BA354" s="6">
        <f>(T354/100)*BA$41</f>
      </c>
      <c r="BB354" s="6">
        <f>(U354/100)*BB$41</f>
      </c>
      <c r="BC354" s="6"/>
      <c r="BD354" s="3"/>
      <c r="BE354" s="3"/>
      <c r="BF354" s="7">
        <f>AF354*E354</f>
      </c>
      <c r="BG354" s="6"/>
      <c r="BH354" s="3"/>
      <c r="BI354" s="6"/>
    </row>
    <row x14ac:dyDescent="0.25" r="355" customHeight="1" ht="12.75">
      <c r="A355" s="5" t="s">
        <v>53</v>
      </c>
      <c r="B355" s="3" t="s">
        <v>855</v>
      </c>
      <c r="C355" s="43" t="s">
        <v>866</v>
      </c>
      <c r="D355" s="34" t="s">
        <v>993</v>
      </c>
      <c r="E355" s="23">
        <v>0.2333333333333333</v>
      </c>
      <c r="F355" s="6">
        <v>13.8</v>
      </c>
      <c r="G355" s="6">
        <v>7.8</v>
      </c>
      <c r="H355" s="7"/>
      <c r="I355" s="6"/>
      <c r="J355" s="6"/>
      <c r="K355" s="7"/>
      <c r="L355" s="6"/>
      <c r="M355" s="6"/>
      <c r="N355" s="23"/>
      <c r="O355" s="5"/>
      <c r="P355" s="6"/>
      <c r="Q355" s="6"/>
      <c r="R355" s="6"/>
      <c r="S355" s="6"/>
      <c r="T355" s="6"/>
      <c r="U355" s="6"/>
      <c r="V355" s="5"/>
      <c r="W355" s="6"/>
      <c r="X355" s="6">
        <f>E355*F355/100</f>
      </c>
      <c r="Y355" s="6">
        <f>E355*G355/100</f>
      </c>
      <c r="Z355" s="7">
        <f>E355*H355</f>
      </c>
      <c r="AA355" s="7">
        <f>E355*J355</f>
      </c>
      <c r="AB355" s="6">
        <f>E355*I355/100</f>
      </c>
      <c r="AC355" s="15">
        <f>X355+Y355+AB355</f>
      </c>
      <c r="AD355" s="6">
        <f>F355+G355+I355</f>
      </c>
      <c r="AE355" s="3"/>
      <c r="AF355" s="6">
        <f>SUM(AM355:BC355)</f>
      </c>
      <c r="AG355" s="5">
        <f>IF(SUM(AM355:AO355)&gt;0.7*AF355,1,0)</f>
      </c>
      <c r="AH355" s="5">
        <f>IF(AN355&gt;0.4*AF355,1,0)</f>
      </c>
      <c r="AI355" s="5">
        <f>IF(SUM(AP355:AQ355)&gt;0.3*AF355,1,0)</f>
      </c>
      <c r="AJ355" s="5">
        <f>IF(AQ355&gt;0.2*AF355,1,0)</f>
      </c>
      <c r="AK355" s="5">
        <f>IF(SUM(AR355:BC355)&gt;0.3*AF355,1,0)</f>
      </c>
      <c r="AL355" s="3"/>
      <c r="AM355" s="6">
        <f>(F355/100)*AM$41</f>
      </c>
      <c r="AN355" s="6">
        <f>(G355/100)*AN$41</f>
      </c>
      <c r="AO355" s="6">
        <f>(H355/1000000)*AO$41</f>
      </c>
      <c r="AP355" s="6">
        <f>(I355/100)*AP$41</f>
      </c>
      <c r="AQ355" s="6">
        <f>(J355/1000000)*AQ$41</f>
      </c>
      <c r="AR355" s="6">
        <f>(K355/100)*AR$41</f>
      </c>
      <c r="AS355" s="6">
        <f>(L355/100)*AS$41</f>
      </c>
      <c r="AT355" s="6">
        <f>(M355/100)*AT$41</f>
      </c>
      <c r="AU355" s="6">
        <f>(N355/100)*AU$41</f>
      </c>
      <c r="AV355" s="6">
        <f>(O355/1000000)*AV$41</f>
      </c>
      <c r="AW355" s="6">
        <f>(P355/100)*AW$41</f>
      </c>
      <c r="AX355" s="6">
        <f>(Q355/100)*AX$41</f>
      </c>
      <c r="AY355" s="6">
        <f>(R355/100)*AY$41</f>
      </c>
      <c r="AZ355" s="6">
        <f>(S355/100)*AZ$41</f>
      </c>
      <c r="BA355" s="6">
        <f>(T355/100)*BA$41</f>
      </c>
      <c r="BB355" s="6">
        <f>(U355/100)*BB$41</f>
      </c>
      <c r="BC355" s="6"/>
      <c r="BD355" s="3"/>
      <c r="BE355" s="3"/>
      <c r="BF355" s="7">
        <f>AF355*E355</f>
      </c>
      <c r="BG355" s="6"/>
      <c r="BH355" s="3"/>
      <c r="BI355" s="6"/>
    </row>
    <row x14ac:dyDescent="0.25" r="356" customHeight="1" ht="12.75">
      <c r="A356" s="5" t="s">
        <v>347</v>
      </c>
      <c r="B356" s="3" t="s">
        <v>855</v>
      </c>
      <c r="C356" s="43" t="s">
        <v>866</v>
      </c>
      <c r="D356" s="34"/>
      <c r="E356" s="6">
        <v>0.485</v>
      </c>
      <c r="F356" s="6">
        <v>1.525319587628866</v>
      </c>
      <c r="G356" s="6">
        <v>7.490309278350516</v>
      </c>
      <c r="H356" s="31">
        <v>46.58762886597938</v>
      </c>
      <c r="I356" s="6">
        <v>0.9265773195876288</v>
      </c>
      <c r="J356" s="6">
        <v>0.5555257731958761</v>
      </c>
      <c r="K356" s="7"/>
      <c r="L356" s="6"/>
      <c r="M356" s="6"/>
      <c r="N356" s="23"/>
      <c r="O356" s="5"/>
      <c r="P356" s="6"/>
      <c r="Q356" s="6"/>
      <c r="R356" s="6"/>
      <c r="S356" s="6"/>
      <c r="T356" s="6"/>
      <c r="U356" s="6"/>
      <c r="V356" s="5"/>
      <c r="W356" s="6"/>
      <c r="X356" s="6">
        <f>E356*F356/100</f>
      </c>
      <c r="Y356" s="6">
        <f>E356*G356/100</f>
      </c>
      <c r="Z356" s="7">
        <f>E356*H356</f>
      </c>
      <c r="AA356" s="7">
        <f>E356*J356</f>
      </c>
      <c r="AB356" s="6">
        <f>E356*I356/100</f>
      </c>
      <c r="AC356" s="15">
        <f>X356+Y356+AB356</f>
      </c>
      <c r="AD356" s="6">
        <f>F356+G356+I356</f>
      </c>
      <c r="AE356" s="3"/>
      <c r="AF356" s="6">
        <f>SUM(AM356:BC356)</f>
      </c>
      <c r="AG356" s="5">
        <f>IF(SUM(AM356:AO356)&gt;0.7*AF356,1,0)</f>
      </c>
      <c r="AH356" s="5">
        <f>IF(AN356&gt;0.4*AF356,1,0)</f>
      </c>
      <c r="AI356" s="5">
        <f>IF(SUM(AP356:AQ356)&gt;0.3*AF356,1,0)</f>
      </c>
      <c r="AJ356" s="5">
        <f>IF(AQ356&gt;0.2*AF356,1,0)</f>
      </c>
      <c r="AK356" s="5">
        <f>IF(SUM(AR356:BC356)&gt;0.3*AF356,1,0)</f>
      </c>
      <c r="AL356" s="3"/>
      <c r="AM356" s="6">
        <f>(F356/100)*AM$41</f>
      </c>
      <c r="AN356" s="6">
        <f>(G356/100)*AN$41</f>
      </c>
      <c r="AO356" s="6">
        <f>(H356/1000000)*AO$41</f>
      </c>
      <c r="AP356" s="6">
        <f>(I356/100)*AP$41</f>
      </c>
      <c r="AQ356" s="6">
        <f>(J356/1000000)*AQ$41</f>
      </c>
      <c r="AR356" s="6">
        <f>(K356/100)*AR$41</f>
      </c>
      <c r="AS356" s="6">
        <f>(L356/100)*AS$41</f>
      </c>
      <c r="AT356" s="6">
        <f>(M356/100)*AT$41</f>
      </c>
      <c r="AU356" s="6">
        <f>(N356/100)*AU$41</f>
      </c>
      <c r="AV356" s="6">
        <f>(O356/1000000)*AV$41</f>
      </c>
      <c r="AW356" s="6">
        <f>(P356/100)*AW$41</f>
      </c>
      <c r="AX356" s="6">
        <f>(Q356/100)*AX$41</f>
      </c>
      <c r="AY356" s="6">
        <f>(R356/100)*AY$41</f>
      </c>
      <c r="AZ356" s="6">
        <f>(S356/100)*AZ$41</f>
      </c>
      <c r="BA356" s="6">
        <f>(T356/100)*BA$41</f>
      </c>
      <c r="BB356" s="6">
        <f>(U356/100)*BB$41</f>
      </c>
      <c r="BC356" s="6"/>
      <c r="BD356" s="3"/>
      <c r="BE356" s="3"/>
      <c r="BF356" s="7">
        <f>AF356*E356</f>
      </c>
      <c r="BG356" s="6"/>
      <c r="BH356" s="3"/>
      <c r="BI356" s="6"/>
    </row>
    <row x14ac:dyDescent="0.25" r="357" customHeight="1" ht="12.75">
      <c r="A357" s="5" t="s">
        <v>570</v>
      </c>
      <c r="B357" s="3" t="s">
        <v>855</v>
      </c>
      <c r="C357" s="43" t="s">
        <v>866</v>
      </c>
      <c r="D357" s="34" t="s">
        <v>988</v>
      </c>
      <c r="E357" s="6">
        <v>0.492</v>
      </c>
      <c r="F357" s="6">
        <v>2.2</v>
      </c>
      <c r="G357" s="6">
        <v>4.7</v>
      </c>
      <c r="H357" s="7"/>
      <c r="I357" s="6"/>
      <c r="J357" s="6"/>
      <c r="K357" s="7"/>
      <c r="L357" s="6"/>
      <c r="M357" s="6"/>
      <c r="N357" s="23"/>
      <c r="O357" s="5"/>
      <c r="P357" s="6"/>
      <c r="Q357" s="6"/>
      <c r="R357" s="6"/>
      <c r="S357" s="6"/>
      <c r="T357" s="6"/>
      <c r="U357" s="6"/>
      <c r="V357" s="5"/>
      <c r="W357" s="6"/>
      <c r="X357" s="6">
        <f>E357*F357/100</f>
      </c>
      <c r="Y357" s="6">
        <f>E357*G357/100</f>
      </c>
      <c r="Z357" s="7">
        <f>E357*H357</f>
      </c>
      <c r="AA357" s="7">
        <f>E357*J357</f>
      </c>
      <c r="AB357" s="6">
        <f>E357*I357/100</f>
      </c>
      <c r="AC357" s="15">
        <f>X357+Y357+AB357</f>
      </c>
      <c r="AD357" s="6">
        <f>F357+G357+I357</f>
      </c>
      <c r="AE357" s="3"/>
      <c r="AF357" s="6">
        <f>SUM(AM357:BC357)</f>
      </c>
      <c r="AG357" s="5">
        <f>IF(SUM(AM357:AO357)&gt;0.7*AF357,1,0)</f>
      </c>
      <c r="AH357" s="5">
        <f>IF(AN357&gt;0.4*AF357,1,0)</f>
      </c>
      <c r="AI357" s="5">
        <f>IF(SUM(AP357:AQ357)&gt;0.3*AF357,1,0)</f>
      </c>
      <c r="AJ357" s="5">
        <f>IF(AQ357&gt;0.2*AF357,1,0)</f>
      </c>
      <c r="AK357" s="5">
        <f>IF(SUM(AR357:BC357)&gt;0.3*AF357,1,0)</f>
      </c>
      <c r="AL357" s="3"/>
      <c r="AM357" s="6">
        <f>(F357/100)*AM$41</f>
      </c>
      <c r="AN357" s="6">
        <f>(G357/100)*AN$41</f>
      </c>
      <c r="AO357" s="6">
        <f>(H357/1000000)*AO$41</f>
      </c>
      <c r="AP357" s="6">
        <f>(I357/100)*AP$41</f>
      </c>
      <c r="AQ357" s="6">
        <f>(J357/1000000)*AQ$41</f>
      </c>
      <c r="AR357" s="6">
        <f>(K357/100)*AR$41</f>
      </c>
      <c r="AS357" s="6">
        <f>(L357/100)*AS$41</f>
      </c>
      <c r="AT357" s="6">
        <f>(M357/100)*AT$41</f>
      </c>
      <c r="AU357" s="6">
        <f>(N357/100)*AU$41</f>
      </c>
      <c r="AV357" s="6">
        <f>(O357/1000000)*AV$41</f>
      </c>
      <c r="AW357" s="6">
        <f>(P357/100)*AW$41</f>
      </c>
      <c r="AX357" s="6">
        <f>(Q357/100)*AX$41</f>
      </c>
      <c r="AY357" s="6">
        <f>(R357/100)*AY$41</f>
      </c>
      <c r="AZ357" s="6">
        <f>(S357/100)*AZ$41</f>
      </c>
      <c r="BA357" s="6">
        <f>(T357/100)*BA$41</f>
      </c>
      <c r="BB357" s="6">
        <f>(U357/100)*BB$41</f>
      </c>
      <c r="BC357" s="6"/>
      <c r="BD357" s="3"/>
      <c r="BE357" s="3"/>
      <c r="BF357" s="7">
        <f>AF357*E357</f>
      </c>
      <c r="BG357" s="6"/>
      <c r="BH357" s="3"/>
      <c r="BI357" s="6"/>
    </row>
    <row x14ac:dyDescent="0.25" r="358" customHeight="1" ht="12.75">
      <c r="A358" s="5" t="s">
        <v>204</v>
      </c>
      <c r="B358" s="3" t="s">
        <v>855</v>
      </c>
      <c r="C358" s="43" t="s">
        <v>866</v>
      </c>
      <c r="D358" s="34" t="s">
        <v>988</v>
      </c>
      <c r="E358" s="6">
        <v>0.2</v>
      </c>
      <c r="F358" s="6">
        <v>3.4</v>
      </c>
      <c r="G358" s="7">
        <v>9</v>
      </c>
      <c r="H358" s="7"/>
      <c r="I358" s="6"/>
      <c r="J358" s="6"/>
      <c r="K358" s="7"/>
      <c r="L358" s="6"/>
      <c r="M358" s="6"/>
      <c r="N358" s="23"/>
      <c r="O358" s="5"/>
      <c r="P358" s="6"/>
      <c r="Q358" s="6"/>
      <c r="R358" s="6"/>
      <c r="S358" s="6"/>
      <c r="T358" s="6"/>
      <c r="U358" s="6"/>
      <c r="V358" s="5"/>
      <c r="W358" s="6"/>
      <c r="X358" s="6">
        <f>E358*F358/100</f>
      </c>
      <c r="Y358" s="6">
        <f>E358*G358/100</f>
      </c>
      <c r="Z358" s="7">
        <f>E358*H358</f>
      </c>
      <c r="AA358" s="7">
        <f>E358*J358</f>
      </c>
      <c r="AB358" s="6">
        <f>E358*I358/100</f>
      </c>
      <c r="AC358" s="15">
        <f>X358+Y358+AB358</f>
      </c>
      <c r="AD358" s="6">
        <f>F358+G358+I358</f>
      </c>
      <c r="AE358" s="3"/>
      <c r="AF358" s="6">
        <f>SUM(AM358:BC358)</f>
      </c>
      <c r="AG358" s="5">
        <f>IF(SUM(AM358:AO358)&gt;0.7*AF358,1,0)</f>
      </c>
      <c r="AH358" s="5">
        <f>IF(AN358&gt;0.4*AF358,1,0)</f>
      </c>
      <c r="AI358" s="5">
        <f>IF(SUM(AP358:AQ358)&gt;0.3*AF358,1,0)</f>
      </c>
      <c r="AJ358" s="5">
        <f>IF(AQ358&gt;0.2*AF358,1,0)</f>
      </c>
      <c r="AK358" s="5">
        <f>IF(SUM(AR358:BC358)&gt;0.3*AF358,1,0)</f>
      </c>
      <c r="AL358" s="3"/>
      <c r="AM358" s="6">
        <f>(F358/100)*AM$41</f>
      </c>
      <c r="AN358" s="6">
        <f>(G358/100)*AN$41</f>
      </c>
      <c r="AO358" s="6">
        <f>(H358/1000000)*AO$41</f>
      </c>
      <c r="AP358" s="6">
        <f>(I358/100)*AP$41</f>
      </c>
      <c r="AQ358" s="6">
        <f>(J358/1000000)*AQ$41</f>
      </c>
      <c r="AR358" s="6">
        <f>(K358/100)*AR$41</f>
      </c>
      <c r="AS358" s="6">
        <f>(L358/100)*AS$41</f>
      </c>
      <c r="AT358" s="6">
        <f>(M358/100)*AT$41</f>
      </c>
      <c r="AU358" s="6">
        <f>(N358/100)*AU$41</f>
      </c>
      <c r="AV358" s="6">
        <f>(O358/1000000)*AV$41</f>
      </c>
      <c r="AW358" s="6">
        <f>(P358/100)*AW$41</f>
      </c>
      <c r="AX358" s="6">
        <f>(Q358/100)*AX$41</f>
      </c>
      <c r="AY358" s="6">
        <f>(R358/100)*AY$41</f>
      </c>
      <c r="AZ358" s="6">
        <f>(S358/100)*AZ$41</f>
      </c>
      <c r="BA358" s="6">
        <f>(T358/100)*BA$41</f>
      </c>
      <c r="BB358" s="6">
        <f>(U358/100)*BB$41</f>
      </c>
      <c r="BC358" s="6"/>
      <c r="BD358" s="3"/>
      <c r="BE358" s="3"/>
      <c r="BF358" s="7">
        <f>AF358*E358</f>
      </c>
      <c r="BG358" s="6"/>
      <c r="BH358" s="3"/>
      <c r="BI358" s="6"/>
    </row>
    <row x14ac:dyDescent="0.25" r="359" customHeight="1" ht="12.75">
      <c r="A359" s="5" t="s">
        <v>453</v>
      </c>
      <c r="B359" s="3" t="s">
        <v>855</v>
      </c>
      <c r="C359" s="43" t="s">
        <v>866</v>
      </c>
      <c r="D359" s="34" t="s">
        <v>988</v>
      </c>
      <c r="E359" s="23">
        <v>0.580544</v>
      </c>
      <c r="F359" s="6">
        <v>1.34</v>
      </c>
      <c r="G359" s="6">
        <v>2.22</v>
      </c>
      <c r="H359" s="5">
        <v>342</v>
      </c>
      <c r="I359" s="6"/>
      <c r="J359" s="6"/>
      <c r="K359" s="7"/>
      <c r="L359" s="6"/>
      <c r="M359" s="6"/>
      <c r="N359" s="23"/>
      <c r="O359" s="5"/>
      <c r="P359" s="6"/>
      <c r="Q359" s="6"/>
      <c r="R359" s="6"/>
      <c r="S359" s="6"/>
      <c r="T359" s="6"/>
      <c r="U359" s="6"/>
      <c r="V359" s="5"/>
      <c r="W359" s="6"/>
      <c r="X359" s="6">
        <f>E359*F359/100</f>
      </c>
      <c r="Y359" s="6">
        <f>E359*G359/100</f>
      </c>
      <c r="Z359" s="7">
        <f>E359*H359</f>
      </c>
      <c r="AA359" s="7">
        <f>E359*J359</f>
      </c>
      <c r="AB359" s="6">
        <f>E359*I359/100</f>
      </c>
      <c r="AC359" s="15">
        <f>X359+Y359+AB359</f>
      </c>
      <c r="AD359" s="6">
        <f>F359+G359+I359</f>
      </c>
      <c r="AE359" s="3"/>
      <c r="AF359" s="6">
        <f>SUM(AM359:BC359)</f>
      </c>
      <c r="AG359" s="5">
        <f>IF(SUM(AM359:AO359)&gt;0.7*AF359,1,0)</f>
      </c>
      <c r="AH359" s="5">
        <f>IF(AN359&gt;0.4*AF359,1,0)</f>
      </c>
      <c r="AI359" s="5">
        <f>IF(SUM(AP359:AQ359)&gt;0.3*AF359,1,0)</f>
      </c>
      <c r="AJ359" s="5">
        <f>IF(AQ359&gt;0.2*AF359,1,0)</f>
      </c>
      <c r="AK359" s="5">
        <f>IF(SUM(AR359:BC359)&gt;0.3*AF359,1,0)</f>
      </c>
      <c r="AL359" s="3"/>
      <c r="AM359" s="6">
        <f>(F359/100)*AM$41</f>
      </c>
      <c r="AN359" s="6">
        <f>(G359/100)*AN$41</f>
      </c>
      <c r="AO359" s="6">
        <f>(H359/1000000)*AO$41</f>
      </c>
      <c r="AP359" s="6">
        <f>(I359/100)*AP$41</f>
      </c>
      <c r="AQ359" s="6">
        <f>(J359/1000000)*AQ$41</f>
      </c>
      <c r="AR359" s="6">
        <f>(K359/100)*AR$41</f>
      </c>
      <c r="AS359" s="6">
        <f>(L359/100)*AS$41</f>
      </c>
      <c r="AT359" s="6">
        <f>(M359/100)*AT$41</f>
      </c>
      <c r="AU359" s="6">
        <f>(N359/100)*AU$41</f>
      </c>
      <c r="AV359" s="6">
        <f>(O359/1000000)*AV$41</f>
      </c>
      <c r="AW359" s="6">
        <f>(P359/100)*AW$41</f>
      </c>
      <c r="AX359" s="6">
        <f>(Q359/100)*AX$41</f>
      </c>
      <c r="AY359" s="6">
        <f>(R359/100)*AY$41</f>
      </c>
      <c r="AZ359" s="6">
        <f>(S359/100)*AZ$41</f>
      </c>
      <c r="BA359" s="6">
        <f>(T359/100)*BA$41</f>
      </c>
      <c r="BB359" s="6">
        <f>(U359/100)*BB$41</f>
      </c>
      <c r="BC359" s="6"/>
      <c r="BD359" s="3"/>
      <c r="BE359" s="3"/>
      <c r="BF359" s="7">
        <f>AF359*E359</f>
      </c>
      <c r="BG359" s="6"/>
      <c r="BH359" s="3"/>
      <c r="BI359" s="6"/>
    </row>
    <row x14ac:dyDescent="0.25" r="360" customHeight="1" ht="12.75">
      <c r="A360" s="5" t="s">
        <v>698</v>
      </c>
      <c r="B360" s="3" t="s">
        <v>855</v>
      </c>
      <c r="C360" s="43" t="s">
        <v>866</v>
      </c>
      <c r="D360" s="34" t="s">
        <v>988</v>
      </c>
      <c r="E360" s="6">
        <v>0.3756</v>
      </c>
      <c r="F360" s="6">
        <v>1.6</v>
      </c>
      <c r="G360" s="6">
        <v>3.8</v>
      </c>
      <c r="H360" s="5">
        <v>15</v>
      </c>
      <c r="I360" s="6"/>
      <c r="J360" s="6"/>
      <c r="K360" s="7"/>
      <c r="L360" s="6"/>
      <c r="M360" s="6"/>
      <c r="N360" s="23"/>
      <c r="O360" s="5"/>
      <c r="P360" s="6"/>
      <c r="Q360" s="6"/>
      <c r="R360" s="6"/>
      <c r="S360" s="6"/>
      <c r="T360" s="6"/>
      <c r="U360" s="6"/>
      <c r="V360" s="5"/>
      <c r="W360" s="6"/>
      <c r="X360" s="6">
        <f>E360*F360/100</f>
      </c>
      <c r="Y360" s="6">
        <f>E360*G360/100</f>
      </c>
      <c r="Z360" s="7">
        <f>E360*H360</f>
      </c>
      <c r="AA360" s="7">
        <f>E360*J360</f>
      </c>
      <c r="AB360" s="6">
        <f>E360*I360/100</f>
      </c>
      <c r="AC360" s="15">
        <f>X360+Y360+AB360</f>
      </c>
      <c r="AD360" s="6">
        <f>F360+G360+I360</f>
      </c>
      <c r="AE360" s="3"/>
      <c r="AF360" s="6">
        <f>SUM(AM360:BC360)</f>
      </c>
      <c r="AG360" s="5">
        <f>IF(SUM(AM360:AO360)&gt;0.7*AF360,1,0)</f>
      </c>
      <c r="AH360" s="5">
        <f>IF(AN360&gt;0.4*AF360,1,0)</f>
      </c>
      <c r="AI360" s="5">
        <f>IF(SUM(AP360:AQ360)&gt;0.3*AF360,1,0)</f>
      </c>
      <c r="AJ360" s="5">
        <f>IF(AQ360&gt;0.2*AF360,1,0)</f>
      </c>
      <c r="AK360" s="5">
        <f>IF(SUM(AR360:BC360)&gt;0.3*AF360,1,0)</f>
      </c>
      <c r="AL360" s="3"/>
      <c r="AM360" s="6">
        <f>(F360/100)*AM$41</f>
      </c>
      <c r="AN360" s="6">
        <f>(G360/100)*AN$41</f>
      </c>
      <c r="AO360" s="6">
        <f>(H360/1000000)*AO$41</f>
      </c>
      <c r="AP360" s="6">
        <f>(I360/100)*AP$41</f>
      </c>
      <c r="AQ360" s="6">
        <f>(J360/1000000)*AQ$41</f>
      </c>
      <c r="AR360" s="6">
        <f>(K360/100)*AR$41</f>
      </c>
      <c r="AS360" s="6">
        <f>(L360/100)*AS$41</f>
      </c>
      <c r="AT360" s="6">
        <f>(M360/100)*AT$41</f>
      </c>
      <c r="AU360" s="6">
        <f>(N360/100)*AU$41</f>
      </c>
      <c r="AV360" s="6">
        <f>(O360/1000000)*AV$41</f>
      </c>
      <c r="AW360" s="6">
        <f>(P360/100)*AW$41</f>
      </c>
      <c r="AX360" s="6">
        <f>(Q360/100)*AX$41</f>
      </c>
      <c r="AY360" s="6">
        <f>(R360/100)*AY$41</f>
      </c>
      <c r="AZ360" s="6">
        <f>(S360/100)*AZ$41</f>
      </c>
      <c r="BA360" s="6">
        <f>(T360/100)*BA$41</f>
      </c>
      <c r="BB360" s="6">
        <f>(U360/100)*BB$41</f>
      </c>
      <c r="BC360" s="6"/>
      <c r="BD360" s="3"/>
      <c r="BE360" s="3"/>
      <c r="BF360" s="7">
        <f>AF360*E360</f>
      </c>
      <c r="BG360" s="6"/>
      <c r="BH360" s="3"/>
      <c r="BI360" s="6"/>
    </row>
    <row x14ac:dyDescent="0.25" r="361" customHeight="1" ht="12.75">
      <c r="A361" s="5" t="s">
        <v>766</v>
      </c>
      <c r="B361" s="3" t="s">
        <v>855</v>
      </c>
      <c r="C361" s="43" t="s">
        <v>866</v>
      </c>
      <c r="D361" s="34" t="s">
        <v>989</v>
      </c>
      <c r="E361" s="23">
        <v>0.2876</v>
      </c>
      <c r="F361" s="6">
        <v>1.5</v>
      </c>
      <c r="G361" s="6">
        <v>2.8</v>
      </c>
      <c r="H361" s="5">
        <v>31</v>
      </c>
      <c r="I361" s="6"/>
      <c r="J361" s="6"/>
      <c r="K361" s="7"/>
      <c r="L361" s="6"/>
      <c r="M361" s="6"/>
      <c r="N361" s="23"/>
      <c r="O361" s="5"/>
      <c r="P361" s="6"/>
      <c r="Q361" s="6"/>
      <c r="R361" s="6"/>
      <c r="S361" s="6"/>
      <c r="T361" s="6"/>
      <c r="U361" s="6"/>
      <c r="V361" s="5"/>
      <c r="W361" s="6"/>
      <c r="X361" s="6">
        <f>E361*F361/100</f>
      </c>
      <c r="Y361" s="6">
        <f>E361*G361/100</f>
      </c>
      <c r="Z361" s="7">
        <f>E361*H361</f>
      </c>
      <c r="AA361" s="7">
        <f>E361*J361</f>
      </c>
      <c r="AB361" s="6">
        <f>E361*I361/100</f>
      </c>
      <c r="AC361" s="15">
        <f>X361+Y361+AB361</f>
      </c>
      <c r="AD361" s="6">
        <f>F361+G361+I361</f>
      </c>
      <c r="AE361" s="3"/>
      <c r="AF361" s="6">
        <f>SUM(AM361:BC361)</f>
      </c>
      <c r="AG361" s="5">
        <f>IF(SUM(AM361:AO361)&gt;0.7*AF361,1,0)</f>
      </c>
      <c r="AH361" s="5">
        <f>IF(AN361&gt;0.4*AF361,1,0)</f>
      </c>
      <c r="AI361" s="5">
        <f>IF(SUM(AP361:AQ361)&gt;0.3*AF361,1,0)</f>
      </c>
      <c r="AJ361" s="5">
        <f>IF(AQ361&gt;0.2*AF361,1,0)</f>
      </c>
      <c r="AK361" s="5">
        <f>IF(SUM(AR361:BC361)&gt;0.3*AF361,1,0)</f>
      </c>
      <c r="AL361" s="3"/>
      <c r="AM361" s="6">
        <f>(F361/100)*AM$41</f>
      </c>
      <c r="AN361" s="6">
        <f>(G361/100)*AN$41</f>
      </c>
      <c r="AO361" s="6">
        <f>(H361/1000000)*AO$41</f>
      </c>
      <c r="AP361" s="6">
        <f>(I361/100)*AP$41</f>
      </c>
      <c r="AQ361" s="6">
        <f>(J361/1000000)*AQ$41</f>
      </c>
      <c r="AR361" s="6">
        <f>(K361/100)*AR$41</f>
      </c>
      <c r="AS361" s="6">
        <f>(L361/100)*AS$41</f>
      </c>
      <c r="AT361" s="6">
        <f>(M361/100)*AT$41</f>
      </c>
      <c r="AU361" s="6">
        <f>(N361/100)*AU$41</f>
      </c>
      <c r="AV361" s="6">
        <f>(O361/1000000)*AV$41</f>
      </c>
      <c r="AW361" s="6">
        <f>(P361/100)*AW$41</f>
      </c>
      <c r="AX361" s="6">
        <f>(Q361/100)*AX$41</f>
      </c>
      <c r="AY361" s="6">
        <f>(R361/100)*AY$41</f>
      </c>
      <c r="AZ361" s="6">
        <f>(S361/100)*AZ$41</f>
      </c>
      <c r="BA361" s="6">
        <f>(T361/100)*BA$41</f>
      </c>
      <c r="BB361" s="6">
        <f>(U361/100)*BB$41</f>
      </c>
      <c r="BC361" s="6"/>
      <c r="BD361" s="3"/>
      <c r="BE361" s="3"/>
      <c r="BF361" s="7">
        <f>AF361*E361</f>
      </c>
      <c r="BG361" s="6"/>
      <c r="BH361" s="3"/>
      <c r="BI361" s="6"/>
    </row>
    <row x14ac:dyDescent="0.25" r="362" customHeight="1" ht="12.75">
      <c r="A362" s="5" t="s">
        <v>845</v>
      </c>
      <c r="B362" s="3" t="s">
        <v>855</v>
      </c>
      <c r="C362" s="43" t="s">
        <v>866</v>
      </c>
      <c r="D362" s="34" t="s">
        <v>989</v>
      </c>
      <c r="E362" s="6">
        <v>0.25</v>
      </c>
      <c r="F362" s="6">
        <v>1.2</v>
      </c>
      <c r="G362" s="6">
        <v>1</v>
      </c>
      <c r="H362" s="7"/>
      <c r="I362" s="6"/>
      <c r="J362" s="6"/>
      <c r="K362" s="7"/>
      <c r="L362" s="6"/>
      <c r="M362" s="6"/>
      <c r="N362" s="23"/>
      <c r="O362" s="5"/>
      <c r="P362" s="6"/>
      <c r="Q362" s="6"/>
      <c r="R362" s="6"/>
      <c r="S362" s="6"/>
      <c r="T362" s="6"/>
      <c r="U362" s="6"/>
      <c r="V362" s="5"/>
      <c r="W362" s="6"/>
      <c r="X362" s="6">
        <f>E362*F362/100</f>
      </c>
      <c r="Y362" s="6">
        <f>E362*G362/100</f>
      </c>
      <c r="Z362" s="7">
        <f>E362*H362</f>
      </c>
      <c r="AA362" s="7">
        <f>E362*J362</f>
      </c>
      <c r="AB362" s="6">
        <f>E362*I362/100</f>
      </c>
      <c r="AC362" s="15">
        <f>X362+Y362+AB362</f>
      </c>
      <c r="AD362" s="6">
        <f>F362+G362+I362</f>
      </c>
      <c r="AE362" s="3"/>
      <c r="AF362" s="6">
        <f>SUM(AM362:BC362)</f>
      </c>
      <c r="AG362" s="5">
        <f>IF(SUM(AM362:AO362)&gt;0.7*AF362,1,0)</f>
      </c>
      <c r="AH362" s="5">
        <f>IF(AN362&gt;0.4*AF362,1,0)</f>
      </c>
      <c r="AI362" s="5">
        <f>IF(SUM(AP362:AQ362)&gt;0.3*AF362,1,0)</f>
      </c>
      <c r="AJ362" s="5">
        <f>IF(AQ362&gt;0.2*AF362,1,0)</f>
      </c>
      <c r="AK362" s="5">
        <f>IF(SUM(AR362:BC362)&gt;0.3*AF362,1,0)</f>
      </c>
      <c r="AL362" s="3"/>
      <c r="AM362" s="6">
        <f>(F362/100)*AM$41</f>
      </c>
      <c r="AN362" s="6">
        <f>(G362/100)*AN$41</f>
      </c>
      <c r="AO362" s="6">
        <f>(H362/1000000)*AO$41</f>
      </c>
      <c r="AP362" s="6">
        <f>(I362/100)*AP$41</f>
      </c>
      <c r="AQ362" s="6">
        <f>(J362/1000000)*AQ$41</f>
      </c>
      <c r="AR362" s="6">
        <f>(K362/100)*AR$41</f>
      </c>
      <c r="AS362" s="6">
        <f>(L362/100)*AS$41</f>
      </c>
      <c r="AT362" s="6">
        <f>(M362/100)*AT$41</f>
      </c>
      <c r="AU362" s="6">
        <f>(N362/100)*AU$41</f>
      </c>
      <c r="AV362" s="6">
        <f>(O362/1000000)*AV$41</f>
      </c>
      <c r="AW362" s="6">
        <f>(P362/100)*AW$41</f>
      </c>
      <c r="AX362" s="6">
        <f>(Q362/100)*AX$41</f>
      </c>
      <c r="AY362" s="6">
        <f>(R362/100)*AY$41</f>
      </c>
      <c r="AZ362" s="6">
        <f>(S362/100)*AZ$41</f>
      </c>
      <c r="BA362" s="6">
        <f>(T362/100)*BA$41</f>
      </c>
      <c r="BB362" s="6">
        <f>(U362/100)*BB$41</f>
      </c>
      <c r="BC362" s="6"/>
      <c r="BD362" s="3"/>
      <c r="BE362" s="3"/>
      <c r="BF362" s="7">
        <f>AF362*E362</f>
      </c>
      <c r="BG362" s="6"/>
      <c r="BH362" s="3"/>
      <c r="BI362" s="6"/>
    </row>
    <row x14ac:dyDescent="0.25" r="363" customHeight="1" ht="12.75">
      <c r="A363" s="5" t="s">
        <v>773</v>
      </c>
      <c r="B363" s="3" t="s">
        <v>855</v>
      </c>
      <c r="C363" s="43" t="s">
        <v>1077</v>
      </c>
      <c r="D363" s="34" t="s">
        <v>993</v>
      </c>
      <c r="E363" s="6">
        <v>19.93</v>
      </c>
      <c r="F363" s="6">
        <v>0.2</v>
      </c>
      <c r="G363" s="6">
        <v>0.5</v>
      </c>
      <c r="H363" s="6">
        <v>16.4</v>
      </c>
      <c r="I363" s="6"/>
      <c r="J363" s="6"/>
      <c r="K363" s="7"/>
      <c r="L363" s="6"/>
      <c r="M363" s="6"/>
      <c r="N363" s="23"/>
      <c r="O363" s="5"/>
      <c r="P363" s="6"/>
      <c r="Q363" s="6"/>
      <c r="R363" s="6"/>
      <c r="S363" s="6"/>
      <c r="T363" s="6"/>
      <c r="U363" s="6"/>
      <c r="V363" s="5"/>
      <c r="W363" s="6"/>
      <c r="X363" s="6">
        <f>E363*F363/100</f>
      </c>
      <c r="Y363" s="6">
        <f>E363*G363/100</f>
      </c>
      <c r="Z363" s="7">
        <f>E363*H363</f>
      </c>
      <c r="AA363" s="7">
        <f>E363*J363</f>
      </c>
      <c r="AB363" s="6">
        <f>E363*I363/100</f>
      </c>
      <c r="AC363" s="15">
        <f>X363+Y363+AB363</f>
      </c>
      <c r="AD363" s="6">
        <f>F363+G363+I363</f>
      </c>
      <c r="AE363" s="3"/>
      <c r="AF363" s="6">
        <f>SUM(AM363:BC363)</f>
      </c>
      <c r="AG363" s="5">
        <f>IF(SUM(AM363:AO363)&gt;0.7*AF363,1,0)</f>
      </c>
      <c r="AH363" s="5">
        <f>IF(AN363&gt;0.4*AF363,1,0)</f>
      </c>
      <c r="AI363" s="5">
        <f>IF(SUM(AP363:AQ363)&gt;0.3*AF363,1,0)</f>
      </c>
      <c r="AJ363" s="5">
        <f>IF(AQ363&gt;0.2*AF363,1,0)</f>
      </c>
      <c r="AK363" s="5">
        <f>IF(SUM(AR363:BC363)&gt;0.3*AF363,1,0)</f>
      </c>
      <c r="AL363" s="3"/>
      <c r="AM363" s="6">
        <f>(F363/100)*AM$41</f>
      </c>
      <c r="AN363" s="6">
        <f>(G363/100)*AN$41</f>
      </c>
      <c r="AO363" s="6">
        <f>(H363/1000000)*AO$41</f>
      </c>
      <c r="AP363" s="6">
        <f>(I363/100)*AP$41</f>
      </c>
      <c r="AQ363" s="6">
        <f>(J363/1000000)*AQ$41</f>
      </c>
      <c r="AR363" s="6">
        <f>(K363/100)*AR$41</f>
      </c>
      <c r="AS363" s="6">
        <f>(L363/100)*AS$41</f>
      </c>
      <c r="AT363" s="6">
        <f>(M363/100)*AT$41</f>
      </c>
      <c r="AU363" s="6">
        <f>(N363/100)*AU$41</f>
      </c>
      <c r="AV363" s="6">
        <f>(O363/1000000)*AV$41</f>
      </c>
      <c r="AW363" s="6">
        <f>(P363/100)*AW$41</f>
      </c>
      <c r="AX363" s="6">
        <f>(Q363/100)*AX$41</f>
      </c>
      <c r="AY363" s="6">
        <f>(R363/100)*AY$41</f>
      </c>
      <c r="AZ363" s="6">
        <f>(S363/100)*AZ$41</f>
      </c>
      <c r="BA363" s="6">
        <f>(T363/100)*BA$41</f>
      </c>
      <c r="BB363" s="6">
        <f>(U363/100)*BB$41</f>
      </c>
      <c r="BC363" s="6"/>
      <c r="BD363" s="3"/>
      <c r="BE363" s="3"/>
      <c r="BF363" s="7">
        <f>AF363*E363</f>
      </c>
      <c r="BG363" s="6"/>
      <c r="BH363" s="3"/>
      <c r="BI363" s="6"/>
    </row>
    <row x14ac:dyDescent="0.25" r="364" customHeight="1" ht="12.75">
      <c r="A364" s="5" t="s">
        <v>288</v>
      </c>
      <c r="B364" s="3" t="s">
        <v>855</v>
      </c>
      <c r="C364" s="43" t="s">
        <v>1077</v>
      </c>
      <c r="D364" s="34" t="s">
        <v>994</v>
      </c>
      <c r="E364" s="6">
        <v>0.9</v>
      </c>
      <c r="F364" s="6">
        <v>1.9</v>
      </c>
      <c r="G364" s="5">
        <v>9</v>
      </c>
      <c r="H364" s="7"/>
      <c r="I364" s="6"/>
      <c r="J364" s="6"/>
      <c r="K364" s="7"/>
      <c r="L364" s="6"/>
      <c r="M364" s="6"/>
      <c r="N364" s="23"/>
      <c r="O364" s="5"/>
      <c r="P364" s="6"/>
      <c r="Q364" s="6"/>
      <c r="R364" s="6"/>
      <c r="S364" s="6"/>
      <c r="T364" s="6"/>
      <c r="U364" s="6"/>
      <c r="V364" s="5"/>
      <c r="W364" s="6"/>
      <c r="X364" s="6">
        <f>E364*F364/100</f>
      </c>
      <c r="Y364" s="6">
        <f>E364*G364/100</f>
      </c>
      <c r="Z364" s="7">
        <f>E364*H364</f>
      </c>
      <c r="AA364" s="7">
        <f>E364*J364</f>
      </c>
      <c r="AB364" s="6">
        <f>E364*I364/100</f>
      </c>
      <c r="AC364" s="15">
        <f>X364+Y364+AB364</f>
      </c>
      <c r="AD364" s="6">
        <f>F364+G364+I364</f>
      </c>
      <c r="AE364" s="3"/>
      <c r="AF364" s="6">
        <f>SUM(AM364:BC364)</f>
      </c>
      <c r="AG364" s="5">
        <f>IF(SUM(AM364:AO364)&gt;0.7*AF364,1,0)</f>
      </c>
      <c r="AH364" s="5">
        <f>IF(AN364&gt;0.4*AF364,1,0)</f>
      </c>
      <c r="AI364" s="5">
        <f>IF(SUM(AP364:AQ364)&gt;0.3*AF364,1,0)</f>
      </c>
      <c r="AJ364" s="5">
        <f>IF(AQ364&gt;0.2*AF364,1,0)</f>
      </c>
      <c r="AK364" s="5">
        <f>IF(SUM(AR364:BC364)&gt;0.3*AF364,1,0)</f>
      </c>
      <c r="AL364" s="3"/>
      <c r="AM364" s="6">
        <f>(F364/100)*AM$41</f>
      </c>
      <c r="AN364" s="6">
        <f>(G364/100)*AN$41</f>
      </c>
      <c r="AO364" s="6">
        <f>(H364/1000000)*AO$41</f>
      </c>
      <c r="AP364" s="6">
        <f>(I364/100)*AP$41</f>
      </c>
      <c r="AQ364" s="6">
        <f>(J364/1000000)*AQ$41</f>
      </c>
      <c r="AR364" s="6">
        <f>(K364/100)*AR$41</f>
      </c>
      <c r="AS364" s="6">
        <f>(L364/100)*AS$41</f>
      </c>
      <c r="AT364" s="6">
        <f>(M364/100)*AT$41</f>
      </c>
      <c r="AU364" s="6">
        <f>(N364/100)*AU$41</f>
      </c>
      <c r="AV364" s="6">
        <f>(O364/1000000)*AV$41</f>
      </c>
      <c r="AW364" s="6">
        <f>(P364/100)*AW$41</f>
      </c>
      <c r="AX364" s="6">
        <f>(Q364/100)*AX$41</f>
      </c>
      <c r="AY364" s="6">
        <f>(R364/100)*AY$41</f>
      </c>
      <c r="AZ364" s="6">
        <f>(S364/100)*AZ$41</f>
      </c>
      <c r="BA364" s="6">
        <f>(T364/100)*BA$41</f>
      </c>
      <c r="BB364" s="6">
        <f>(U364/100)*BB$41</f>
      </c>
      <c r="BC364" s="6"/>
      <c r="BD364" s="3"/>
      <c r="BE364" s="3"/>
      <c r="BF364" s="7">
        <f>AF364*E364</f>
      </c>
      <c r="BG364" s="6"/>
      <c r="BH364" s="3"/>
      <c r="BI364" s="6"/>
    </row>
    <row x14ac:dyDescent="0.25" r="365" customHeight="1" ht="12.75">
      <c r="A365" s="5" t="s">
        <v>14</v>
      </c>
      <c r="B365" s="38" t="s">
        <v>859</v>
      </c>
      <c r="C365" s="43" t="s">
        <v>866</v>
      </c>
      <c r="D365" s="34" t="s">
        <v>988</v>
      </c>
      <c r="E365" s="31">
        <v>519</v>
      </c>
      <c r="F365" s="6">
        <v>0.6473988439306358</v>
      </c>
      <c r="G365" s="6">
        <v>4.0847784200385355</v>
      </c>
      <c r="H365" s="5">
        <v>28</v>
      </c>
      <c r="I365" s="6"/>
      <c r="J365" s="6"/>
      <c r="K365" s="7"/>
      <c r="L365" s="6"/>
      <c r="M365" s="6"/>
      <c r="N365" s="23"/>
      <c r="O365" s="5"/>
      <c r="P365" s="6"/>
      <c r="Q365" s="6"/>
      <c r="R365" s="6"/>
      <c r="S365" s="6"/>
      <c r="T365" s="6"/>
      <c r="U365" s="6"/>
      <c r="V365" s="5"/>
      <c r="W365" s="6" t="s">
        <v>1000</v>
      </c>
      <c r="X365" s="6">
        <f>E365*F365/100</f>
      </c>
      <c r="Y365" s="6">
        <f>E365*G365/100</f>
      </c>
      <c r="Z365" s="7">
        <f>E365*H365</f>
      </c>
      <c r="AA365" s="7">
        <f>E365*J365</f>
      </c>
      <c r="AB365" s="6">
        <f>E365*I365/100</f>
      </c>
      <c r="AC365" s="15">
        <f>X365+Y365+AB365</f>
      </c>
      <c r="AD365" s="6">
        <f>F365+G365+I365</f>
      </c>
      <c r="AE365" s="3"/>
      <c r="AF365" s="6">
        <f>SUM(AM365:BC365)</f>
      </c>
      <c r="AG365" s="5">
        <f>IF(SUM(AM365:AO365)&gt;0.7*AF365,1,0)</f>
      </c>
      <c r="AH365" s="5">
        <f>IF(AN365&gt;0.4*AF365,1,0)</f>
      </c>
      <c r="AI365" s="5">
        <f>IF(SUM(AP365:AQ365)&gt;0.3*AF365,1,0)</f>
      </c>
      <c r="AJ365" s="5">
        <f>IF(AQ365&gt;0.2*AF365,1,0)</f>
      </c>
      <c r="AK365" s="5">
        <f>IF(SUM(AR365:BC365)&gt;0.3*AF365,1,0)</f>
      </c>
      <c r="AL365" s="3"/>
      <c r="AM365" s="6">
        <f>(F365/100)*AM$41</f>
      </c>
      <c r="AN365" s="6">
        <f>(G365/100)*AN$41</f>
      </c>
      <c r="AO365" s="6">
        <f>(H365/1000000)*AO$41</f>
      </c>
      <c r="AP365" s="6">
        <f>(I365/100)*AP$41</f>
      </c>
      <c r="AQ365" s="6">
        <f>(J365/1000000)*AQ$41</f>
      </c>
      <c r="AR365" s="6">
        <f>(K365/100)*AR$41</f>
      </c>
      <c r="AS365" s="6">
        <f>(L365/100)*AS$41</f>
      </c>
      <c r="AT365" s="6">
        <f>(M365/100)*AT$41</f>
      </c>
      <c r="AU365" s="6">
        <f>(N365/100)*AU$41</f>
      </c>
      <c r="AV365" s="6">
        <f>(O365/1000000)*AV$41</f>
      </c>
      <c r="AW365" s="6">
        <f>(P365/100)*AW$41</f>
      </c>
      <c r="AX365" s="6">
        <f>(Q365/100)*AX$41</f>
      </c>
      <c r="AY365" s="6">
        <f>(R365/100)*AY$41</f>
      </c>
      <c r="AZ365" s="6">
        <f>(S365/100)*AZ$41</f>
      </c>
      <c r="BA365" s="6">
        <f>(T365/100)*BA$41</f>
      </c>
      <c r="BB365" s="6">
        <f>(U365/100)*BB$41</f>
      </c>
      <c r="BC365" s="6"/>
      <c r="BD365" s="3"/>
      <c r="BE365" s="3"/>
      <c r="BF365" s="7">
        <f>AF365*E365</f>
      </c>
      <c r="BG365" s="6"/>
      <c r="BH365" s="3"/>
      <c r="BI365" s="6"/>
    </row>
    <row x14ac:dyDescent="0.25" r="366" customHeight="1" ht="12.75">
      <c r="A366" s="5" t="s">
        <v>9</v>
      </c>
      <c r="B366" s="38" t="s">
        <v>859</v>
      </c>
      <c r="C366" s="43" t="s">
        <v>866</v>
      </c>
      <c r="D366" s="34" t="s">
        <v>988</v>
      </c>
      <c r="E366" s="6">
        <v>22.23</v>
      </c>
      <c r="F366" s="7">
        <v>3.9501574448942867</v>
      </c>
      <c r="G366" s="7">
        <v>30.31322537112011</v>
      </c>
      <c r="H366" s="31">
        <v>90.20692757534863</v>
      </c>
      <c r="I366" s="6"/>
      <c r="J366" s="6"/>
      <c r="K366" s="7"/>
      <c r="L366" s="6"/>
      <c r="M366" s="6"/>
      <c r="N366" s="23"/>
      <c r="O366" s="5"/>
      <c r="P366" s="6"/>
      <c r="Q366" s="6"/>
      <c r="R366" s="6"/>
      <c r="S366" s="6"/>
      <c r="T366" s="6"/>
      <c r="U366" s="6"/>
      <c r="V366" s="5"/>
      <c r="W366" s="6"/>
      <c r="X366" s="6">
        <f>E366*F366/100</f>
      </c>
      <c r="Y366" s="6">
        <f>E366*G366/100</f>
      </c>
      <c r="Z366" s="7">
        <f>E366*H366</f>
      </c>
      <c r="AA366" s="7">
        <f>E366*J366</f>
      </c>
      <c r="AB366" s="6">
        <f>E366*I366/100</f>
      </c>
      <c r="AC366" s="15">
        <f>X366+Y366+AB366</f>
      </c>
      <c r="AD366" s="6">
        <f>F366+G366+I366</f>
      </c>
      <c r="AE366" s="3"/>
      <c r="AF366" s="6">
        <f>SUM(AM366:BC366)</f>
      </c>
      <c r="AG366" s="5">
        <f>IF(SUM(AM366:AO366)&gt;0.7*AF366,1,0)</f>
      </c>
      <c r="AH366" s="5">
        <f>IF(AN366&gt;0.4*AF366,1,0)</f>
      </c>
      <c r="AI366" s="5">
        <f>IF(SUM(AP366:AQ366)&gt;0.3*AF366,1,0)</f>
      </c>
      <c r="AJ366" s="5">
        <f>IF(AQ366&gt;0.2*AF366,1,0)</f>
      </c>
      <c r="AK366" s="5">
        <f>IF(SUM(AR366:BC366)&gt;0.3*AF366,1,0)</f>
      </c>
      <c r="AL366" s="3"/>
      <c r="AM366" s="6">
        <f>(F366/100)*AM$41</f>
      </c>
      <c r="AN366" s="6">
        <f>(G366/100)*AN$41</f>
      </c>
      <c r="AO366" s="6">
        <f>(H366/1000000)*AO$41</f>
      </c>
      <c r="AP366" s="6">
        <f>(I366/100)*AP$41</f>
      </c>
      <c r="AQ366" s="6">
        <f>(J366/1000000)*AQ$41</f>
      </c>
      <c r="AR366" s="6">
        <f>(K366/100)*AR$41</f>
      </c>
      <c r="AS366" s="6">
        <f>(L366/100)*AS$41</f>
      </c>
      <c r="AT366" s="6">
        <f>(M366/100)*AT$41</f>
      </c>
      <c r="AU366" s="6">
        <f>(N366/100)*AU$41</f>
      </c>
      <c r="AV366" s="6">
        <f>(O366/1000000)*AV$41</f>
      </c>
      <c r="AW366" s="6">
        <f>(P366/100)*AW$41</f>
      </c>
      <c r="AX366" s="6">
        <f>(Q366/100)*AX$41</f>
      </c>
      <c r="AY366" s="6">
        <f>(R366/100)*AY$41</f>
      </c>
      <c r="AZ366" s="6">
        <f>(S366/100)*AZ$41</f>
      </c>
      <c r="BA366" s="6">
        <f>(T366/100)*BA$41</f>
      </c>
      <c r="BB366" s="6">
        <f>(U366/100)*BB$41</f>
      </c>
      <c r="BC366" s="6"/>
      <c r="BD366" s="3"/>
      <c r="BE366" s="3"/>
      <c r="BF366" s="7">
        <f>AF366*E366</f>
      </c>
      <c r="BG366" s="6"/>
      <c r="BH366" s="3"/>
      <c r="BI366" s="6"/>
    </row>
    <row x14ac:dyDescent="0.25" r="367" customHeight="1" ht="12.75">
      <c r="A367" s="5" t="s">
        <v>56</v>
      </c>
      <c r="B367" s="38" t="s">
        <v>859</v>
      </c>
      <c r="C367" s="43" t="s">
        <v>866</v>
      </c>
      <c r="D367" s="34" t="s">
        <v>994</v>
      </c>
      <c r="E367" s="23">
        <v>25.975458000000003</v>
      </c>
      <c r="F367" s="6"/>
      <c r="G367" s="6">
        <v>19.044620703126775</v>
      </c>
      <c r="H367" s="7"/>
      <c r="I367" s="6">
        <v>2.1841765130763044</v>
      </c>
      <c r="J367" s="6"/>
      <c r="K367" s="7"/>
      <c r="L367" s="6"/>
      <c r="M367" s="6"/>
      <c r="N367" s="23"/>
      <c r="O367" s="5"/>
      <c r="P367" s="6"/>
      <c r="Q367" s="6"/>
      <c r="R367" s="6"/>
      <c r="S367" s="6"/>
      <c r="T367" s="6"/>
      <c r="U367" s="6"/>
      <c r="V367" s="5"/>
      <c r="W367" s="6"/>
      <c r="X367" s="6">
        <f>E367*F367/100</f>
      </c>
      <c r="Y367" s="6">
        <f>E367*G367/100</f>
      </c>
      <c r="Z367" s="7">
        <f>E367*H367</f>
      </c>
      <c r="AA367" s="7">
        <f>E367*J367</f>
      </c>
      <c r="AB367" s="6">
        <f>E367*I367/100</f>
      </c>
      <c r="AC367" s="15">
        <f>X367+Y367+AB367</f>
      </c>
      <c r="AD367" s="6">
        <f>F367+G367+I367</f>
      </c>
      <c r="AE367" s="3"/>
      <c r="AF367" s="6">
        <f>SUM(AM367:BC367)</f>
      </c>
      <c r="AG367" s="5">
        <f>IF(SUM(AM367:AO367)&gt;0.7*AF367,1,0)</f>
      </c>
      <c r="AH367" s="5">
        <f>IF(AN367&gt;0.4*AF367,1,0)</f>
      </c>
      <c r="AI367" s="5">
        <f>IF(SUM(AP367:AQ367)&gt;0.3*AF367,1,0)</f>
      </c>
      <c r="AJ367" s="5">
        <f>IF(AQ367&gt;0.2*AF367,1,0)</f>
      </c>
      <c r="AK367" s="5">
        <f>IF(SUM(AR367:BC367)&gt;0.3*AF367,1,0)</f>
      </c>
      <c r="AL367" s="3"/>
      <c r="AM367" s="6">
        <f>(F367/100)*AM$41</f>
      </c>
      <c r="AN367" s="6">
        <f>(G367/100)*AN$41</f>
      </c>
      <c r="AO367" s="6">
        <f>(H367/1000000)*AO$41</f>
      </c>
      <c r="AP367" s="6">
        <f>(I367/100)*AP$41</f>
      </c>
      <c r="AQ367" s="6">
        <f>(J367/1000000)*AQ$41</f>
      </c>
      <c r="AR367" s="6">
        <f>(K367/100)*AR$41</f>
      </c>
      <c r="AS367" s="6">
        <f>(L367/100)*AS$41</f>
      </c>
      <c r="AT367" s="6">
        <f>(M367/100)*AT$41</f>
      </c>
      <c r="AU367" s="6">
        <f>(N367/100)*AU$41</f>
      </c>
      <c r="AV367" s="6">
        <f>(O367/1000000)*AV$41</f>
      </c>
      <c r="AW367" s="6">
        <f>(P367/100)*AW$41</f>
      </c>
      <c r="AX367" s="6">
        <f>(Q367/100)*AX$41</f>
      </c>
      <c r="AY367" s="6">
        <f>(R367/100)*AY$41</f>
      </c>
      <c r="AZ367" s="6">
        <f>(S367/100)*AZ$41</f>
      </c>
      <c r="BA367" s="6">
        <f>(T367/100)*BA$41</f>
      </c>
      <c r="BB367" s="6">
        <f>(U367/100)*BB$41</f>
      </c>
      <c r="BC367" s="6"/>
      <c r="BD367" s="3"/>
      <c r="BE367" s="3"/>
      <c r="BF367" s="7">
        <f>AF367*E367</f>
      </c>
      <c r="BG367" s="6"/>
      <c r="BH367" s="3"/>
      <c r="BI367" s="6"/>
    </row>
    <row x14ac:dyDescent="0.25" r="368" customHeight="1" ht="12.75">
      <c r="A368" s="5" t="s">
        <v>122</v>
      </c>
      <c r="B368" s="38" t="s">
        <v>859</v>
      </c>
      <c r="C368" s="43" t="s">
        <v>866</v>
      </c>
      <c r="D368" s="34" t="s">
        <v>988</v>
      </c>
      <c r="E368" s="5">
        <v>95</v>
      </c>
      <c r="F368" s="6">
        <v>1.43</v>
      </c>
      <c r="G368" s="6">
        <v>3.63</v>
      </c>
      <c r="H368" s="6">
        <v>44.2</v>
      </c>
      <c r="I368" s="6">
        <v>0.59</v>
      </c>
      <c r="J368" s="6"/>
      <c r="K368" s="7"/>
      <c r="L368" s="6"/>
      <c r="M368" s="6"/>
      <c r="N368" s="23"/>
      <c r="O368" s="5"/>
      <c r="P368" s="6"/>
      <c r="Q368" s="6"/>
      <c r="R368" s="6"/>
      <c r="S368" s="6"/>
      <c r="T368" s="6"/>
      <c r="U368" s="6"/>
      <c r="V368" s="5"/>
      <c r="W368" s="6"/>
      <c r="X368" s="6">
        <f>E368*F368/100</f>
      </c>
      <c r="Y368" s="6">
        <f>E368*G368/100</f>
      </c>
      <c r="Z368" s="7">
        <f>E368*H368</f>
      </c>
      <c r="AA368" s="7">
        <f>E368*J368</f>
      </c>
      <c r="AB368" s="6">
        <f>E368*I368/100</f>
      </c>
      <c r="AC368" s="15">
        <f>X368+Y368+AB368</f>
      </c>
      <c r="AD368" s="6">
        <f>F368+G368+I368</f>
      </c>
      <c r="AE368" s="3"/>
      <c r="AF368" s="6">
        <f>SUM(AM368:BC368)</f>
      </c>
      <c r="AG368" s="5">
        <f>IF(SUM(AM368:AO368)&gt;0.7*AF368,1,0)</f>
      </c>
      <c r="AH368" s="5">
        <f>IF(AN368&gt;0.4*AF368,1,0)</f>
      </c>
      <c r="AI368" s="5">
        <f>IF(SUM(AP368:AQ368)&gt;0.3*AF368,1,0)</f>
      </c>
      <c r="AJ368" s="5">
        <f>IF(AQ368&gt;0.2*AF368,1,0)</f>
      </c>
      <c r="AK368" s="5">
        <f>IF(SUM(AR368:BC368)&gt;0.3*AF368,1,0)</f>
      </c>
      <c r="AL368" s="3"/>
      <c r="AM368" s="6">
        <f>(F368/100)*AM$41</f>
      </c>
      <c r="AN368" s="6">
        <f>(G368/100)*AN$41</f>
      </c>
      <c r="AO368" s="6">
        <f>(H368/1000000)*AO$41</f>
      </c>
      <c r="AP368" s="6">
        <f>(I368/100)*AP$41</f>
      </c>
      <c r="AQ368" s="6">
        <f>(J368/1000000)*AQ$41</f>
      </c>
      <c r="AR368" s="6">
        <f>(K368/100)*AR$41</f>
      </c>
      <c r="AS368" s="6">
        <f>(L368/100)*AS$41</f>
      </c>
      <c r="AT368" s="6">
        <f>(M368/100)*AT$41</f>
      </c>
      <c r="AU368" s="6">
        <f>(N368/100)*AU$41</f>
      </c>
      <c r="AV368" s="6">
        <f>(O368/1000000)*AV$41</f>
      </c>
      <c r="AW368" s="6">
        <f>(P368/100)*AW$41</f>
      </c>
      <c r="AX368" s="6">
        <f>(Q368/100)*AX$41</f>
      </c>
      <c r="AY368" s="6">
        <f>(R368/100)*AY$41</f>
      </c>
      <c r="AZ368" s="6">
        <f>(S368/100)*AZ$41</f>
      </c>
      <c r="BA368" s="6">
        <f>(T368/100)*BA$41</f>
      </c>
      <c r="BB368" s="6">
        <f>(U368/100)*BB$41</f>
      </c>
      <c r="BC368" s="6"/>
      <c r="BD368" s="3"/>
      <c r="BE368" s="3"/>
      <c r="BF368" s="7">
        <f>AF368*E368</f>
      </c>
      <c r="BG368" s="6"/>
      <c r="BH368" s="3"/>
      <c r="BI368" s="6"/>
    </row>
    <row x14ac:dyDescent="0.25" r="369" customHeight="1" ht="12.75">
      <c r="A369" s="5" t="s">
        <v>124</v>
      </c>
      <c r="B369" s="38" t="s">
        <v>859</v>
      </c>
      <c r="C369" s="43" t="s">
        <v>866</v>
      </c>
      <c r="D369" s="34" t="s">
        <v>988</v>
      </c>
      <c r="E369" s="5">
        <v>54</v>
      </c>
      <c r="F369" s="7">
        <v>2</v>
      </c>
      <c r="G369" s="6">
        <v>7.7</v>
      </c>
      <c r="H369" s="6">
        <v>42.8</v>
      </c>
      <c r="I369" s="6"/>
      <c r="J369" s="6"/>
      <c r="K369" s="6">
        <v>47.5</v>
      </c>
      <c r="L369" s="6"/>
      <c r="M369" s="6"/>
      <c r="N369" s="23"/>
      <c r="O369" s="5"/>
      <c r="P369" s="6"/>
      <c r="Q369" s="6"/>
      <c r="R369" s="6"/>
      <c r="S369" s="6"/>
      <c r="T369" s="6"/>
      <c r="U369" s="6"/>
      <c r="V369" s="5"/>
      <c r="W369" s="6"/>
      <c r="X369" s="6">
        <f>E369*F369/100</f>
      </c>
      <c r="Y369" s="6">
        <f>E369*G369/100</f>
      </c>
      <c r="Z369" s="7">
        <f>E369*H369</f>
      </c>
      <c r="AA369" s="7">
        <f>E369*J369</f>
      </c>
      <c r="AB369" s="6">
        <f>E369*I369/100</f>
      </c>
      <c r="AC369" s="15">
        <f>X369+Y369+AB369</f>
      </c>
      <c r="AD369" s="6">
        <f>F369+G369+I369</f>
      </c>
      <c r="AE369" s="3"/>
      <c r="AF369" s="6">
        <f>SUM(AM369:BC369)</f>
      </c>
      <c r="AG369" s="5">
        <f>IF(SUM(AM369:AO369)&gt;0.7*AF369,1,0)</f>
      </c>
      <c r="AH369" s="5">
        <f>IF(AN369&gt;0.4*AF369,1,0)</f>
      </c>
      <c r="AI369" s="5">
        <f>IF(SUM(AP369:AQ369)&gt;0.3*AF369,1,0)</f>
      </c>
      <c r="AJ369" s="5">
        <f>IF(AQ369&gt;0.2*AF369,1,0)</f>
      </c>
      <c r="AK369" s="5">
        <f>IF(SUM(AR369:BC369)&gt;0.3*AF369,1,0)</f>
      </c>
      <c r="AL369" s="3"/>
      <c r="AM369" s="6">
        <f>(F369/100)*AM$41</f>
      </c>
      <c r="AN369" s="6">
        <f>(G369/100)*AN$41</f>
      </c>
      <c r="AO369" s="6">
        <f>(H369/1000000)*AO$41</f>
      </c>
      <c r="AP369" s="6">
        <f>(I369/100)*AP$41</f>
      </c>
      <c r="AQ369" s="6">
        <f>(J369/1000000)*AQ$41</f>
      </c>
      <c r="AR369" s="6">
        <f>(K369/100)*AR$41</f>
      </c>
      <c r="AS369" s="6">
        <f>(L369/100)*AS$41</f>
      </c>
      <c r="AT369" s="6">
        <f>(M369/100)*AT$41</f>
      </c>
      <c r="AU369" s="6">
        <f>(N369/100)*AU$41</f>
      </c>
      <c r="AV369" s="6">
        <f>(O369/1000000)*AV$41</f>
      </c>
      <c r="AW369" s="6">
        <f>(P369/100)*AW$41</f>
      </c>
      <c r="AX369" s="6">
        <f>(Q369/100)*AX$41</f>
      </c>
      <c r="AY369" s="6">
        <f>(R369/100)*AY$41</f>
      </c>
      <c r="AZ369" s="6">
        <f>(S369/100)*AZ$41</f>
      </c>
      <c r="BA369" s="6">
        <f>(T369/100)*BA$41</f>
      </c>
      <c r="BB369" s="6">
        <f>(U369/100)*BB$41</f>
      </c>
      <c r="BC369" s="6"/>
      <c r="BD369" s="3"/>
      <c r="BE369" s="3"/>
      <c r="BF369" s="7">
        <f>AF369*E369</f>
      </c>
      <c r="BG369" s="6"/>
      <c r="BH369" s="3"/>
      <c r="BI369" s="6"/>
    </row>
    <row x14ac:dyDescent="0.25" r="370" customHeight="1" ht="12.75">
      <c r="A370" s="5" t="s">
        <v>30</v>
      </c>
      <c r="B370" s="38" t="s">
        <v>859</v>
      </c>
      <c r="C370" s="43" t="s">
        <v>866</v>
      </c>
      <c r="D370" s="34"/>
      <c r="E370" s="6">
        <v>18.8</v>
      </c>
      <c r="F370" s="6"/>
      <c r="G370" s="6">
        <v>23.7</v>
      </c>
      <c r="H370" s="7"/>
      <c r="I370" s="6"/>
      <c r="J370" s="6"/>
      <c r="K370" s="7"/>
      <c r="L370" s="6"/>
      <c r="M370" s="6"/>
      <c r="N370" s="23"/>
      <c r="O370" s="5"/>
      <c r="P370" s="6"/>
      <c r="Q370" s="6"/>
      <c r="R370" s="6"/>
      <c r="S370" s="6"/>
      <c r="T370" s="6"/>
      <c r="U370" s="6"/>
      <c r="V370" s="5"/>
      <c r="W370" s="6"/>
      <c r="X370" s="6">
        <f>E370*F370/100</f>
      </c>
      <c r="Y370" s="6">
        <f>E370*G370/100</f>
      </c>
      <c r="Z370" s="7">
        <f>E370*H370</f>
      </c>
      <c r="AA370" s="7">
        <f>E370*J370</f>
      </c>
      <c r="AB370" s="6">
        <f>E370*I370/100</f>
      </c>
      <c r="AC370" s="15">
        <f>X370+Y370+AB370</f>
      </c>
      <c r="AD370" s="6">
        <f>F370+G370+I370</f>
      </c>
      <c r="AE370" s="3"/>
      <c r="AF370" s="6">
        <f>SUM(AM370:BC370)</f>
      </c>
      <c r="AG370" s="5">
        <f>IF(SUM(AM370:AO370)&gt;0.7*AF370,1,0)</f>
      </c>
      <c r="AH370" s="5">
        <f>IF(AN370&gt;0.4*AF370,1,0)</f>
      </c>
      <c r="AI370" s="5">
        <f>IF(SUM(AP370:AQ370)&gt;0.3*AF370,1,0)</f>
      </c>
      <c r="AJ370" s="5">
        <f>IF(AQ370&gt;0.2*AF370,1,0)</f>
      </c>
      <c r="AK370" s="5">
        <f>IF(SUM(AR370:BC370)&gt;0.3*AF370,1,0)</f>
      </c>
      <c r="AL370" s="3"/>
      <c r="AM370" s="6">
        <f>(F370/100)*AM$41</f>
      </c>
      <c r="AN370" s="6">
        <f>(G370/100)*AN$41</f>
      </c>
      <c r="AO370" s="6">
        <f>(H370/1000000)*AO$41</f>
      </c>
      <c r="AP370" s="6">
        <f>(I370/100)*AP$41</f>
      </c>
      <c r="AQ370" s="6">
        <f>(J370/1000000)*AQ$41</f>
      </c>
      <c r="AR370" s="6">
        <f>(K370/100)*AR$41</f>
      </c>
      <c r="AS370" s="6">
        <f>(L370/100)*AS$41</f>
      </c>
      <c r="AT370" s="6">
        <f>(M370/100)*AT$41</f>
      </c>
      <c r="AU370" s="6">
        <f>(N370/100)*AU$41</f>
      </c>
      <c r="AV370" s="6">
        <f>(O370/1000000)*AV$41</f>
      </c>
      <c r="AW370" s="6">
        <f>(P370/100)*AW$41</f>
      </c>
      <c r="AX370" s="6">
        <f>(Q370/100)*AX$41</f>
      </c>
      <c r="AY370" s="6">
        <f>(R370/100)*AY$41</f>
      </c>
      <c r="AZ370" s="6">
        <f>(S370/100)*AZ$41</f>
      </c>
      <c r="BA370" s="6">
        <f>(T370/100)*BA$41</f>
      </c>
      <c r="BB370" s="6">
        <f>(U370/100)*BB$41</f>
      </c>
      <c r="BC370" s="6"/>
      <c r="BD370" s="3"/>
      <c r="BE370" s="3"/>
      <c r="BF370" s="7">
        <f>AF370*E370</f>
      </c>
      <c r="BG370" s="6"/>
      <c r="BH370" s="3"/>
      <c r="BI370" s="6"/>
    </row>
    <row x14ac:dyDescent="0.25" r="371" customHeight="1" ht="12.75">
      <c r="A371" s="5" t="s">
        <v>158</v>
      </c>
      <c r="B371" s="38" t="s">
        <v>859</v>
      </c>
      <c r="C371" s="43" t="s">
        <v>866</v>
      </c>
      <c r="D371" s="34"/>
      <c r="E371" s="5">
        <v>34</v>
      </c>
      <c r="F371" s="7">
        <v>2</v>
      </c>
      <c r="G371" s="7">
        <v>8</v>
      </c>
      <c r="H371" s="31">
        <v>30</v>
      </c>
      <c r="I371" s="6"/>
      <c r="J371" s="6"/>
      <c r="K371" s="7"/>
      <c r="L371" s="6"/>
      <c r="M371" s="6"/>
      <c r="N371" s="23"/>
      <c r="O371" s="5"/>
      <c r="P371" s="6"/>
      <c r="Q371" s="6"/>
      <c r="R371" s="6"/>
      <c r="S371" s="6"/>
      <c r="T371" s="6"/>
      <c r="U371" s="6"/>
      <c r="V371" s="5"/>
      <c r="W371" s="6"/>
      <c r="X371" s="6">
        <f>E371*F371/100</f>
      </c>
      <c r="Y371" s="6">
        <f>E371*G371/100</f>
      </c>
      <c r="Z371" s="7">
        <f>E371*H371</f>
      </c>
      <c r="AA371" s="7">
        <f>E371*J371</f>
      </c>
      <c r="AB371" s="6">
        <f>E371*I371/100</f>
      </c>
      <c r="AC371" s="15">
        <f>X371+Y371+AB371</f>
      </c>
      <c r="AD371" s="6">
        <f>F371+G371+I371</f>
      </c>
      <c r="AE371" s="3"/>
      <c r="AF371" s="6">
        <f>SUM(AM371:BC371)</f>
      </c>
      <c r="AG371" s="5">
        <f>IF(SUM(AM371:AO371)&gt;0.7*AF371,1,0)</f>
      </c>
      <c r="AH371" s="5">
        <f>IF(AN371&gt;0.4*AF371,1,0)</f>
      </c>
      <c r="AI371" s="5">
        <f>IF(SUM(AP371:AQ371)&gt;0.3*AF371,1,0)</f>
      </c>
      <c r="AJ371" s="5">
        <f>IF(AQ371&gt;0.2*AF371,1,0)</f>
      </c>
      <c r="AK371" s="5">
        <f>IF(SUM(AR371:BC371)&gt;0.3*AF371,1,0)</f>
      </c>
      <c r="AL371" s="3"/>
      <c r="AM371" s="6">
        <f>(F371/100)*AM$41</f>
      </c>
      <c r="AN371" s="6">
        <f>(G371/100)*AN$41</f>
      </c>
      <c r="AO371" s="6">
        <f>(H371/1000000)*AO$41</f>
      </c>
      <c r="AP371" s="6">
        <f>(I371/100)*AP$41</f>
      </c>
      <c r="AQ371" s="6">
        <f>(J371/1000000)*AQ$41</f>
      </c>
      <c r="AR371" s="6">
        <f>(K371/100)*AR$41</f>
      </c>
      <c r="AS371" s="6">
        <f>(L371/100)*AS$41</f>
      </c>
      <c r="AT371" s="6">
        <f>(M371/100)*AT$41</f>
      </c>
      <c r="AU371" s="6">
        <f>(N371/100)*AU$41</f>
      </c>
      <c r="AV371" s="6">
        <f>(O371/1000000)*AV$41</f>
      </c>
      <c r="AW371" s="6">
        <f>(P371/100)*AW$41</f>
      </c>
      <c r="AX371" s="6">
        <f>(Q371/100)*AX$41</f>
      </c>
      <c r="AY371" s="6">
        <f>(R371/100)*AY$41</f>
      </c>
      <c r="AZ371" s="6">
        <f>(S371/100)*AZ$41</f>
      </c>
      <c r="BA371" s="6">
        <f>(T371/100)*BA$41</f>
      </c>
      <c r="BB371" s="6">
        <f>(U371/100)*BB$41</f>
      </c>
      <c r="BC371" s="6"/>
      <c r="BD371" s="3"/>
      <c r="BE371" s="3"/>
      <c r="BF371" s="7">
        <f>AF371*E371</f>
      </c>
      <c r="BG371" s="6"/>
      <c r="BH371" s="3"/>
      <c r="BI371" s="6"/>
    </row>
    <row x14ac:dyDescent="0.25" r="372" customHeight="1" ht="12.75">
      <c r="A372" s="5" t="s">
        <v>37</v>
      </c>
      <c r="B372" s="38" t="s">
        <v>859</v>
      </c>
      <c r="C372" s="43" t="s">
        <v>866</v>
      </c>
      <c r="D372" s="34" t="s">
        <v>988</v>
      </c>
      <c r="E372" s="6">
        <v>12.796391999999997</v>
      </c>
      <c r="F372" s="7">
        <v>11.209288593222217</v>
      </c>
      <c r="G372" s="7">
        <v>12.038461260017671</v>
      </c>
      <c r="H372" s="31">
        <v>128.67831363715646</v>
      </c>
      <c r="I372" s="6"/>
      <c r="J372" s="6"/>
      <c r="K372" s="7"/>
      <c r="L372" s="6"/>
      <c r="M372" s="6"/>
      <c r="N372" s="23"/>
      <c r="O372" s="5"/>
      <c r="P372" s="6"/>
      <c r="Q372" s="6"/>
      <c r="R372" s="6"/>
      <c r="S372" s="6"/>
      <c r="T372" s="6"/>
      <c r="U372" s="6"/>
      <c r="V372" s="5"/>
      <c r="W372" s="6"/>
      <c r="X372" s="6">
        <f>E372*F372/100</f>
      </c>
      <c r="Y372" s="6">
        <f>E372*G372/100</f>
      </c>
      <c r="Z372" s="7">
        <f>E372*H372</f>
      </c>
      <c r="AA372" s="7">
        <f>E372*J372</f>
      </c>
      <c r="AB372" s="6">
        <f>E372*I372/100</f>
      </c>
      <c r="AC372" s="15">
        <f>X372+Y372+AB372</f>
      </c>
      <c r="AD372" s="6">
        <f>F372+G372+I372</f>
      </c>
      <c r="AE372" s="3"/>
      <c r="AF372" s="6">
        <f>SUM(AM372:BC372)</f>
      </c>
      <c r="AG372" s="5">
        <f>IF(SUM(AM372:AO372)&gt;0.7*AF372,1,0)</f>
      </c>
      <c r="AH372" s="5">
        <f>IF(AN372&gt;0.4*AF372,1,0)</f>
      </c>
      <c r="AI372" s="5">
        <f>IF(SUM(AP372:AQ372)&gt;0.3*AF372,1,0)</f>
      </c>
      <c r="AJ372" s="5">
        <f>IF(AQ372&gt;0.2*AF372,1,0)</f>
      </c>
      <c r="AK372" s="5">
        <f>IF(SUM(AR372:BC372)&gt;0.3*AF372,1,0)</f>
      </c>
      <c r="AL372" s="3"/>
      <c r="AM372" s="6">
        <f>(F372/100)*AM$41</f>
      </c>
      <c r="AN372" s="6">
        <f>(G372/100)*AN$41</f>
      </c>
      <c r="AO372" s="6">
        <f>(H372/1000000)*AO$41</f>
      </c>
      <c r="AP372" s="6">
        <f>(I372/100)*AP$41</f>
      </c>
      <c r="AQ372" s="6">
        <f>(J372/1000000)*AQ$41</f>
      </c>
      <c r="AR372" s="6">
        <f>(K372/100)*AR$41</f>
      </c>
      <c r="AS372" s="6">
        <f>(L372/100)*AS$41</f>
      </c>
      <c r="AT372" s="6">
        <f>(M372/100)*AT$41</f>
      </c>
      <c r="AU372" s="6">
        <f>(N372/100)*AU$41</f>
      </c>
      <c r="AV372" s="6">
        <f>(O372/1000000)*AV$41</f>
      </c>
      <c r="AW372" s="6">
        <f>(P372/100)*AW$41</f>
      </c>
      <c r="AX372" s="6">
        <f>(Q372/100)*AX$41</f>
      </c>
      <c r="AY372" s="6">
        <f>(R372/100)*AY$41</f>
      </c>
      <c r="AZ372" s="6">
        <f>(S372/100)*AZ$41</f>
      </c>
      <c r="BA372" s="6">
        <f>(T372/100)*BA$41</f>
      </c>
      <c r="BB372" s="6">
        <f>(U372/100)*BB$41</f>
      </c>
      <c r="BC372" s="6"/>
      <c r="BD372" s="3"/>
      <c r="BE372" s="3"/>
      <c r="BF372" s="7">
        <f>AF372*E372</f>
      </c>
      <c r="BG372" s="6"/>
      <c r="BH372" s="3"/>
      <c r="BI372" s="6"/>
    </row>
    <row x14ac:dyDescent="0.25" r="373" customHeight="1" ht="12.75">
      <c r="A373" s="5" t="s">
        <v>205</v>
      </c>
      <c r="B373" s="38" t="s">
        <v>859</v>
      </c>
      <c r="C373" s="43" t="s">
        <v>866</v>
      </c>
      <c r="D373" s="34" t="s">
        <v>989</v>
      </c>
      <c r="E373" s="5">
        <v>50</v>
      </c>
      <c r="F373" s="6">
        <v>0.2</v>
      </c>
      <c r="G373" s="6">
        <v>4.7</v>
      </c>
      <c r="H373" s="7"/>
      <c r="I373" s="6"/>
      <c r="J373" s="6"/>
      <c r="K373" s="7"/>
      <c r="L373" s="6"/>
      <c r="M373" s="6"/>
      <c r="N373" s="23"/>
      <c r="O373" s="5"/>
      <c r="P373" s="6"/>
      <c r="Q373" s="6"/>
      <c r="R373" s="6"/>
      <c r="S373" s="6"/>
      <c r="T373" s="6"/>
      <c r="U373" s="6"/>
      <c r="V373" s="5"/>
      <c r="W373" s="6"/>
      <c r="X373" s="6">
        <f>E373*F373/100</f>
      </c>
      <c r="Y373" s="6">
        <f>E373*G373/100</f>
      </c>
      <c r="Z373" s="7">
        <f>E373*H373</f>
      </c>
      <c r="AA373" s="7">
        <f>E373*J373</f>
      </c>
      <c r="AB373" s="6">
        <f>E373*I373/100</f>
      </c>
      <c r="AC373" s="15">
        <f>X373+Y373+AB373</f>
      </c>
      <c r="AD373" s="6">
        <f>F373+G373+I373</f>
      </c>
      <c r="AE373" s="3"/>
      <c r="AF373" s="6">
        <f>SUM(AM373:BC373)</f>
      </c>
      <c r="AG373" s="5">
        <f>IF(SUM(AM373:AO373)&gt;0.7*AF373,1,0)</f>
      </c>
      <c r="AH373" s="5">
        <f>IF(AN373&gt;0.4*AF373,1,0)</f>
      </c>
      <c r="AI373" s="5">
        <f>IF(SUM(AP373:AQ373)&gt;0.3*AF373,1,0)</f>
      </c>
      <c r="AJ373" s="5">
        <f>IF(AQ373&gt;0.2*AF373,1,0)</f>
      </c>
      <c r="AK373" s="5">
        <f>IF(SUM(AR373:BC373)&gt;0.3*AF373,1,0)</f>
      </c>
      <c r="AL373" s="3"/>
      <c r="AM373" s="6">
        <f>(F373/100)*AM$41</f>
      </c>
      <c r="AN373" s="6">
        <f>(G373/100)*AN$41</f>
      </c>
      <c r="AO373" s="6">
        <f>(H373/1000000)*AO$41</f>
      </c>
      <c r="AP373" s="6">
        <f>(I373/100)*AP$41</f>
      </c>
      <c r="AQ373" s="6">
        <f>(J373/1000000)*AQ$41</f>
      </c>
      <c r="AR373" s="6">
        <f>(K373/100)*AR$41</f>
      </c>
      <c r="AS373" s="6">
        <f>(L373/100)*AS$41</f>
      </c>
      <c r="AT373" s="6">
        <f>(M373/100)*AT$41</f>
      </c>
      <c r="AU373" s="6">
        <f>(N373/100)*AU$41</f>
      </c>
      <c r="AV373" s="6">
        <f>(O373/1000000)*AV$41</f>
      </c>
      <c r="AW373" s="6">
        <f>(P373/100)*AW$41</f>
      </c>
      <c r="AX373" s="6">
        <f>(Q373/100)*AX$41</f>
      </c>
      <c r="AY373" s="6">
        <f>(R373/100)*AY$41</f>
      </c>
      <c r="AZ373" s="6">
        <f>(S373/100)*AZ$41</f>
      </c>
      <c r="BA373" s="6">
        <f>(T373/100)*BA$41</f>
      </c>
      <c r="BB373" s="6">
        <f>(U373/100)*BB$41</f>
      </c>
      <c r="BC373" s="6"/>
      <c r="BD373" s="3"/>
      <c r="BE373" s="3"/>
      <c r="BF373" s="7">
        <f>AF373*E373</f>
      </c>
      <c r="BG373" s="6"/>
      <c r="BH373" s="3"/>
      <c r="BI373" s="6"/>
    </row>
    <row x14ac:dyDescent="0.25" r="374" customHeight="1" ht="12.75">
      <c r="A374" s="5" t="s">
        <v>213</v>
      </c>
      <c r="B374" s="38" t="s">
        <v>859</v>
      </c>
      <c r="C374" s="43" t="s">
        <v>866</v>
      </c>
      <c r="D374" s="34" t="s">
        <v>989</v>
      </c>
      <c r="E374" s="6">
        <v>21.4</v>
      </c>
      <c r="F374" s="6">
        <v>2.1</v>
      </c>
      <c r="G374" s="6">
        <v>9.2</v>
      </c>
      <c r="H374" s="5">
        <v>31</v>
      </c>
      <c r="I374" s="6"/>
      <c r="J374" s="6"/>
      <c r="K374" s="7"/>
      <c r="L374" s="6"/>
      <c r="M374" s="6"/>
      <c r="N374" s="23"/>
      <c r="O374" s="5"/>
      <c r="P374" s="6"/>
      <c r="Q374" s="6"/>
      <c r="R374" s="6"/>
      <c r="S374" s="6"/>
      <c r="T374" s="6"/>
      <c r="U374" s="6"/>
      <c r="V374" s="5"/>
      <c r="W374" s="6"/>
      <c r="X374" s="6">
        <f>E374*F374/100</f>
      </c>
      <c r="Y374" s="6">
        <f>E374*G374/100</f>
      </c>
      <c r="Z374" s="7">
        <f>E374*H374</f>
      </c>
      <c r="AA374" s="7">
        <f>E374*J374</f>
      </c>
      <c r="AB374" s="6">
        <f>E374*I374/100</f>
      </c>
      <c r="AC374" s="15">
        <f>X374+Y374+AB374</f>
      </c>
      <c r="AD374" s="6">
        <f>F374+G374+I374</f>
      </c>
      <c r="AE374" s="3"/>
      <c r="AF374" s="6">
        <f>SUM(AM374:BC374)</f>
      </c>
      <c r="AG374" s="5">
        <f>IF(SUM(AM374:AO374)&gt;0.7*AF374,1,0)</f>
      </c>
      <c r="AH374" s="5">
        <f>IF(AN374&gt;0.4*AF374,1,0)</f>
      </c>
      <c r="AI374" s="5">
        <f>IF(SUM(AP374:AQ374)&gt;0.3*AF374,1,0)</f>
      </c>
      <c r="AJ374" s="5">
        <f>IF(AQ374&gt;0.2*AF374,1,0)</f>
      </c>
      <c r="AK374" s="5">
        <f>IF(SUM(AR374:BC374)&gt;0.3*AF374,1,0)</f>
      </c>
      <c r="AL374" s="3"/>
      <c r="AM374" s="6">
        <f>(F374/100)*AM$41</f>
      </c>
      <c r="AN374" s="6">
        <f>(G374/100)*AN$41</f>
      </c>
      <c r="AO374" s="6">
        <f>(H374/1000000)*AO$41</f>
      </c>
      <c r="AP374" s="6">
        <f>(I374/100)*AP$41</f>
      </c>
      <c r="AQ374" s="6">
        <f>(J374/1000000)*AQ$41</f>
      </c>
      <c r="AR374" s="6">
        <f>(K374/100)*AR$41</f>
      </c>
      <c r="AS374" s="6">
        <f>(L374/100)*AS$41</f>
      </c>
      <c r="AT374" s="6">
        <f>(M374/100)*AT$41</f>
      </c>
      <c r="AU374" s="6">
        <f>(N374/100)*AU$41</f>
      </c>
      <c r="AV374" s="6">
        <f>(O374/1000000)*AV$41</f>
      </c>
      <c r="AW374" s="6">
        <f>(P374/100)*AW$41</f>
      </c>
      <c r="AX374" s="6">
        <f>(Q374/100)*AX$41</f>
      </c>
      <c r="AY374" s="6">
        <f>(R374/100)*AY$41</f>
      </c>
      <c r="AZ374" s="6">
        <f>(S374/100)*AZ$41</f>
      </c>
      <c r="BA374" s="6">
        <f>(T374/100)*BA$41</f>
      </c>
      <c r="BB374" s="6">
        <f>(U374/100)*BB$41</f>
      </c>
      <c r="BC374" s="6"/>
      <c r="BD374" s="3"/>
      <c r="BE374" s="3"/>
      <c r="BF374" s="7">
        <f>AF374*E374</f>
      </c>
      <c r="BG374" s="6"/>
      <c r="BH374" s="3"/>
      <c r="BI374" s="6"/>
    </row>
    <row x14ac:dyDescent="0.25" r="375" customHeight="1" ht="12.75">
      <c r="A375" s="5" t="s">
        <v>219</v>
      </c>
      <c r="B375" s="38" t="s">
        <v>859</v>
      </c>
      <c r="C375" s="43" t="s">
        <v>866</v>
      </c>
      <c r="D375" s="34" t="s">
        <v>989</v>
      </c>
      <c r="E375" s="7">
        <v>25</v>
      </c>
      <c r="F375" s="6">
        <v>1.8</v>
      </c>
      <c r="G375" s="6">
        <v>7.7</v>
      </c>
      <c r="H375" s="7"/>
      <c r="I375" s="6"/>
      <c r="J375" s="6"/>
      <c r="K375" s="7"/>
      <c r="L375" s="6"/>
      <c r="M375" s="6"/>
      <c r="N375" s="23"/>
      <c r="O375" s="5"/>
      <c r="P375" s="6"/>
      <c r="Q375" s="6"/>
      <c r="R375" s="6"/>
      <c r="S375" s="6"/>
      <c r="T375" s="6"/>
      <c r="U375" s="6"/>
      <c r="V375" s="5"/>
      <c r="W375" s="6"/>
      <c r="X375" s="6">
        <f>E375*F375/100</f>
      </c>
      <c r="Y375" s="6">
        <f>E375*G375/100</f>
      </c>
      <c r="Z375" s="7">
        <f>E375*H375</f>
      </c>
      <c r="AA375" s="7">
        <f>E375*J375</f>
      </c>
      <c r="AB375" s="6">
        <f>E375*I375/100</f>
      </c>
      <c r="AC375" s="15">
        <f>X375+Y375+AB375</f>
      </c>
      <c r="AD375" s="6">
        <f>F375+G375+I375</f>
      </c>
      <c r="AE375" s="3"/>
      <c r="AF375" s="6">
        <f>SUM(AM375:BC375)</f>
      </c>
      <c r="AG375" s="5">
        <f>IF(SUM(AM375:AO375)&gt;0.7*AF375,1,0)</f>
      </c>
      <c r="AH375" s="5">
        <f>IF(AN375&gt;0.4*AF375,1,0)</f>
      </c>
      <c r="AI375" s="5">
        <f>IF(SUM(AP375:AQ375)&gt;0.3*AF375,1,0)</f>
      </c>
      <c r="AJ375" s="5">
        <f>IF(AQ375&gt;0.2*AF375,1,0)</f>
      </c>
      <c r="AK375" s="5">
        <f>IF(SUM(AR375:BC375)&gt;0.3*AF375,1,0)</f>
      </c>
      <c r="AL375" s="3"/>
      <c r="AM375" s="6">
        <f>(F375/100)*AM$41</f>
      </c>
      <c r="AN375" s="6">
        <f>(G375/100)*AN$41</f>
      </c>
      <c r="AO375" s="6">
        <f>(H375/1000000)*AO$41</f>
      </c>
      <c r="AP375" s="6">
        <f>(I375/100)*AP$41</f>
      </c>
      <c r="AQ375" s="6">
        <f>(J375/1000000)*AQ$41</f>
      </c>
      <c r="AR375" s="6">
        <f>(K375/100)*AR$41</f>
      </c>
      <c r="AS375" s="6">
        <f>(L375/100)*AS$41</f>
      </c>
      <c r="AT375" s="6">
        <f>(M375/100)*AT$41</f>
      </c>
      <c r="AU375" s="6">
        <f>(N375/100)*AU$41</f>
      </c>
      <c r="AV375" s="6">
        <f>(O375/1000000)*AV$41</f>
      </c>
      <c r="AW375" s="6">
        <f>(P375/100)*AW$41</f>
      </c>
      <c r="AX375" s="6">
        <f>(Q375/100)*AX$41</f>
      </c>
      <c r="AY375" s="6">
        <f>(R375/100)*AY$41</f>
      </c>
      <c r="AZ375" s="6">
        <f>(S375/100)*AZ$41</f>
      </c>
      <c r="BA375" s="6">
        <f>(T375/100)*BA$41</f>
      </c>
      <c r="BB375" s="6">
        <f>(U375/100)*BB$41</f>
      </c>
      <c r="BC375" s="6"/>
      <c r="BD375" s="3"/>
      <c r="BE375" s="3"/>
      <c r="BF375" s="7">
        <f>AF375*E375</f>
      </c>
      <c r="BG375" s="6"/>
      <c r="BH375" s="3"/>
      <c r="BI375" s="6"/>
    </row>
    <row x14ac:dyDescent="0.25" r="376" customHeight="1" ht="12.75">
      <c r="A376" s="5" t="s">
        <v>258</v>
      </c>
      <c r="B376" s="38" t="s">
        <v>859</v>
      </c>
      <c r="C376" s="43" t="s">
        <v>866</v>
      </c>
      <c r="D376" s="34"/>
      <c r="E376" s="5">
        <v>80</v>
      </c>
      <c r="F376" s="6"/>
      <c r="G376" s="6">
        <v>1.9</v>
      </c>
      <c r="H376" s="7"/>
      <c r="I376" s="6">
        <v>0.7</v>
      </c>
      <c r="J376" s="6"/>
      <c r="K376" s="7"/>
      <c r="L376" s="6"/>
      <c r="M376" s="6"/>
      <c r="N376" s="23"/>
      <c r="O376" s="5"/>
      <c r="P376" s="6"/>
      <c r="Q376" s="6"/>
      <c r="R376" s="6"/>
      <c r="S376" s="6"/>
      <c r="T376" s="6"/>
      <c r="U376" s="6"/>
      <c r="V376" s="5"/>
      <c r="W376" s="6"/>
      <c r="X376" s="6">
        <f>E376*F376/100</f>
      </c>
      <c r="Y376" s="6">
        <f>E376*G376/100</f>
      </c>
      <c r="Z376" s="7">
        <f>E376*H376</f>
      </c>
      <c r="AA376" s="7">
        <f>E376*J376</f>
      </c>
      <c r="AB376" s="6">
        <f>E376*I376/100</f>
      </c>
      <c r="AC376" s="15">
        <f>X376+Y376+AB376</f>
      </c>
      <c r="AD376" s="6">
        <f>F376+G376+I376</f>
      </c>
      <c r="AE376" s="3"/>
      <c r="AF376" s="6">
        <f>SUM(AM376:BC376)</f>
      </c>
      <c r="AG376" s="5">
        <f>IF(SUM(AM376:AO376)&gt;0.7*AF376,1,0)</f>
      </c>
      <c r="AH376" s="5">
        <f>IF(AN376&gt;0.4*AF376,1,0)</f>
      </c>
      <c r="AI376" s="5">
        <f>IF(SUM(AP376:AQ376)&gt;0.3*AF376,1,0)</f>
      </c>
      <c r="AJ376" s="5">
        <f>IF(AQ376&gt;0.2*AF376,1,0)</f>
      </c>
      <c r="AK376" s="5">
        <f>IF(SUM(AR376:BC376)&gt;0.3*AF376,1,0)</f>
      </c>
      <c r="AL376" s="3"/>
      <c r="AM376" s="6">
        <f>(F376/100)*AM$41</f>
      </c>
      <c r="AN376" s="6">
        <f>(G376/100)*AN$41</f>
      </c>
      <c r="AO376" s="6">
        <f>(H376/1000000)*AO$41</f>
      </c>
      <c r="AP376" s="6">
        <f>(I376/100)*AP$41</f>
      </c>
      <c r="AQ376" s="6">
        <f>(J376/1000000)*AQ$41</f>
      </c>
      <c r="AR376" s="6">
        <f>(K376/100)*AR$41</f>
      </c>
      <c r="AS376" s="6">
        <f>(L376/100)*AS$41</f>
      </c>
      <c r="AT376" s="6">
        <f>(M376/100)*AT$41</f>
      </c>
      <c r="AU376" s="6">
        <f>(N376/100)*AU$41</f>
      </c>
      <c r="AV376" s="6">
        <f>(O376/1000000)*AV$41</f>
      </c>
      <c r="AW376" s="6">
        <f>(P376/100)*AW$41</f>
      </c>
      <c r="AX376" s="6">
        <f>(Q376/100)*AX$41</f>
      </c>
      <c r="AY376" s="6">
        <f>(R376/100)*AY$41</f>
      </c>
      <c r="AZ376" s="6">
        <f>(S376/100)*AZ$41</f>
      </c>
      <c r="BA376" s="6">
        <f>(T376/100)*BA$41</f>
      </c>
      <c r="BB376" s="6">
        <f>(U376/100)*BB$41</f>
      </c>
      <c r="BC376" s="6"/>
      <c r="BD376" s="3"/>
      <c r="BE376" s="3"/>
      <c r="BF376" s="7">
        <f>AF376*E376</f>
      </c>
      <c r="BG376" s="6"/>
      <c r="BH376" s="3"/>
      <c r="BI376" s="6"/>
    </row>
    <row x14ac:dyDescent="0.25" r="377" customHeight="1" ht="12.75">
      <c r="A377" s="5" t="s">
        <v>274</v>
      </c>
      <c r="B377" s="38" t="s">
        <v>859</v>
      </c>
      <c r="C377" s="43" t="s">
        <v>866</v>
      </c>
      <c r="D377" s="34" t="s">
        <v>988</v>
      </c>
      <c r="E377" s="6">
        <v>17.5</v>
      </c>
      <c r="F377" s="6">
        <v>2.3</v>
      </c>
      <c r="G377" s="6">
        <v>8.6</v>
      </c>
      <c r="H377" s="7"/>
      <c r="I377" s="6"/>
      <c r="J377" s="6"/>
      <c r="K377" s="7"/>
      <c r="L377" s="6"/>
      <c r="M377" s="6"/>
      <c r="N377" s="23"/>
      <c r="O377" s="5"/>
      <c r="P377" s="6"/>
      <c r="Q377" s="6"/>
      <c r="R377" s="6"/>
      <c r="S377" s="6"/>
      <c r="T377" s="6"/>
      <c r="U377" s="6"/>
      <c r="V377" s="5"/>
      <c r="W377" s="6"/>
      <c r="X377" s="6">
        <f>E377*F377/100</f>
      </c>
      <c r="Y377" s="6">
        <f>E377*G377/100</f>
      </c>
      <c r="Z377" s="7">
        <f>E377*H377</f>
      </c>
      <c r="AA377" s="7">
        <f>E377*J377</f>
      </c>
      <c r="AB377" s="6">
        <f>E377*I377/100</f>
      </c>
      <c r="AC377" s="15">
        <f>X377+Y377+AB377</f>
      </c>
      <c r="AD377" s="6">
        <f>F377+G377+I377</f>
      </c>
      <c r="AE377" s="3"/>
      <c r="AF377" s="6">
        <f>SUM(AM377:BC377)</f>
      </c>
      <c r="AG377" s="5">
        <f>IF(SUM(AM377:AO377)&gt;0.7*AF377,1,0)</f>
      </c>
      <c r="AH377" s="5">
        <f>IF(AN377&gt;0.4*AF377,1,0)</f>
      </c>
      <c r="AI377" s="5">
        <f>IF(SUM(AP377:AQ377)&gt;0.3*AF377,1,0)</f>
      </c>
      <c r="AJ377" s="5">
        <f>IF(AQ377&gt;0.2*AF377,1,0)</f>
      </c>
      <c r="AK377" s="5">
        <f>IF(SUM(AR377:BC377)&gt;0.3*AF377,1,0)</f>
      </c>
      <c r="AL377" s="3"/>
      <c r="AM377" s="6">
        <f>(F377/100)*AM$41</f>
      </c>
      <c r="AN377" s="6">
        <f>(G377/100)*AN$41</f>
      </c>
      <c r="AO377" s="6">
        <f>(H377/1000000)*AO$41</f>
      </c>
      <c r="AP377" s="6">
        <f>(I377/100)*AP$41</f>
      </c>
      <c r="AQ377" s="6">
        <f>(J377/1000000)*AQ$41</f>
      </c>
      <c r="AR377" s="6">
        <f>(K377/100)*AR$41</f>
      </c>
      <c r="AS377" s="6">
        <f>(L377/100)*AS$41</f>
      </c>
      <c r="AT377" s="6">
        <f>(M377/100)*AT$41</f>
      </c>
      <c r="AU377" s="6">
        <f>(N377/100)*AU$41</f>
      </c>
      <c r="AV377" s="6">
        <f>(O377/1000000)*AV$41</f>
      </c>
      <c r="AW377" s="6">
        <f>(P377/100)*AW$41</f>
      </c>
      <c r="AX377" s="6">
        <f>(Q377/100)*AX$41</f>
      </c>
      <c r="AY377" s="6">
        <f>(R377/100)*AY$41</f>
      </c>
      <c r="AZ377" s="6">
        <f>(S377/100)*AZ$41</f>
      </c>
      <c r="BA377" s="6">
        <f>(T377/100)*BA$41</f>
      </c>
      <c r="BB377" s="6">
        <f>(U377/100)*BB$41</f>
      </c>
      <c r="BC377" s="6"/>
      <c r="BD377" s="3"/>
      <c r="BE377" s="3"/>
      <c r="BF377" s="7">
        <f>AF377*E377</f>
      </c>
      <c r="BG377" s="6"/>
      <c r="BH377" s="3"/>
      <c r="BI377" s="6"/>
    </row>
    <row x14ac:dyDescent="0.25" r="378" customHeight="1" ht="12.75">
      <c r="A378" s="5" t="s">
        <v>283</v>
      </c>
      <c r="B378" s="38" t="s">
        <v>859</v>
      </c>
      <c r="C378" s="43" t="s">
        <v>866</v>
      </c>
      <c r="D378" s="34" t="s">
        <v>989</v>
      </c>
      <c r="E378" s="5">
        <v>19</v>
      </c>
      <c r="F378" s="5">
        <v>2</v>
      </c>
      <c r="G378" s="5">
        <v>7</v>
      </c>
      <c r="H378" s="7"/>
      <c r="I378" s="6">
        <v>0.5</v>
      </c>
      <c r="J378" s="6"/>
      <c r="K378" s="7"/>
      <c r="L378" s="6"/>
      <c r="M378" s="6"/>
      <c r="N378" s="23"/>
      <c r="O378" s="5"/>
      <c r="P378" s="6"/>
      <c r="Q378" s="6"/>
      <c r="R378" s="6"/>
      <c r="S378" s="6"/>
      <c r="T378" s="6"/>
      <c r="U378" s="6"/>
      <c r="V378" s="5"/>
      <c r="W378" s="6"/>
      <c r="X378" s="6">
        <f>E378*F378/100</f>
      </c>
      <c r="Y378" s="6">
        <f>E378*G378/100</f>
      </c>
      <c r="Z378" s="7">
        <f>E378*H378</f>
      </c>
      <c r="AA378" s="7">
        <f>E378*J378</f>
      </c>
      <c r="AB378" s="6">
        <f>E378*I378/100</f>
      </c>
      <c r="AC378" s="15">
        <f>X378+Y378+AB378</f>
      </c>
      <c r="AD378" s="6">
        <f>F378+G378+I378</f>
      </c>
      <c r="AE378" s="3"/>
      <c r="AF378" s="6">
        <f>SUM(AM378:BC378)</f>
      </c>
      <c r="AG378" s="5">
        <f>IF(SUM(AM378:AO378)&gt;0.7*AF378,1,0)</f>
      </c>
      <c r="AH378" s="5">
        <f>IF(AN378&gt;0.4*AF378,1,0)</f>
      </c>
      <c r="AI378" s="5">
        <f>IF(SUM(AP378:AQ378)&gt;0.3*AF378,1,0)</f>
      </c>
      <c r="AJ378" s="5">
        <f>IF(AQ378&gt;0.2*AF378,1,0)</f>
      </c>
      <c r="AK378" s="5">
        <f>IF(SUM(AR378:BC378)&gt;0.3*AF378,1,0)</f>
      </c>
      <c r="AL378" s="3"/>
      <c r="AM378" s="6">
        <f>(F378/100)*AM$41</f>
      </c>
      <c r="AN378" s="6">
        <f>(G378/100)*AN$41</f>
      </c>
      <c r="AO378" s="6">
        <f>(H378/1000000)*AO$41</f>
      </c>
      <c r="AP378" s="6">
        <f>(I378/100)*AP$41</f>
      </c>
      <c r="AQ378" s="6">
        <f>(J378/1000000)*AQ$41</f>
      </c>
      <c r="AR378" s="6">
        <f>(K378/100)*AR$41</f>
      </c>
      <c r="AS378" s="6">
        <f>(L378/100)*AS$41</f>
      </c>
      <c r="AT378" s="6">
        <f>(M378/100)*AT$41</f>
      </c>
      <c r="AU378" s="6">
        <f>(N378/100)*AU$41</f>
      </c>
      <c r="AV378" s="6">
        <f>(O378/1000000)*AV$41</f>
      </c>
      <c r="AW378" s="6">
        <f>(P378/100)*AW$41</f>
      </c>
      <c r="AX378" s="6">
        <f>(Q378/100)*AX$41</f>
      </c>
      <c r="AY378" s="6">
        <f>(R378/100)*AY$41</f>
      </c>
      <c r="AZ378" s="6">
        <f>(S378/100)*AZ$41</f>
      </c>
      <c r="BA378" s="6">
        <f>(T378/100)*BA$41</f>
      </c>
      <c r="BB378" s="6">
        <f>(U378/100)*BB$41</f>
      </c>
      <c r="BC378" s="6"/>
      <c r="BD378" s="3"/>
      <c r="BE378" s="3"/>
      <c r="BF378" s="7">
        <f>AF378*E378</f>
      </c>
      <c r="BG378" s="6"/>
      <c r="BH378" s="3"/>
      <c r="BI378" s="6"/>
    </row>
    <row x14ac:dyDescent="0.25" r="379" customHeight="1" ht="12.75">
      <c r="A379" s="5" t="s">
        <v>173</v>
      </c>
      <c r="B379" s="38" t="s">
        <v>859</v>
      </c>
      <c r="C379" s="43" t="s">
        <v>866</v>
      </c>
      <c r="D379" s="34" t="s">
        <v>988</v>
      </c>
      <c r="E379" s="6">
        <v>13.5</v>
      </c>
      <c r="F379" s="5">
        <v>2</v>
      </c>
      <c r="G379" s="5">
        <v>11</v>
      </c>
      <c r="H379" s="7"/>
      <c r="I379" s="6"/>
      <c r="J379" s="6"/>
      <c r="K379" s="7"/>
      <c r="L379" s="6"/>
      <c r="M379" s="6"/>
      <c r="N379" s="23"/>
      <c r="O379" s="5"/>
      <c r="P379" s="6"/>
      <c r="Q379" s="6"/>
      <c r="R379" s="6"/>
      <c r="S379" s="6"/>
      <c r="T379" s="6"/>
      <c r="U379" s="6"/>
      <c r="V379" s="5"/>
      <c r="W379" s="6"/>
      <c r="X379" s="6">
        <f>E379*F379/100</f>
      </c>
      <c r="Y379" s="6">
        <f>E379*G379/100</f>
      </c>
      <c r="Z379" s="7">
        <f>E379*H379</f>
      </c>
      <c r="AA379" s="7">
        <f>E379*J379</f>
      </c>
      <c r="AB379" s="6">
        <f>E379*I379/100</f>
      </c>
      <c r="AC379" s="15">
        <f>X379+Y379+AB379</f>
      </c>
      <c r="AD379" s="6">
        <f>F379+G379+I379</f>
      </c>
      <c r="AE379" s="3"/>
      <c r="AF379" s="6">
        <f>SUM(AM379:BC379)</f>
      </c>
      <c r="AG379" s="5">
        <f>IF(SUM(AM379:AO379)&gt;0.7*AF379,1,0)</f>
      </c>
      <c r="AH379" s="5">
        <f>IF(AN379&gt;0.4*AF379,1,0)</f>
      </c>
      <c r="AI379" s="5">
        <f>IF(SUM(AP379:AQ379)&gt;0.3*AF379,1,0)</f>
      </c>
      <c r="AJ379" s="5">
        <f>IF(AQ379&gt;0.2*AF379,1,0)</f>
      </c>
      <c r="AK379" s="5">
        <f>IF(SUM(AR379:BC379)&gt;0.3*AF379,1,0)</f>
      </c>
      <c r="AL379" s="3"/>
      <c r="AM379" s="6">
        <f>(F379/100)*AM$41</f>
      </c>
      <c r="AN379" s="6">
        <f>(G379/100)*AN$41</f>
      </c>
      <c r="AO379" s="6">
        <f>(H379/1000000)*AO$41</f>
      </c>
      <c r="AP379" s="6">
        <f>(I379/100)*AP$41</f>
      </c>
      <c r="AQ379" s="6">
        <f>(J379/1000000)*AQ$41</f>
      </c>
      <c r="AR379" s="6">
        <f>(K379/100)*AR$41</f>
      </c>
      <c r="AS379" s="6">
        <f>(L379/100)*AS$41</f>
      </c>
      <c r="AT379" s="6">
        <f>(M379/100)*AT$41</f>
      </c>
      <c r="AU379" s="6">
        <f>(N379/100)*AU$41</f>
      </c>
      <c r="AV379" s="6">
        <f>(O379/1000000)*AV$41</f>
      </c>
      <c r="AW379" s="6">
        <f>(P379/100)*AW$41</f>
      </c>
      <c r="AX379" s="6">
        <f>(Q379/100)*AX$41</f>
      </c>
      <c r="AY379" s="6">
        <f>(R379/100)*AY$41</f>
      </c>
      <c r="AZ379" s="6">
        <f>(S379/100)*AZ$41</f>
      </c>
      <c r="BA379" s="6">
        <f>(T379/100)*BA$41</f>
      </c>
      <c r="BB379" s="6">
        <f>(U379/100)*BB$41</f>
      </c>
      <c r="BC379" s="6"/>
      <c r="BD379" s="3"/>
      <c r="BE379" s="3"/>
      <c r="BF379" s="7">
        <f>AF379*E379</f>
      </c>
      <c r="BG379" s="6"/>
      <c r="BH379" s="3"/>
      <c r="BI379" s="6"/>
    </row>
    <row x14ac:dyDescent="0.25" r="380" customHeight="1" ht="12.75">
      <c r="A380" s="5" t="s">
        <v>324</v>
      </c>
      <c r="B380" s="38" t="s">
        <v>859</v>
      </c>
      <c r="C380" s="43" t="s">
        <v>866</v>
      </c>
      <c r="D380" s="34"/>
      <c r="E380" s="5">
        <v>20</v>
      </c>
      <c r="F380" s="5">
        <v>2</v>
      </c>
      <c r="G380" s="5">
        <v>5</v>
      </c>
      <c r="H380" s="7"/>
      <c r="I380" s="6">
        <v>0.5</v>
      </c>
      <c r="J380" s="6"/>
      <c r="K380" s="7"/>
      <c r="L380" s="6"/>
      <c r="M380" s="6"/>
      <c r="N380" s="23"/>
      <c r="O380" s="5"/>
      <c r="P380" s="6"/>
      <c r="Q380" s="6"/>
      <c r="R380" s="6"/>
      <c r="S380" s="6"/>
      <c r="T380" s="6"/>
      <c r="U380" s="6"/>
      <c r="V380" s="5"/>
      <c r="W380" s="6"/>
      <c r="X380" s="6">
        <f>E380*F380/100</f>
      </c>
      <c r="Y380" s="6">
        <f>E380*G380/100</f>
      </c>
      <c r="Z380" s="7">
        <f>E380*H380</f>
      </c>
      <c r="AA380" s="7">
        <f>E380*J380</f>
      </c>
      <c r="AB380" s="6">
        <f>E380*I380/100</f>
      </c>
      <c r="AC380" s="15">
        <f>X380+Y380+AB380</f>
      </c>
      <c r="AD380" s="6">
        <f>F380+G380+I380</f>
      </c>
      <c r="AE380" s="3"/>
      <c r="AF380" s="6">
        <f>SUM(AM380:BC380)</f>
      </c>
      <c r="AG380" s="5">
        <f>IF(SUM(AM380:AO380)&gt;0.7*AF380,1,0)</f>
      </c>
      <c r="AH380" s="5">
        <f>IF(AN380&gt;0.4*AF380,1,0)</f>
      </c>
      <c r="AI380" s="5">
        <f>IF(SUM(AP380:AQ380)&gt;0.3*AF380,1,0)</f>
      </c>
      <c r="AJ380" s="5">
        <f>IF(AQ380&gt;0.2*AF380,1,0)</f>
      </c>
      <c r="AK380" s="5">
        <f>IF(SUM(AR380:BC380)&gt;0.3*AF380,1,0)</f>
      </c>
      <c r="AL380" s="3"/>
      <c r="AM380" s="6">
        <f>(F380/100)*AM$41</f>
      </c>
      <c r="AN380" s="6">
        <f>(G380/100)*AN$41</f>
      </c>
      <c r="AO380" s="6">
        <f>(H380/1000000)*AO$41</f>
      </c>
      <c r="AP380" s="6">
        <f>(I380/100)*AP$41</f>
      </c>
      <c r="AQ380" s="6">
        <f>(J380/1000000)*AQ$41</f>
      </c>
      <c r="AR380" s="6">
        <f>(K380/100)*AR$41</f>
      </c>
      <c r="AS380" s="6">
        <f>(L380/100)*AS$41</f>
      </c>
      <c r="AT380" s="6">
        <f>(M380/100)*AT$41</f>
      </c>
      <c r="AU380" s="6">
        <f>(N380/100)*AU$41</f>
      </c>
      <c r="AV380" s="6">
        <f>(O380/1000000)*AV$41</f>
      </c>
      <c r="AW380" s="6">
        <f>(P380/100)*AW$41</f>
      </c>
      <c r="AX380" s="6">
        <f>(Q380/100)*AX$41</f>
      </c>
      <c r="AY380" s="6">
        <f>(R380/100)*AY$41</f>
      </c>
      <c r="AZ380" s="6">
        <f>(S380/100)*AZ$41</f>
      </c>
      <c r="BA380" s="6">
        <f>(T380/100)*BA$41</f>
      </c>
      <c r="BB380" s="6">
        <f>(U380/100)*BB$41</f>
      </c>
      <c r="BC380" s="6"/>
      <c r="BD380" s="3"/>
      <c r="BE380" s="3"/>
      <c r="BF380" s="7">
        <f>AF380*E380</f>
      </c>
      <c r="BG380" s="6"/>
      <c r="BH380" s="3"/>
      <c r="BI380" s="6"/>
    </row>
    <row x14ac:dyDescent="0.25" r="381" customHeight="1" ht="12.75">
      <c r="A381" s="5" t="s">
        <v>289</v>
      </c>
      <c r="B381" s="38" t="s">
        <v>859</v>
      </c>
      <c r="C381" s="43" t="s">
        <v>866</v>
      </c>
      <c r="D381" s="34" t="s">
        <v>989</v>
      </c>
      <c r="E381" s="5">
        <v>50</v>
      </c>
      <c r="F381" s="6"/>
      <c r="G381" s="6">
        <v>3.4</v>
      </c>
      <c r="H381" s="7"/>
      <c r="I381" s="6"/>
      <c r="J381" s="6"/>
      <c r="K381" s="7"/>
      <c r="L381" s="6"/>
      <c r="M381" s="6"/>
      <c r="N381" s="23"/>
      <c r="O381" s="5"/>
      <c r="P381" s="6"/>
      <c r="Q381" s="6"/>
      <c r="R381" s="6"/>
      <c r="S381" s="6"/>
      <c r="T381" s="6"/>
      <c r="U381" s="6"/>
      <c r="V381" s="5"/>
      <c r="W381" s="6"/>
      <c r="X381" s="6">
        <f>E381*F381/100</f>
      </c>
      <c r="Y381" s="6">
        <f>E381*G381/100</f>
      </c>
      <c r="Z381" s="7">
        <f>E381*H381</f>
      </c>
      <c r="AA381" s="7">
        <f>E381*J381</f>
      </c>
      <c r="AB381" s="6">
        <f>E381*I381/100</f>
      </c>
      <c r="AC381" s="15">
        <f>X381+Y381+AB381</f>
      </c>
      <c r="AD381" s="6">
        <f>F381+G381+I381</f>
      </c>
      <c r="AE381" s="3"/>
      <c r="AF381" s="6">
        <f>SUM(AM381:BC381)</f>
      </c>
      <c r="AG381" s="5">
        <f>IF(SUM(AM381:AO381)&gt;0.7*AF381,1,0)</f>
      </c>
      <c r="AH381" s="5">
        <f>IF(AN381&gt;0.4*AF381,1,0)</f>
      </c>
      <c r="AI381" s="5">
        <f>IF(SUM(AP381:AQ381)&gt;0.3*AF381,1,0)</f>
      </c>
      <c r="AJ381" s="5">
        <f>IF(AQ381&gt;0.2*AF381,1,0)</f>
      </c>
      <c r="AK381" s="5">
        <f>IF(SUM(AR381:BC381)&gt;0.3*AF381,1,0)</f>
      </c>
      <c r="AL381" s="3"/>
      <c r="AM381" s="6">
        <f>(F381/100)*AM$41</f>
      </c>
      <c r="AN381" s="6">
        <f>(G381/100)*AN$41</f>
      </c>
      <c r="AO381" s="6">
        <f>(H381/1000000)*AO$41</f>
      </c>
      <c r="AP381" s="6">
        <f>(I381/100)*AP$41</f>
      </c>
      <c r="AQ381" s="6">
        <f>(J381/1000000)*AQ$41</f>
      </c>
      <c r="AR381" s="6">
        <f>(K381/100)*AR$41</f>
      </c>
      <c r="AS381" s="6">
        <f>(L381/100)*AS$41</f>
      </c>
      <c r="AT381" s="6">
        <f>(M381/100)*AT$41</f>
      </c>
      <c r="AU381" s="6">
        <f>(N381/100)*AU$41</f>
      </c>
      <c r="AV381" s="6">
        <f>(O381/1000000)*AV$41</f>
      </c>
      <c r="AW381" s="6">
        <f>(P381/100)*AW$41</f>
      </c>
      <c r="AX381" s="6">
        <f>(Q381/100)*AX$41</f>
      </c>
      <c r="AY381" s="6">
        <f>(R381/100)*AY$41</f>
      </c>
      <c r="AZ381" s="6">
        <f>(S381/100)*AZ$41</f>
      </c>
      <c r="BA381" s="6">
        <f>(T381/100)*BA$41</f>
      </c>
      <c r="BB381" s="6">
        <f>(U381/100)*BB$41</f>
      </c>
      <c r="BC381" s="6"/>
      <c r="BD381" s="3"/>
      <c r="BE381" s="3"/>
      <c r="BF381" s="7">
        <f>AF381*E381</f>
      </c>
      <c r="BG381" s="6"/>
      <c r="BH381" s="3"/>
      <c r="BI381" s="6"/>
    </row>
    <row x14ac:dyDescent="0.25" r="382" customHeight="1" ht="12.75">
      <c r="A382" s="5" t="s">
        <v>355</v>
      </c>
      <c r="B382" s="38" t="s">
        <v>859</v>
      </c>
      <c r="C382" s="43" t="s">
        <v>866</v>
      </c>
      <c r="D382" s="34" t="s">
        <v>988</v>
      </c>
      <c r="E382" s="6">
        <v>14.8</v>
      </c>
      <c r="F382" s="6">
        <v>0.24</v>
      </c>
      <c r="G382" s="6">
        <v>0.51</v>
      </c>
      <c r="H382" s="7"/>
      <c r="I382" s="6">
        <v>4.39</v>
      </c>
      <c r="J382" s="6"/>
      <c r="K382" s="7"/>
      <c r="L382" s="6"/>
      <c r="M382" s="6"/>
      <c r="N382" s="23"/>
      <c r="O382" s="5"/>
      <c r="P382" s="6"/>
      <c r="Q382" s="6"/>
      <c r="R382" s="6"/>
      <c r="S382" s="6"/>
      <c r="T382" s="6"/>
      <c r="U382" s="6"/>
      <c r="V382" s="5"/>
      <c r="W382" s="6"/>
      <c r="X382" s="6">
        <f>E382*F382/100</f>
      </c>
      <c r="Y382" s="6">
        <f>E382*G382/100</f>
      </c>
      <c r="Z382" s="7">
        <f>E382*H382</f>
      </c>
      <c r="AA382" s="7">
        <f>E382*J382</f>
      </c>
      <c r="AB382" s="6">
        <f>E382*I382/100</f>
      </c>
      <c r="AC382" s="15">
        <f>X382+Y382+AB382</f>
      </c>
      <c r="AD382" s="6">
        <f>F382+G382+I382</f>
      </c>
      <c r="AE382" s="3"/>
      <c r="AF382" s="6">
        <f>SUM(AM382:BC382)</f>
      </c>
      <c r="AG382" s="5">
        <f>IF(SUM(AM382:AO382)&gt;0.7*AF382,1,0)</f>
      </c>
      <c r="AH382" s="5">
        <f>IF(AN382&gt;0.4*AF382,1,0)</f>
      </c>
      <c r="AI382" s="5">
        <f>IF(SUM(AP382:AQ382)&gt;0.3*AF382,1,0)</f>
      </c>
      <c r="AJ382" s="5">
        <f>IF(AQ382&gt;0.2*AF382,1,0)</f>
      </c>
      <c r="AK382" s="5">
        <f>IF(SUM(AR382:BC382)&gt;0.3*AF382,1,0)</f>
      </c>
      <c r="AL382" s="3"/>
      <c r="AM382" s="6">
        <f>(F382/100)*AM$41</f>
      </c>
      <c r="AN382" s="6">
        <f>(G382/100)*AN$41</f>
      </c>
      <c r="AO382" s="6">
        <f>(H382/1000000)*AO$41</f>
      </c>
      <c r="AP382" s="6">
        <f>(I382/100)*AP$41</f>
      </c>
      <c r="AQ382" s="6">
        <f>(J382/1000000)*AQ$41</f>
      </c>
      <c r="AR382" s="6">
        <f>(K382/100)*AR$41</f>
      </c>
      <c r="AS382" s="6">
        <f>(L382/100)*AS$41</f>
      </c>
      <c r="AT382" s="6">
        <f>(M382/100)*AT$41</f>
      </c>
      <c r="AU382" s="6">
        <f>(N382/100)*AU$41</f>
      </c>
      <c r="AV382" s="6">
        <f>(O382/1000000)*AV$41</f>
      </c>
      <c r="AW382" s="6">
        <f>(P382/100)*AW$41</f>
      </c>
      <c r="AX382" s="6">
        <f>(Q382/100)*AX$41</f>
      </c>
      <c r="AY382" s="6">
        <f>(R382/100)*AY$41</f>
      </c>
      <c r="AZ382" s="6">
        <f>(S382/100)*AZ$41</f>
      </c>
      <c r="BA382" s="6">
        <f>(T382/100)*BA$41</f>
      </c>
      <c r="BB382" s="6">
        <f>(U382/100)*BB$41</f>
      </c>
      <c r="BC382" s="6"/>
      <c r="BD382" s="3"/>
      <c r="BE382" s="3"/>
      <c r="BF382" s="7">
        <f>AF382*E382</f>
      </c>
      <c r="BG382" s="6"/>
      <c r="BH382" s="3"/>
      <c r="BI382" s="6"/>
    </row>
    <row x14ac:dyDescent="0.25" r="383" customHeight="1" ht="12.75">
      <c r="A383" s="5" t="s">
        <v>206</v>
      </c>
      <c r="B383" s="38" t="s">
        <v>859</v>
      </c>
      <c r="C383" s="43" t="s">
        <v>866</v>
      </c>
      <c r="D383" s="34" t="s">
        <v>989</v>
      </c>
      <c r="E383" s="6">
        <v>1.5</v>
      </c>
      <c r="F383" s="6">
        <v>1.3</v>
      </c>
      <c r="G383" s="5">
        <v>11</v>
      </c>
      <c r="H383" s="7"/>
      <c r="I383" s="6"/>
      <c r="J383" s="6"/>
      <c r="K383" s="7"/>
      <c r="L383" s="6"/>
      <c r="M383" s="6"/>
      <c r="N383" s="23"/>
      <c r="O383" s="5"/>
      <c r="P383" s="6"/>
      <c r="Q383" s="6"/>
      <c r="R383" s="6"/>
      <c r="S383" s="6"/>
      <c r="T383" s="6"/>
      <c r="U383" s="6"/>
      <c r="V383" s="5"/>
      <c r="W383" s="6"/>
      <c r="X383" s="6">
        <f>E383*F383/100</f>
      </c>
      <c r="Y383" s="6">
        <f>E383*G383/100</f>
      </c>
      <c r="Z383" s="7">
        <f>E383*H383</f>
      </c>
      <c r="AA383" s="7">
        <f>E383*J383</f>
      </c>
      <c r="AB383" s="6">
        <f>E383*I383/100</f>
      </c>
      <c r="AC383" s="15">
        <f>X383+Y383+AB383</f>
      </c>
      <c r="AD383" s="6">
        <f>F383+G383+I383</f>
      </c>
      <c r="AE383" s="3"/>
      <c r="AF383" s="6">
        <f>SUM(AM383:BC383)</f>
      </c>
      <c r="AG383" s="5">
        <f>IF(SUM(AM383:AO383)&gt;0.7*AF383,1,0)</f>
      </c>
      <c r="AH383" s="5">
        <f>IF(AN383&gt;0.4*AF383,1,0)</f>
      </c>
      <c r="AI383" s="5">
        <f>IF(SUM(AP383:AQ383)&gt;0.3*AF383,1,0)</f>
      </c>
      <c r="AJ383" s="5">
        <f>IF(AQ383&gt;0.2*AF383,1,0)</f>
      </c>
      <c r="AK383" s="5">
        <f>IF(SUM(AR383:BC383)&gt;0.3*AF383,1,0)</f>
      </c>
      <c r="AL383" s="3"/>
      <c r="AM383" s="6">
        <f>(F383/100)*AM$41</f>
      </c>
      <c r="AN383" s="6">
        <f>(G383/100)*AN$41</f>
      </c>
      <c r="AO383" s="6">
        <f>(H383/1000000)*AO$41</f>
      </c>
      <c r="AP383" s="6">
        <f>(I383/100)*AP$41</f>
      </c>
      <c r="AQ383" s="6">
        <f>(J383/1000000)*AQ$41</f>
      </c>
      <c r="AR383" s="6">
        <f>(K383/100)*AR$41</f>
      </c>
      <c r="AS383" s="6">
        <f>(L383/100)*AS$41</f>
      </c>
      <c r="AT383" s="6">
        <f>(M383/100)*AT$41</f>
      </c>
      <c r="AU383" s="6">
        <f>(N383/100)*AU$41</f>
      </c>
      <c r="AV383" s="6">
        <f>(O383/1000000)*AV$41</f>
      </c>
      <c r="AW383" s="6">
        <f>(P383/100)*AW$41</f>
      </c>
      <c r="AX383" s="6">
        <f>(Q383/100)*AX$41</f>
      </c>
      <c r="AY383" s="6">
        <f>(R383/100)*AY$41</f>
      </c>
      <c r="AZ383" s="6">
        <f>(S383/100)*AZ$41</f>
      </c>
      <c r="BA383" s="6">
        <f>(T383/100)*BA$41</f>
      </c>
      <c r="BB383" s="6">
        <f>(U383/100)*BB$41</f>
      </c>
      <c r="BC383" s="6"/>
      <c r="BD383" s="3"/>
      <c r="BE383" s="3"/>
      <c r="BF383" s="7">
        <f>AF383*E383</f>
      </c>
      <c r="BG383" s="6"/>
      <c r="BH383" s="3"/>
      <c r="BI383" s="6"/>
    </row>
    <row x14ac:dyDescent="0.25" r="384" customHeight="1" ht="12.75">
      <c r="A384" s="5" t="s">
        <v>533</v>
      </c>
      <c r="B384" s="38" t="s">
        <v>859</v>
      </c>
      <c r="C384" s="43" t="s">
        <v>866</v>
      </c>
      <c r="D384" s="34" t="s">
        <v>988</v>
      </c>
      <c r="E384" s="6">
        <v>1.7</v>
      </c>
      <c r="F384" s="6">
        <v>0.96</v>
      </c>
      <c r="G384" s="6">
        <v>4.97</v>
      </c>
      <c r="H384" s="5">
        <v>53</v>
      </c>
      <c r="I384" s="6">
        <v>1.33</v>
      </c>
      <c r="J384" s="6"/>
      <c r="K384" s="7"/>
      <c r="L384" s="6"/>
      <c r="M384" s="6"/>
      <c r="N384" s="23"/>
      <c r="O384" s="5"/>
      <c r="P384" s="6"/>
      <c r="Q384" s="6"/>
      <c r="R384" s="6"/>
      <c r="S384" s="6"/>
      <c r="T384" s="6"/>
      <c r="U384" s="6"/>
      <c r="V384" s="5"/>
      <c r="W384" s="6"/>
      <c r="X384" s="6">
        <f>E384*F384/100</f>
      </c>
      <c r="Y384" s="6">
        <f>E384*G384/100</f>
      </c>
      <c r="Z384" s="7">
        <f>E384*H384</f>
      </c>
      <c r="AA384" s="7">
        <f>E384*J384</f>
      </c>
      <c r="AB384" s="6">
        <f>E384*I384/100</f>
      </c>
      <c r="AC384" s="15">
        <f>X384+Y384+AB384</f>
      </c>
      <c r="AD384" s="6">
        <f>F384+G384+I384</f>
      </c>
      <c r="AE384" s="3"/>
      <c r="AF384" s="6">
        <f>SUM(AM384:BC384)</f>
      </c>
      <c r="AG384" s="5">
        <f>IF(SUM(AM384:AO384)&gt;0.7*AF384,1,0)</f>
      </c>
      <c r="AH384" s="5">
        <f>IF(AN384&gt;0.4*AF384,1,0)</f>
      </c>
      <c r="AI384" s="5">
        <f>IF(SUM(AP384:AQ384)&gt;0.3*AF384,1,0)</f>
      </c>
      <c r="AJ384" s="5">
        <f>IF(AQ384&gt;0.2*AF384,1,0)</f>
      </c>
      <c r="AK384" s="5">
        <f>IF(SUM(AR384:BC384)&gt;0.3*AF384,1,0)</f>
      </c>
      <c r="AL384" s="3"/>
      <c r="AM384" s="6">
        <f>(F384/100)*AM$41</f>
      </c>
      <c r="AN384" s="6">
        <f>(G384/100)*AN$41</f>
      </c>
      <c r="AO384" s="6">
        <f>(H384/1000000)*AO$41</f>
      </c>
      <c r="AP384" s="6">
        <f>(I384/100)*AP$41</f>
      </c>
      <c r="AQ384" s="6">
        <f>(J384/1000000)*AQ$41</f>
      </c>
      <c r="AR384" s="6">
        <f>(K384/100)*AR$41</f>
      </c>
      <c r="AS384" s="6">
        <f>(L384/100)*AS$41</f>
      </c>
      <c r="AT384" s="6">
        <f>(M384/100)*AT$41</f>
      </c>
      <c r="AU384" s="6">
        <f>(N384/100)*AU$41</f>
      </c>
      <c r="AV384" s="6">
        <f>(O384/1000000)*AV$41</f>
      </c>
      <c r="AW384" s="6">
        <f>(P384/100)*AW$41</f>
      </c>
      <c r="AX384" s="6">
        <f>(Q384/100)*AX$41</f>
      </c>
      <c r="AY384" s="6">
        <f>(R384/100)*AY$41</f>
      </c>
      <c r="AZ384" s="6">
        <f>(S384/100)*AZ$41</f>
      </c>
      <c r="BA384" s="6">
        <f>(T384/100)*BA$41</f>
      </c>
      <c r="BB384" s="6">
        <f>(U384/100)*BB$41</f>
      </c>
      <c r="BC384" s="6"/>
      <c r="BD384" s="3"/>
      <c r="BE384" s="3"/>
      <c r="BF384" s="7">
        <f>AF384*E384</f>
      </c>
      <c r="BG384" s="6"/>
      <c r="BH384" s="3"/>
      <c r="BI384" s="6"/>
    </row>
    <row x14ac:dyDescent="0.25" r="385" customHeight="1" ht="12.75">
      <c r="A385" s="5" t="s">
        <v>551</v>
      </c>
      <c r="B385" s="38" t="s">
        <v>859</v>
      </c>
      <c r="C385" s="43" t="s">
        <v>866</v>
      </c>
      <c r="D385" s="34" t="s">
        <v>988</v>
      </c>
      <c r="E385" s="5">
        <v>4</v>
      </c>
      <c r="F385" s="6">
        <v>3.5</v>
      </c>
      <c r="G385" s="6">
        <v>3.5</v>
      </c>
      <c r="H385" s="7"/>
      <c r="I385" s="6"/>
      <c r="J385" s="6"/>
      <c r="K385" s="7"/>
      <c r="L385" s="6"/>
      <c r="M385" s="6"/>
      <c r="N385" s="23"/>
      <c r="O385" s="5"/>
      <c r="P385" s="6"/>
      <c r="Q385" s="6"/>
      <c r="R385" s="6"/>
      <c r="S385" s="6"/>
      <c r="T385" s="6"/>
      <c r="U385" s="6"/>
      <c r="V385" s="5"/>
      <c r="W385" s="6"/>
      <c r="X385" s="6">
        <f>E385*F385/100</f>
      </c>
      <c r="Y385" s="6">
        <f>E385*G385/100</f>
      </c>
      <c r="Z385" s="7">
        <f>E385*H385</f>
      </c>
      <c r="AA385" s="7">
        <f>E385*J385</f>
      </c>
      <c r="AB385" s="6">
        <f>E385*I385/100</f>
      </c>
      <c r="AC385" s="15">
        <f>X385+Y385+AB385</f>
      </c>
      <c r="AD385" s="6">
        <f>F385+G385+I385</f>
      </c>
      <c r="AE385" s="3"/>
      <c r="AF385" s="6">
        <f>SUM(AM385:BC385)</f>
      </c>
      <c r="AG385" s="5">
        <f>IF(SUM(AM385:AO385)&gt;0.7*AF385,1,0)</f>
      </c>
      <c r="AH385" s="5">
        <f>IF(AN385&gt;0.4*AF385,1,0)</f>
      </c>
      <c r="AI385" s="5">
        <f>IF(SUM(AP385:AQ385)&gt;0.3*AF385,1,0)</f>
      </c>
      <c r="AJ385" s="5">
        <f>IF(AQ385&gt;0.2*AF385,1,0)</f>
      </c>
      <c r="AK385" s="5">
        <f>IF(SUM(AR385:BC385)&gt;0.3*AF385,1,0)</f>
      </c>
      <c r="AL385" s="3"/>
      <c r="AM385" s="6">
        <f>(F385/100)*AM$41</f>
      </c>
      <c r="AN385" s="6">
        <f>(G385/100)*AN$41</f>
      </c>
      <c r="AO385" s="6">
        <f>(H385/1000000)*AO$41</f>
      </c>
      <c r="AP385" s="6">
        <f>(I385/100)*AP$41</f>
      </c>
      <c r="AQ385" s="6">
        <f>(J385/1000000)*AQ$41</f>
      </c>
      <c r="AR385" s="6">
        <f>(K385/100)*AR$41</f>
      </c>
      <c r="AS385" s="6">
        <f>(L385/100)*AS$41</f>
      </c>
      <c r="AT385" s="6">
        <f>(M385/100)*AT$41</f>
      </c>
      <c r="AU385" s="6">
        <f>(N385/100)*AU$41</f>
      </c>
      <c r="AV385" s="6">
        <f>(O385/1000000)*AV$41</f>
      </c>
      <c r="AW385" s="6">
        <f>(P385/100)*AW$41</f>
      </c>
      <c r="AX385" s="6">
        <f>(Q385/100)*AX$41</f>
      </c>
      <c r="AY385" s="6">
        <f>(R385/100)*AY$41</f>
      </c>
      <c r="AZ385" s="6">
        <f>(S385/100)*AZ$41</f>
      </c>
      <c r="BA385" s="6">
        <f>(T385/100)*BA$41</f>
      </c>
      <c r="BB385" s="6">
        <f>(U385/100)*BB$41</f>
      </c>
      <c r="BC385" s="6"/>
      <c r="BD385" s="3"/>
      <c r="BE385" s="3"/>
      <c r="BF385" s="7">
        <f>AF385*E385</f>
      </c>
      <c r="BG385" s="6"/>
      <c r="BH385" s="3"/>
      <c r="BI385" s="6"/>
    </row>
    <row x14ac:dyDescent="0.25" r="386" customHeight="1" ht="12.75">
      <c r="A386" s="5" t="s">
        <v>519</v>
      </c>
      <c r="B386" s="38" t="s">
        <v>859</v>
      </c>
      <c r="C386" s="43" t="s">
        <v>866</v>
      </c>
      <c r="D386" s="34" t="s">
        <v>989</v>
      </c>
      <c r="E386" s="6">
        <v>0.06</v>
      </c>
      <c r="F386" s="6">
        <v>1.4</v>
      </c>
      <c r="G386" s="5">
        <v>6</v>
      </c>
      <c r="H386" s="5">
        <v>20</v>
      </c>
      <c r="I386" s="6"/>
      <c r="J386" s="6"/>
      <c r="K386" s="7"/>
      <c r="L386" s="6"/>
      <c r="M386" s="6"/>
      <c r="N386" s="23"/>
      <c r="O386" s="5"/>
      <c r="P386" s="6"/>
      <c r="Q386" s="6"/>
      <c r="R386" s="6"/>
      <c r="S386" s="6"/>
      <c r="T386" s="6"/>
      <c r="U386" s="6"/>
      <c r="V386" s="5"/>
      <c r="W386" s="6"/>
      <c r="X386" s="6">
        <f>E386*F386/100</f>
      </c>
      <c r="Y386" s="6">
        <f>E386*G386/100</f>
      </c>
      <c r="Z386" s="7">
        <f>E386*H386</f>
      </c>
      <c r="AA386" s="7">
        <f>E386*J386</f>
      </c>
      <c r="AB386" s="6">
        <f>E386*I386/100</f>
      </c>
      <c r="AC386" s="15">
        <f>X386+Y386+AB386</f>
      </c>
      <c r="AD386" s="6">
        <f>F386+G386+I386</f>
      </c>
      <c r="AE386" s="3"/>
      <c r="AF386" s="6">
        <f>SUM(AM386:BC386)</f>
      </c>
      <c r="AG386" s="5">
        <f>IF(SUM(AM386:AO386)&gt;0.7*AF386,1,0)</f>
      </c>
      <c r="AH386" s="5">
        <f>IF(AN386&gt;0.4*AF386,1,0)</f>
      </c>
      <c r="AI386" s="5">
        <f>IF(SUM(AP386:AQ386)&gt;0.3*AF386,1,0)</f>
      </c>
      <c r="AJ386" s="5">
        <f>IF(AQ386&gt;0.2*AF386,1,0)</f>
      </c>
      <c r="AK386" s="5">
        <f>IF(SUM(AR386:BC386)&gt;0.3*AF386,1,0)</f>
      </c>
      <c r="AL386" s="3"/>
      <c r="AM386" s="6">
        <f>(F386/100)*AM$41</f>
      </c>
      <c r="AN386" s="6">
        <f>(G386/100)*AN$41</f>
      </c>
      <c r="AO386" s="6">
        <f>(H386/1000000)*AO$41</f>
      </c>
      <c r="AP386" s="6">
        <f>(I386/100)*AP$41</f>
      </c>
      <c r="AQ386" s="6">
        <f>(J386/1000000)*AQ$41</f>
      </c>
      <c r="AR386" s="6">
        <f>(K386/100)*AR$41</f>
      </c>
      <c r="AS386" s="6">
        <f>(L386/100)*AS$41</f>
      </c>
      <c r="AT386" s="6">
        <f>(M386/100)*AT$41</f>
      </c>
      <c r="AU386" s="6">
        <f>(N386/100)*AU$41</f>
      </c>
      <c r="AV386" s="6">
        <f>(O386/1000000)*AV$41</f>
      </c>
      <c r="AW386" s="6">
        <f>(P386/100)*AW$41</f>
      </c>
      <c r="AX386" s="6">
        <f>(Q386/100)*AX$41</f>
      </c>
      <c r="AY386" s="6">
        <f>(R386/100)*AY$41</f>
      </c>
      <c r="AZ386" s="6">
        <f>(S386/100)*AZ$41</f>
      </c>
      <c r="BA386" s="6">
        <f>(T386/100)*BA$41</f>
      </c>
      <c r="BB386" s="6">
        <f>(U386/100)*BB$41</f>
      </c>
      <c r="BC386" s="6"/>
      <c r="BD386" s="3"/>
      <c r="BE386" s="3"/>
      <c r="BF386" s="7">
        <f>AF386*E386</f>
      </c>
      <c r="BG386" s="6"/>
      <c r="BH386" s="3"/>
      <c r="BI386" s="6"/>
    </row>
    <row x14ac:dyDescent="0.25" r="387" customHeight="1" ht="12.75">
      <c r="A387" s="5" t="s">
        <v>220</v>
      </c>
      <c r="B387" s="38" t="s">
        <v>859</v>
      </c>
      <c r="C387" s="43" t="s">
        <v>866</v>
      </c>
      <c r="D387" s="34" t="s">
        <v>989</v>
      </c>
      <c r="E387" s="6">
        <v>0.22</v>
      </c>
      <c r="F387" s="6">
        <v>2.1</v>
      </c>
      <c r="G387" s="6">
        <v>9.3</v>
      </c>
      <c r="H387" s="7"/>
      <c r="I387" s="6">
        <v>0.7</v>
      </c>
      <c r="J387" s="6"/>
      <c r="K387" s="7"/>
      <c r="L387" s="6"/>
      <c r="M387" s="6"/>
      <c r="N387" s="23"/>
      <c r="O387" s="5"/>
      <c r="P387" s="6"/>
      <c r="Q387" s="6"/>
      <c r="R387" s="6"/>
      <c r="S387" s="6"/>
      <c r="T387" s="6"/>
      <c r="U387" s="6"/>
      <c r="V387" s="5"/>
      <c r="W387" s="6"/>
      <c r="X387" s="6">
        <f>E387*F387/100</f>
      </c>
      <c r="Y387" s="6">
        <f>E387*G387/100</f>
      </c>
      <c r="Z387" s="7">
        <f>E387*H387</f>
      </c>
      <c r="AA387" s="7">
        <f>E387*J387</f>
      </c>
      <c r="AB387" s="6">
        <f>E387*I387/100</f>
      </c>
      <c r="AC387" s="15">
        <f>X387+Y387+AB387</f>
      </c>
      <c r="AD387" s="6">
        <f>F387+G387+I387</f>
      </c>
      <c r="AE387" s="3"/>
      <c r="AF387" s="6">
        <f>SUM(AM387:BC387)</f>
      </c>
      <c r="AG387" s="5">
        <f>IF(SUM(AM387:AO387)&gt;0.7*AF387,1,0)</f>
      </c>
      <c r="AH387" s="5">
        <f>IF(AN387&gt;0.4*AF387,1,0)</f>
      </c>
      <c r="AI387" s="5">
        <f>IF(SUM(AP387:AQ387)&gt;0.3*AF387,1,0)</f>
      </c>
      <c r="AJ387" s="5">
        <f>IF(AQ387&gt;0.2*AF387,1,0)</f>
      </c>
      <c r="AK387" s="5">
        <f>IF(SUM(AR387:BC387)&gt;0.3*AF387,1,0)</f>
      </c>
      <c r="AL387" s="3"/>
      <c r="AM387" s="6">
        <f>(F387/100)*AM$41</f>
      </c>
      <c r="AN387" s="6">
        <f>(G387/100)*AN$41</f>
      </c>
      <c r="AO387" s="6">
        <f>(H387/1000000)*AO$41</f>
      </c>
      <c r="AP387" s="6">
        <f>(I387/100)*AP$41</f>
      </c>
      <c r="AQ387" s="6">
        <f>(J387/1000000)*AQ$41</f>
      </c>
      <c r="AR387" s="6">
        <f>(K387/100)*AR$41</f>
      </c>
      <c r="AS387" s="6">
        <f>(L387/100)*AS$41</f>
      </c>
      <c r="AT387" s="6">
        <f>(M387/100)*AT$41</f>
      </c>
      <c r="AU387" s="6">
        <f>(N387/100)*AU$41</f>
      </c>
      <c r="AV387" s="6">
        <f>(O387/1000000)*AV$41</f>
      </c>
      <c r="AW387" s="6">
        <f>(P387/100)*AW$41</f>
      </c>
      <c r="AX387" s="6">
        <f>(Q387/100)*AX$41</f>
      </c>
      <c r="AY387" s="6">
        <f>(R387/100)*AY$41</f>
      </c>
      <c r="AZ387" s="6">
        <f>(S387/100)*AZ$41</f>
      </c>
      <c r="BA387" s="6">
        <f>(T387/100)*BA$41</f>
      </c>
      <c r="BB387" s="6">
        <f>(U387/100)*BB$41</f>
      </c>
      <c r="BC387" s="6"/>
      <c r="BD387" s="3"/>
      <c r="BE387" s="3"/>
      <c r="BF387" s="7">
        <f>AF387*E387</f>
      </c>
      <c r="BG387" s="6"/>
      <c r="BH387" s="3"/>
      <c r="BI387" s="6"/>
    </row>
    <row x14ac:dyDescent="0.25" r="388" customHeight="1" ht="12.75">
      <c r="A388" s="5" t="s">
        <v>607</v>
      </c>
      <c r="B388" s="38" t="s">
        <v>859</v>
      </c>
      <c r="C388" s="43" t="s">
        <v>866</v>
      </c>
      <c r="D388" s="34" t="s">
        <v>988</v>
      </c>
      <c r="E388" s="6">
        <v>1.22</v>
      </c>
      <c r="F388" s="6">
        <v>2.57</v>
      </c>
      <c r="G388" s="6">
        <v>3.84</v>
      </c>
      <c r="H388" s="7"/>
      <c r="I388" s="6"/>
      <c r="J388" s="6"/>
      <c r="K388" s="7"/>
      <c r="L388" s="6"/>
      <c r="M388" s="6"/>
      <c r="N388" s="23"/>
      <c r="O388" s="5"/>
      <c r="P388" s="6"/>
      <c r="Q388" s="6"/>
      <c r="R388" s="6"/>
      <c r="S388" s="6"/>
      <c r="T388" s="6"/>
      <c r="U388" s="6"/>
      <c r="V388" s="5"/>
      <c r="W388" s="6"/>
      <c r="X388" s="6">
        <f>E388*F388/100</f>
      </c>
      <c r="Y388" s="6">
        <f>E388*G388/100</f>
      </c>
      <c r="Z388" s="7">
        <f>E388*H388</f>
      </c>
      <c r="AA388" s="7">
        <f>E388*J388</f>
      </c>
      <c r="AB388" s="6">
        <f>E388*I388/100</f>
      </c>
      <c r="AC388" s="15">
        <f>X388+Y388+AB388</f>
      </c>
      <c r="AD388" s="6">
        <f>F388+G388+I388</f>
      </c>
      <c r="AE388" s="3"/>
      <c r="AF388" s="6">
        <f>SUM(AM388:BC388)</f>
      </c>
      <c r="AG388" s="5">
        <f>IF(SUM(AM388:AO388)&gt;0.7*AF388,1,0)</f>
      </c>
      <c r="AH388" s="5">
        <f>IF(AN388&gt;0.4*AF388,1,0)</f>
      </c>
      <c r="AI388" s="5">
        <f>IF(SUM(AP388:AQ388)&gt;0.3*AF388,1,0)</f>
      </c>
      <c r="AJ388" s="5">
        <f>IF(AQ388&gt;0.2*AF388,1,0)</f>
      </c>
      <c r="AK388" s="5">
        <f>IF(SUM(AR388:BC388)&gt;0.3*AF388,1,0)</f>
      </c>
      <c r="AL388" s="3"/>
      <c r="AM388" s="6">
        <f>(F388/100)*AM$41</f>
      </c>
      <c r="AN388" s="6">
        <f>(G388/100)*AN$41</f>
      </c>
      <c r="AO388" s="6">
        <f>(H388/1000000)*AO$41</f>
      </c>
      <c r="AP388" s="6">
        <f>(I388/100)*AP$41</f>
      </c>
      <c r="AQ388" s="6">
        <f>(J388/1000000)*AQ$41</f>
      </c>
      <c r="AR388" s="6">
        <f>(K388/100)*AR$41</f>
      </c>
      <c r="AS388" s="6">
        <f>(L388/100)*AS$41</f>
      </c>
      <c r="AT388" s="6">
        <f>(M388/100)*AT$41</f>
      </c>
      <c r="AU388" s="6">
        <f>(N388/100)*AU$41</f>
      </c>
      <c r="AV388" s="6">
        <f>(O388/1000000)*AV$41</f>
      </c>
      <c r="AW388" s="6">
        <f>(P388/100)*AW$41</f>
      </c>
      <c r="AX388" s="6">
        <f>(Q388/100)*AX$41</f>
      </c>
      <c r="AY388" s="6">
        <f>(R388/100)*AY$41</f>
      </c>
      <c r="AZ388" s="6">
        <f>(S388/100)*AZ$41</f>
      </c>
      <c r="BA388" s="6">
        <f>(T388/100)*BA$41</f>
      </c>
      <c r="BB388" s="6">
        <f>(U388/100)*BB$41</f>
      </c>
      <c r="BC388" s="6"/>
      <c r="BD388" s="3"/>
      <c r="BE388" s="3"/>
      <c r="BF388" s="7">
        <f>AF388*E388</f>
      </c>
      <c r="BG388" s="6"/>
      <c r="BH388" s="3"/>
      <c r="BI388" s="6"/>
    </row>
    <row x14ac:dyDescent="0.25" r="389" customHeight="1" ht="12.75">
      <c r="A389" s="5" t="s">
        <v>388</v>
      </c>
      <c r="B389" s="38" t="s">
        <v>859</v>
      </c>
      <c r="C389" s="43" t="s">
        <v>866</v>
      </c>
      <c r="D389" s="34" t="s">
        <v>988</v>
      </c>
      <c r="E389" s="5">
        <v>16</v>
      </c>
      <c r="F389" s="6">
        <v>1.17</v>
      </c>
      <c r="G389" s="6">
        <v>5.85</v>
      </c>
      <c r="H389" s="7"/>
      <c r="I389" s="6"/>
      <c r="J389" s="6"/>
      <c r="K389" s="7"/>
      <c r="L389" s="6"/>
      <c r="M389" s="6"/>
      <c r="N389" s="23"/>
      <c r="O389" s="5"/>
      <c r="P389" s="6"/>
      <c r="Q389" s="6"/>
      <c r="R389" s="6"/>
      <c r="S389" s="6"/>
      <c r="T389" s="6"/>
      <c r="U389" s="6"/>
      <c r="V389" s="5"/>
      <c r="W389" s="6"/>
      <c r="X389" s="6">
        <f>E389*F389/100</f>
      </c>
      <c r="Y389" s="6">
        <f>E389*G389/100</f>
      </c>
      <c r="Z389" s="7">
        <f>E389*H389</f>
      </c>
      <c r="AA389" s="7">
        <f>E389*J389</f>
      </c>
      <c r="AB389" s="6">
        <f>E389*I389/100</f>
      </c>
      <c r="AC389" s="15">
        <f>X389+Y389+AB389</f>
      </c>
      <c r="AD389" s="6">
        <f>F389+G389+I389</f>
      </c>
      <c r="AE389" s="3"/>
      <c r="AF389" s="6">
        <f>SUM(AM389:BC389)</f>
      </c>
      <c r="AG389" s="5">
        <f>IF(SUM(AM389:AO389)&gt;0.7*AF389,1,0)</f>
      </c>
      <c r="AH389" s="5">
        <f>IF(AN389&gt;0.4*AF389,1,0)</f>
      </c>
      <c r="AI389" s="5">
        <f>IF(SUM(AP389:AQ389)&gt;0.3*AF389,1,0)</f>
      </c>
      <c r="AJ389" s="5">
        <f>IF(AQ389&gt;0.2*AF389,1,0)</f>
      </c>
      <c r="AK389" s="5">
        <f>IF(SUM(AR389:BC389)&gt;0.3*AF389,1,0)</f>
      </c>
      <c r="AL389" s="3"/>
      <c r="AM389" s="6">
        <f>(F389/100)*AM$41</f>
      </c>
      <c r="AN389" s="6">
        <f>(G389/100)*AN$41</f>
      </c>
      <c r="AO389" s="6">
        <f>(H389/1000000)*AO$41</f>
      </c>
      <c r="AP389" s="6">
        <f>(I389/100)*AP$41</f>
      </c>
      <c r="AQ389" s="6">
        <f>(J389/1000000)*AQ$41</f>
      </c>
      <c r="AR389" s="6">
        <f>(K389/100)*AR$41</f>
      </c>
      <c r="AS389" s="6">
        <f>(L389/100)*AS$41</f>
      </c>
      <c r="AT389" s="6">
        <f>(M389/100)*AT$41</f>
      </c>
      <c r="AU389" s="6">
        <f>(N389/100)*AU$41</f>
      </c>
      <c r="AV389" s="6">
        <f>(O389/1000000)*AV$41</f>
      </c>
      <c r="AW389" s="6">
        <f>(P389/100)*AW$41</f>
      </c>
      <c r="AX389" s="6">
        <f>(Q389/100)*AX$41</f>
      </c>
      <c r="AY389" s="6">
        <f>(R389/100)*AY$41</f>
      </c>
      <c r="AZ389" s="6">
        <f>(S389/100)*AZ$41</f>
      </c>
      <c r="BA389" s="6">
        <f>(T389/100)*BA$41</f>
      </c>
      <c r="BB389" s="6">
        <f>(U389/100)*BB$41</f>
      </c>
      <c r="BC389" s="6"/>
      <c r="BD389" s="3"/>
      <c r="BE389" s="3"/>
      <c r="BF389" s="7">
        <f>AF389*E389</f>
      </c>
      <c r="BG389" s="6"/>
      <c r="BH389" s="3"/>
      <c r="BI389" s="6"/>
    </row>
    <row x14ac:dyDescent="0.25" r="390" customHeight="1" ht="12.75">
      <c r="A390" s="5" t="s">
        <v>615</v>
      </c>
      <c r="B390" s="38" t="s">
        <v>859</v>
      </c>
      <c r="C390" s="43" t="s">
        <v>866</v>
      </c>
      <c r="D390" s="34" t="s">
        <v>988</v>
      </c>
      <c r="E390" s="5">
        <v>7</v>
      </c>
      <c r="F390" s="6">
        <v>4.6</v>
      </c>
      <c r="G390" s="6">
        <v>1.71</v>
      </c>
      <c r="H390" s="7"/>
      <c r="I390" s="6"/>
      <c r="J390" s="6"/>
      <c r="K390" s="7"/>
      <c r="L390" s="6"/>
      <c r="M390" s="6"/>
      <c r="N390" s="23"/>
      <c r="O390" s="5"/>
      <c r="P390" s="6"/>
      <c r="Q390" s="6"/>
      <c r="R390" s="6"/>
      <c r="S390" s="6"/>
      <c r="T390" s="6"/>
      <c r="U390" s="6"/>
      <c r="V390" s="5"/>
      <c r="W390" s="6"/>
      <c r="X390" s="6">
        <f>E390*F390/100</f>
      </c>
      <c r="Y390" s="6">
        <f>E390*G390/100</f>
      </c>
      <c r="Z390" s="7">
        <f>E390*H390</f>
      </c>
      <c r="AA390" s="7">
        <f>E390*J390</f>
      </c>
      <c r="AB390" s="6">
        <f>E390*I390/100</f>
      </c>
      <c r="AC390" s="15">
        <f>X390+Y390+AB390</f>
      </c>
      <c r="AD390" s="6">
        <f>F390+G390+I390</f>
      </c>
      <c r="AE390" s="3"/>
      <c r="AF390" s="6">
        <f>SUM(AM390:BC390)</f>
      </c>
      <c r="AG390" s="5">
        <f>IF(SUM(AM390:AO390)&gt;0.7*AF390,1,0)</f>
      </c>
      <c r="AH390" s="5">
        <f>IF(AN390&gt;0.4*AF390,1,0)</f>
      </c>
      <c r="AI390" s="5">
        <f>IF(SUM(AP390:AQ390)&gt;0.3*AF390,1,0)</f>
      </c>
      <c r="AJ390" s="5">
        <f>IF(AQ390&gt;0.2*AF390,1,0)</f>
      </c>
      <c r="AK390" s="5">
        <f>IF(SUM(AR390:BC390)&gt;0.3*AF390,1,0)</f>
      </c>
      <c r="AL390" s="3"/>
      <c r="AM390" s="6">
        <f>(F390/100)*AM$41</f>
      </c>
      <c r="AN390" s="6">
        <f>(G390/100)*AN$41</f>
      </c>
      <c r="AO390" s="6">
        <f>(H390/1000000)*AO$41</f>
      </c>
      <c r="AP390" s="6">
        <f>(I390/100)*AP$41</f>
      </c>
      <c r="AQ390" s="6">
        <f>(J390/1000000)*AQ$41</f>
      </c>
      <c r="AR390" s="6">
        <f>(K390/100)*AR$41</f>
      </c>
      <c r="AS390" s="6">
        <f>(L390/100)*AS$41</f>
      </c>
      <c r="AT390" s="6">
        <f>(M390/100)*AT$41</f>
      </c>
      <c r="AU390" s="6">
        <f>(N390/100)*AU$41</f>
      </c>
      <c r="AV390" s="6">
        <f>(O390/1000000)*AV$41</f>
      </c>
      <c r="AW390" s="6">
        <f>(P390/100)*AW$41</f>
      </c>
      <c r="AX390" s="6">
        <f>(Q390/100)*AX$41</f>
      </c>
      <c r="AY390" s="6">
        <f>(R390/100)*AY$41</f>
      </c>
      <c r="AZ390" s="6">
        <f>(S390/100)*AZ$41</f>
      </c>
      <c r="BA390" s="6">
        <f>(T390/100)*BA$41</f>
      </c>
      <c r="BB390" s="6">
        <f>(U390/100)*BB$41</f>
      </c>
      <c r="BC390" s="6"/>
      <c r="BD390" s="3"/>
      <c r="BE390" s="3"/>
      <c r="BF390" s="7">
        <f>AF390*E390</f>
      </c>
      <c r="BG390" s="6"/>
      <c r="BH390" s="3"/>
      <c r="BI390" s="6"/>
    </row>
    <row x14ac:dyDescent="0.25" r="391" customHeight="1" ht="12.75">
      <c r="A391" s="5" t="s">
        <v>833</v>
      </c>
      <c r="B391" s="38" t="s">
        <v>859</v>
      </c>
      <c r="C391" s="43" t="s">
        <v>866</v>
      </c>
      <c r="D391" s="34" t="s">
        <v>988</v>
      </c>
      <c r="E391" s="6">
        <v>0.23</v>
      </c>
      <c r="F391" s="6">
        <v>1.64</v>
      </c>
      <c r="G391" s="5">
        <v>1</v>
      </c>
      <c r="H391" s="7"/>
      <c r="I391" s="6"/>
      <c r="J391" s="6"/>
      <c r="K391" s="7"/>
      <c r="L391" s="6"/>
      <c r="M391" s="6"/>
      <c r="N391" s="23"/>
      <c r="O391" s="5"/>
      <c r="P391" s="6"/>
      <c r="Q391" s="6"/>
      <c r="R391" s="6"/>
      <c r="S391" s="6"/>
      <c r="T391" s="6"/>
      <c r="U391" s="6"/>
      <c r="V391" s="5"/>
      <c r="W391" s="6"/>
      <c r="X391" s="6">
        <f>E391*F391/100</f>
      </c>
      <c r="Y391" s="6">
        <f>E391*G391/100</f>
      </c>
      <c r="Z391" s="7">
        <f>E391*H391</f>
      </c>
      <c r="AA391" s="7">
        <f>E391*J391</f>
      </c>
      <c r="AB391" s="6">
        <f>E391*I391/100</f>
      </c>
      <c r="AC391" s="15">
        <f>X391+Y391+AB391</f>
      </c>
      <c r="AD391" s="6">
        <f>F391+G391+I391</f>
      </c>
      <c r="AE391" s="3"/>
      <c r="AF391" s="6">
        <f>SUM(AM391:BC391)</f>
      </c>
      <c r="AG391" s="5">
        <f>IF(SUM(AM391:AO391)&gt;0.7*AF391,1,0)</f>
      </c>
      <c r="AH391" s="5">
        <f>IF(AN391&gt;0.4*AF391,1,0)</f>
      </c>
      <c r="AI391" s="5">
        <f>IF(SUM(AP391:AQ391)&gt;0.3*AF391,1,0)</f>
      </c>
      <c r="AJ391" s="5">
        <f>IF(AQ391&gt;0.2*AF391,1,0)</f>
      </c>
      <c r="AK391" s="5">
        <f>IF(SUM(AR391:BC391)&gt;0.3*AF391,1,0)</f>
      </c>
      <c r="AL391" s="3"/>
      <c r="AM391" s="6">
        <f>(F391/100)*AM$41</f>
      </c>
      <c r="AN391" s="6">
        <f>(G391/100)*AN$41</f>
      </c>
      <c r="AO391" s="6">
        <f>(H391/1000000)*AO$41</f>
      </c>
      <c r="AP391" s="6">
        <f>(I391/100)*AP$41</f>
      </c>
      <c r="AQ391" s="6">
        <f>(J391/1000000)*AQ$41</f>
      </c>
      <c r="AR391" s="6">
        <f>(K391/100)*AR$41</f>
      </c>
      <c r="AS391" s="6">
        <f>(L391/100)*AS$41</f>
      </c>
      <c r="AT391" s="6">
        <f>(M391/100)*AT$41</f>
      </c>
      <c r="AU391" s="6">
        <f>(N391/100)*AU$41</f>
      </c>
      <c r="AV391" s="6">
        <f>(O391/1000000)*AV$41</f>
      </c>
      <c r="AW391" s="6">
        <f>(P391/100)*AW$41</f>
      </c>
      <c r="AX391" s="6">
        <f>(Q391/100)*AX$41</f>
      </c>
      <c r="AY391" s="6">
        <f>(R391/100)*AY$41</f>
      </c>
      <c r="AZ391" s="6">
        <f>(S391/100)*AZ$41</f>
      </c>
      <c r="BA391" s="6">
        <f>(T391/100)*BA$41</f>
      </c>
      <c r="BB391" s="6">
        <f>(U391/100)*BB$41</f>
      </c>
      <c r="BC391" s="6"/>
      <c r="BD391" s="3"/>
      <c r="BE391" s="3"/>
      <c r="BF391" s="7">
        <f>AF391*E391</f>
      </c>
      <c r="BG391" s="6"/>
      <c r="BH391" s="3"/>
      <c r="BI391" s="6"/>
    </row>
    <row x14ac:dyDescent="0.25" r="392" customHeight="1" ht="12.75">
      <c r="A392" s="5" t="s">
        <v>636</v>
      </c>
      <c r="B392" s="38" t="s">
        <v>859</v>
      </c>
      <c r="C392" s="43" t="s">
        <v>866</v>
      </c>
      <c r="D392" s="34" t="s">
        <v>988</v>
      </c>
      <c r="E392" s="6">
        <v>17.49</v>
      </c>
      <c r="F392" s="6">
        <v>0.44</v>
      </c>
      <c r="G392" s="6">
        <v>1.84</v>
      </c>
      <c r="H392" s="7"/>
      <c r="I392" s="6"/>
      <c r="J392" s="6"/>
      <c r="K392" s="7"/>
      <c r="L392" s="6"/>
      <c r="M392" s="6"/>
      <c r="N392" s="23"/>
      <c r="O392" s="5"/>
      <c r="P392" s="6"/>
      <c r="Q392" s="6"/>
      <c r="R392" s="6"/>
      <c r="S392" s="6"/>
      <c r="T392" s="6"/>
      <c r="U392" s="6"/>
      <c r="V392" s="5"/>
      <c r="W392" s="6"/>
      <c r="X392" s="6">
        <f>E392*F392/100</f>
      </c>
      <c r="Y392" s="6">
        <f>E392*G392/100</f>
      </c>
      <c r="Z392" s="7">
        <f>E392*H392</f>
      </c>
      <c r="AA392" s="7">
        <f>E392*J392</f>
      </c>
      <c r="AB392" s="6">
        <f>E392*I392/100</f>
      </c>
      <c r="AC392" s="15">
        <f>X392+Y392+AB392</f>
      </c>
      <c r="AD392" s="6">
        <f>F392+G392+I392</f>
      </c>
      <c r="AE392" s="3"/>
      <c r="AF392" s="6">
        <f>SUM(AM392:BC392)</f>
      </c>
      <c r="AG392" s="5">
        <f>IF(SUM(AM392:AO392)&gt;0.7*AF392,1,0)</f>
      </c>
      <c r="AH392" s="5">
        <f>IF(AN392&gt;0.4*AF392,1,0)</f>
      </c>
      <c r="AI392" s="5">
        <f>IF(SUM(AP392:AQ392)&gt;0.3*AF392,1,0)</f>
      </c>
      <c r="AJ392" s="5">
        <f>IF(AQ392&gt;0.2*AF392,1,0)</f>
      </c>
      <c r="AK392" s="5">
        <f>IF(SUM(AR392:BC392)&gt;0.3*AF392,1,0)</f>
      </c>
      <c r="AL392" s="3"/>
      <c r="AM392" s="6">
        <f>(F392/100)*AM$41</f>
      </c>
      <c r="AN392" s="6">
        <f>(G392/100)*AN$41</f>
      </c>
      <c r="AO392" s="6">
        <f>(H392/1000000)*AO$41</f>
      </c>
      <c r="AP392" s="6">
        <f>(I392/100)*AP$41</f>
      </c>
      <c r="AQ392" s="6">
        <f>(J392/1000000)*AQ$41</f>
      </c>
      <c r="AR392" s="6">
        <f>(K392/100)*AR$41</f>
      </c>
      <c r="AS392" s="6">
        <f>(L392/100)*AS$41</f>
      </c>
      <c r="AT392" s="6">
        <f>(M392/100)*AT$41</f>
      </c>
      <c r="AU392" s="6">
        <f>(N392/100)*AU$41</f>
      </c>
      <c r="AV392" s="6">
        <f>(O392/1000000)*AV$41</f>
      </c>
      <c r="AW392" s="6">
        <f>(P392/100)*AW$41</f>
      </c>
      <c r="AX392" s="6">
        <f>(Q392/100)*AX$41</f>
      </c>
      <c r="AY392" s="6">
        <f>(R392/100)*AY$41</f>
      </c>
      <c r="AZ392" s="6">
        <f>(S392/100)*AZ$41</f>
      </c>
      <c r="BA392" s="6">
        <f>(T392/100)*BA$41</f>
      </c>
      <c r="BB392" s="6">
        <f>(U392/100)*BB$41</f>
      </c>
      <c r="BC392" s="6"/>
      <c r="BD392" s="3"/>
      <c r="BE392" s="3"/>
      <c r="BF392" s="7">
        <f>AF392*E392</f>
      </c>
      <c r="BG392" s="6"/>
      <c r="BH392" s="3"/>
      <c r="BI392" s="6"/>
    </row>
    <row x14ac:dyDescent="0.25" r="393" customHeight="1" ht="12.75">
      <c r="A393" s="5" t="s">
        <v>832</v>
      </c>
      <c r="B393" s="38" t="s">
        <v>859</v>
      </c>
      <c r="C393" s="43" t="s">
        <v>866</v>
      </c>
      <c r="D393" s="34" t="s">
        <v>988</v>
      </c>
      <c r="E393" s="6">
        <v>0.77</v>
      </c>
      <c r="F393" s="6">
        <v>2.675</v>
      </c>
      <c r="G393" s="6"/>
      <c r="H393" s="7"/>
      <c r="I393" s="6"/>
      <c r="J393" s="6"/>
      <c r="K393" s="7"/>
      <c r="L393" s="6"/>
      <c r="M393" s="6"/>
      <c r="N393" s="23"/>
      <c r="O393" s="5"/>
      <c r="P393" s="6"/>
      <c r="Q393" s="6"/>
      <c r="R393" s="6"/>
      <c r="S393" s="6"/>
      <c r="T393" s="6"/>
      <c r="U393" s="6"/>
      <c r="V393" s="5"/>
      <c r="W393" s="6"/>
      <c r="X393" s="6">
        <f>E393*F393/100</f>
      </c>
      <c r="Y393" s="6">
        <f>E393*G393/100</f>
      </c>
      <c r="Z393" s="7">
        <f>E393*H393</f>
      </c>
      <c r="AA393" s="7">
        <f>E393*J393</f>
      </c>
      <c r="AB393" s="6">
        <f>E393*I393/100</f>
      </c>
      <c r="AC393" s="15">
        <f>X393+Y393+AB393</f>
      </c>
      <c r="AD393" s="6">
        <f>F393+G393+I393</f>
      </c>
      <c r="AE393" s="3"/>
      <c r="AF393" s="6">
        <f>SUM(AM393:BC393)</f>
      </c>
      <c r="AG393" s="5">
        <f>IF(SUM(AM393:AO393)&gt;0.7*AF393,1,0)</f>
      </c>
      <c r="AH393" s="5">
        <f>IF(AN393&gt;0.4*AF393,1,0)</f>
      </c>
      <c r="AI393" s="5">
        <f>IF(SUM(AP393:AQ393)&gt;0.3*AF393,1,0)</f>
      </c>
      <c r="AJ393" s="5">
        <f>IF(AQ393&gt;0.2*AF393,1,0)</f>
      </c>
      <c r="AK393" s="5">
        <f>IF(SUM(AR393:BC393)&gt;0.3*AF393,1,0)</f>
      </c>
      <c r="AL393" s="3"/>
      <c r="AM393" s="6">
        <f>(F393/100)*AM$41</f>
      </c>
      <c r="AN393" s="6">
        <f>(G393/100)*AN$41</f>
      </c>
      <c r="AO393" s="6">
        <f>(H393/1000000)*AO$41</f>
      </c>
      <c r="AP393" s="6">
        <f>(I393/100)*AP$41</f>
      </c>
      <c r="AQ393" s="6">
        <f>(J393/1000000)*AQ$41</f>
      </c>
      <c r="AR393" s="6">
        <f>(K393/100)*AR$41</f>
      </c>
      <c r="AS393" s="6">
        <f>(L393/100)*AS$41</f>
      </c>
      <c r="AT393" s="6">
        <f>(M393/100)*AT$41</f>
      </c>
      <c r="AU393" s="6">
        <f>(N393/100)*AU$41</f>
      </c>
      <c r="AV393" s="6">
        <f>(O393/1000000)*AV$41</f>
      </c>
      <c r="AW393" s="6">
        <f>(P393/100)*AW$41</f>
      </c>
      <c r="AX393" s="6">
        <f>(Q393/100)*AX$41</f>
      </c>
      <c r="AY393" s="6">
        <f>(R393/100)*AY$41</f>
      </c>
      <c r="AZ393" s="6">
        <f>(S393/100)*AZ$41</f>
      </c>
      <c r="BA393" s="6">
        <f>(T393/100)*BA$41</f>
      </c>
      <c r="BB393" s="6">
        <f>(U393/100)*BB$41</f>
      </c>
      <c r="BC393" s="6"/>
      <c r="BD393" s="3"/>
      <c r="BE393" s="3"/>
      <c r="BF393" s="7">
        <f>AF393*E393</f>
      </c>
      <c r="BG393" s="6"/>
      <c r="BH393" s="3"/>
      <c r="BI393" s="6"/>
    </row>
    <row x14ac:dyDescent="0.25" r="394" customHeight="1" ht="12.75">
      <c r="A394" s="5" t="s">
        <v>443</v>
      </c>
      <c r="B394" s="38" t="s">
        <v>859</v>
      </c>
      <c r="C394" s="43" t="s">
        <v>866</v>
      </c>
      <c r="D394" s="34" t="s">
        <v>988</v>
      </c>
      <c r="E394" s="6">
        <v>2.79</v>
      </c>
      <c r="F394" s="5">
        <v>4</v>
      </c>
      <c r="G394" s="6">
        <v>4.23</v>
      </c>
      <c r="H394" s="5">
        <v>62</v>
      </c>
      <c r="I394" s="6">
        <v>0.1</v>
      </c>
      <c r="J394" s="6"/>
      <c r="K394" s="7"/>
      <c r="L394" s="6"/>
      <c r="M394" s="6"/>
      <c r="N394" s="23"/>
      <c r="O394" s="5"/>
      <c r="P394" s="6"/>
      <c r="Q394" s="6"/>
      <c r="R394" s="6"/>
      <c r="S394" s="6"/>
      <c r="T394" s="6"/>
      <c r="U394" s="6"/>
      <c r="V394" s="5"/>
      <c r="W394" s="6"/>
      <c r="X394" s="6">
        <f>E394*F394/100</f>
      </c>
      <c r="Y394" s="6">
        <f>E394*G394/100</f>
      </c>
      <c r="Z394" s="7">
        <f>E394*H394</f>
      </c>
      <c r="AA394" s="7">
        <f>E394*J394</f>
      </c>
      <c r="AB394" s="6">
        <f>E394*I394/100</f>
      </c>
      <c r="AC394" s="15">
        <f>X394+Y394+AB394</f>
      </c>
      <c r="AD394" s="6">
        <f>F394+G394+I394</f>
      </c>
      <c r="AE394" s="3"/>
      <c r="AF394" s="6">
        <f>SUM(AM394:BC394)</f>
      </c>
      <c r="AG394" s="5">
        <f>IF(SUM(AM394:AO394)&gt;0.7*AF394,1,0)</f>
      </c>
      <c r="AH394" s="5">
        <f>IF(AN394&gt;0.4*AF394,1,0)</f>
      </c>
      <c r="AI394" s="5">
        <f>IF(SUM(AP394:AQ394)&gt;0.3*AF394,1,0)</f>
      </c>
      <c r="AJ394" s="5">
        <f>IF(AQ394&gt;0.2*AF394,1,0)</f>
      </c>
      <c r="AK394" s="5">
        <f>IF(SUM(AR394:BC394)&gt;0.3*AF394,1,0)</f>
      </c>
      <c r="AL394" s="3"/>
      <c r="AM394" s="6">
        <f>(F394/100)*AM$41</f>
      </c>
      <c r="AN394" s="6">
        <f>(G394/100)*AN$41</f>
      </c>
      <c r="AO394" s="6">
        <f>(H394/1000000)*AO$41</f>
      </c>
      <c r="AP394" s="6">
        <f>(I394/100)*AP$41</f>
      </c>
      <c r="AQ394" s="6">
        <f>(J394/1000000)*AQ$41</f>
      </c>
      <c r="AR394" s="6">
        <f>(K394/100)*AR$41</f>
      </c>
      <c r="AS394" s="6">
        <f>(L394/100)*AS$41</f>
      </c>
      <c r="AT394" s="6">
        <f>(M394/100)*AT$41</f>
      </c>
      <c r="AU394" s="6">
        <f>(N394/100)*AU$41</f>
      </c>
      <c r="AV394" s="6">
        <f>(O394/1000000)*AV$41</f>
      </c>
      <c r="AW394" s="6">
        <f>(P394/100)*AW$41</f>
      </c>
      <c r="AX394" s="6">
        <f>(Q394/100)*AX$41</f>
      </c>
      <c r="AY394" s="6">
        <f>(R394/100)*AY$41</f>
      </c>
      <c r="AZ394" s="6">
        <f>(S394/100)*AZ$41</f>
      </c>
      <c r="BA394" s="6">
        <f>(T394/100)*BA$41</f>
      </c>
      <c r="BB394" s="6">
        <f>(U394/100)*BB$41</f>
      </c>
      <c r="BC394" s="6"/>
      <c r="BD394" s="3"/>
      <c r="BE394" s="3"/>
      <c r="BF394" s="7">
        <f>AF394*E394</f>
      </c>
      <c r="BG394" s="6"/>
      <c r="BH394" s="3"/>
      <c r="BI394" s="6"/>
    </row>
    <row x14ac:dyDescent="0.25" r="395" customHeight="1" ht="12.75">
      <c r="A395" s="5" t="s">
        <v>587</v>
      </c>
      <c r="B395" s="38" t="s">
        <v>859</v>
      </c>
      <c r="C395" s="43" t="s">
        <v>866</v>
      </c>
      <c r="D395" s="34" t="s">
        <v>988</v>
      </c>
      <c r="E395" s="6">
        <v>9.01</v>
      </c>
      <c r="F395" s="6">
        <v>2.56</v>
      </c>
      <c r="G395" s="6">
        <v>3.22</v>
      </c>
      <c r="H395" s="7"/>
      <c r="I395" s="6"/>
      <c r="J395" s="6"/>
      <c r="K395" s="7"/>
      <c r="L395" s="6"/>
      <c r="M395" s="6"/>
      <c r="N395" s="23"/>
      <c r="O395" s="5"/>
      <c r="P395" s="6"/>
      <c r="Q395" s="6"/>
      <c r="R395" s="6"/>
      <c r="S395" s="6"/>
      <c r="T395" s="6"/>
      <c r="U395" s="6"/>
      <c r="V395" s="5"/>
      <c r="W395" s="6"/>
      <c r="X395" s="6">
        <f>E395*F395/100</f>
      </c>
      <c r="Y395" s="6">
        <f>E395*G395/100</f>
      </c>
      <c r="Z395" s="7">
        <f>E395*H395</f>
      </c>
      <c r="AA395" s="7">
        <f>E395*J395</f>
      </c>
      <c r="AB395" s="6">
        <f>E395*I395/100</f>
      </c>
      <c r="AC395" s="15">
        <f>X395+Y395+AB395</f>
      </c>
      <c r="AD395" s="6">
        <f>F395+G395+I395</f>
      </c>
      <c r="AE395" s="3"/>
      <c r="AF395" s="6">
        <f>SUM(AM395:BC395)</f>
      </c>
      <c r="AG395" s="5">
        <f>IF(SUM(AM395:AO395)&gt;0.7*AF395,1,0)</f>
      </c>
      <c r="AH395" s="5">
        <f>IF(AN395&gt;0.4*AF395,1,0)</f>
      </c>
      <c r="AI395" s="5">
        <f>IF(SUM(AP395:AQ395)&gt;0.3*AF395,1,0)</f>
      </c>
      <c r="AJ395" s="5">
        <f>IF(AQ395&gt;0.2*AF395,1,0)</f>
      </c>
      <c r="AK395" s="5">
        <f>IF(SUM(AR395:BC395)&gt;0.3*AF395,1,0)</f>
      </c>
      <c r="AL395" s="3"/>
      <c r="AM395" s="6">
        <f>(F395/100)*AM$41</f>
      </c>
      <c r="AN395" s="6">
        <f>(G395/100)*AN$41</f>
      </c>
      <c r="AO395" s="6">
        <f>(H395/1000000)*AO$41</f>
      </c>
      <c r="AP395" s="6">
        <f>(I395/100)*AP$41</f>
      </c>
      <c r="AQ395" s="6">
        <f>(J395/1000000)*AQ$41</f>
      </c>
      <c r="AR395" s="6">
        <f>(K395/100)*AR$41</f>
      </c>
      <c r="AS395" s="6">
        <f>(L395/100)*AS$41</f>
      </c>
      <c r="AT395" s="6">
        <f>(M395/100)*AT$41</f>
      </c>
      <c r="AU395" s="6">
        <f>(N395/100)*AU$41</f>
      </c>
      <c r="AV395" s="6">
        <f>(O395/1000000)*AV$41</f>
      </c>
      <c r="AW395" s="6">
        <f>(P395/100)*AW$41</f>
      </c>
      <c r="AX395" s="6">
        <f>(Q395/100)*AX$41</f>
      </c>
      <c r="AY395" s="6">
        <f>(R395/100)*AY$41</f>
      </c>
      <c r="AZ395" s="6">
        <f>(S395/100)*AZ$41</f>
      </c>
      <c r="BA395" s="6">
        <f>(T395/100)*BA$41</f>
      </c>
      <c r="BB395" s="6">
        <f>(U395/100)*BB$41</f>
      </c>
      <c r="BC395" s="6"/>
      <c r="BD395" s="3"/>
      <c r="BE395" s="3"/>
      <c r="BF395" s="7">
        <f>AF395*E395</f>
      </c>
      <c r="BG395" s="6"/>
      <c r="BH395" s="3"/>
      <c r="BI395" s="6"/>
    </row>
    <row x14ac:dyDescent="0.25" r="396" customHeight="1" ht="12.75">
      <c r="A396" s="5" t="s">
        <v>569</v>
      </c>
      <c r="B396" s="38" t="s">
        <v>859</v>
      </c>
      <c r="C396" s="43" t="s">
        <v>866</v>
      </c>
      <c r="D396" s="34" t="s">
        <v>988</v>
      </c>
      <c r="E396" s="6">
        <v>8.2</v>
      </c>
      <c r="F396" s="6"/>
      <c r="G396" s="6">
        <v>6.8</v>
      </c>
      <c r="H396" s="7"/>
      <c r="I396" s="6"/>
      <c r="J396" s="6"/>
      <c r="K396" s="7"/>
      <c r="L396" s="6"/>
      <c r="M396" s="6"/>
      <c r="N396" s="23"/>
      <c r="O396" s="5"/>
      <c r="P396" s="6"/>
      <c r="Q396" s="6"/>
      <c r="R396" s="6"/>
      <c r="S396" s="6"/>
      <c r="T396" s="6"/>
      <c r="U396" s="6"/>
      <c r="V396" s="5"/>
      <c r="W396" s="6"/>
      <c r="X396" s="6">
        <f>E396*F396/100</f>
      </c>
      <c r="Y396" s="6">
        <f>E396*G396/100</f>
      </c>
      <c r="Z396" s="7">
        <f>E396*H396</f>
      </c>
      <c r="AA396" s="7">
        <f>E396*J396</f>
      </c>
      <c r="AB396" s="6">
        <f>E396*I396/100</f>
      </c>
      <c r="AC396" s="15">
        <f>X396+Y396+AB396</f>
      </c>
      <c r="AD396" s="6">
        <f>F396+G396+I396</f>
      </c>
      <c r="AE396" s="3"/>
      <c r="AF396" s="6">
        <f>SUM(AM396:BC396)</f>
      </c>
      <c r="AG396" s="5">
        <f>IF(SUM(AM396:AO396)&gt;0.7*AF396,1,0)</f>
      </c>
      <c r="AH396" s="5">
        <f>IF(AN396&gt;0.4*AF396,1,0)</f>
      </c>
      <c r="AI396" s="5">
        <f>IF(SUM(AP396:AQ396)&gt;0.3*AF396,1,0)</f>
      </c>
      <c r="AJ396" s="5">
        <f>IF(AQ396&gt;0.2*AF396,1,0)</f>
      </c>
      <c r="AK396" s="5">
        <f>IF(SUM(AR396:BC396)&gt;0.3*AF396,1,0)</f>
      </c>
      <c r="AL396" s="3"/>
      <c r="AM396" s="6">
        <f>(F396/100)*AM$41</f>
      </c>
      <c r="AN396" s="6">
        <f>(G396/100)*AN$41</f>
      </c>
      <c r="AO396" s="6">
        <f>(H396/1000000)*AO$41</f>
      </c>
      <c r="AP396" s="6">
        <f>(I396/100)*AP$41</f>
      </c>
      <c r="AQ396" s="6">
        <f>(J396/1000000)*AQ$41</f>
      </c>
      <c r="AR396" s="6">
        <f>(K396/100)*AR$41</f>
      </c>
      <c r="AS396" s="6">
        <f>(L396/100)*AS$41</f>
      </c>
      <c r="AT396" s="6">
        <f>(M396/100)*AT$41</f>
      </c>
      <c r="AU396" s="6">
        <f>(N396/100)*AU$41</f>
      </c>
      <c r="AV396" s="6">
        <f>(O396/1000000)*AV$41</f>
      </c>
      <c r="AW396" s="6">
        <f>(P396/100)*AW$41</f>
      </c>
      <c r="AX396" s="6">
        <f>(Q396/100)*AX$41</f>
      </c>
      <c r="AY396" s="6">
        <f>(R396/100)*AY$41</f>
      </c>
      <c r="AZ396" s="6">
        <f>(S396/100)*AZ$41</f>
      </c>
      <c r="BA396" s="6">
        <f>(T396/100)*BA$41</f>
      </c>
      <c r="BB396" s="6">
        <f>(U396/100)*BB$41</f>
      </c>
      <c r="BC396" s="6"/>
      <c r="BD396" s="3"/>
      <c r="BE396" s="3"/>
      <c r="BF396" s="7">
        <f>AF396*E396</f>
      </c>
      <c r="BG396" s="6"/>
      <c r="BH396" s="3"/>
      <c r="BI396" s="6"/>
    </row>
    <row x14ac:dyDescent="0.25" r="397" customHeight="1" ht="12.75">
      <c r="A397" s="5" t="s">
        <v>656</v>
      </c>
      <c r="B397" s="38" t="s">
        <v>859</v>
      </c>
      <c r="C397" s="43" t="s">
        <v>866</v>
      </c>
      <c r="D397" s="34" t="s">
        <v>988</v>
      </c>
      <c r="E397" s="6">
        <v>6.6</v>
      </c>
      <c r="F397" s="6"/>
      <c r="G397" s="6">
        <v>5.51</v>
      </c>
      <c r="H397" s="7"/>
      <c r="I397" s="6"/>
      <c r="J397" s="6"/>
      <c r="K397" s="7"/>
      <c r="L397" s="6"/>
      <c r="M397" s="6"/>
      <c r="N397" s="23"/>
      <c r="O397" s="5"/>
      <c r="P397" s="6"/>
      <c r="Q397" s="6"/>
      <c r="R397" s="6"/>
      <c r="S397" s="6"/>
      <c r="T397" s="6"/>
      <c r="U397" s="6"/>
      <c r="V397" s="5"/>
      <c r="W397" s="6"/>
      <c r="X397" s="6">
        <f>E397*F397/100</f>
      </c>
      <c r="Y397" s="6">
        <f>E397*G397/100</f>
      </c>
      <c r="Z397" s="7">
        <f>E397*H397</f>
      </c>
      <c r="AA397" s="7">
        <f>E397*J397</f>
      </c>
      <c r="AB397" s="6">
        <f>E397*I397/100</f>
      </c>
      <c r="AC397" s="15">
        <f>X397+Y397+AB397</f>
      </c>
      <c r="AD397" s="6">
        <f>F397+G397+I397</f>
      </c>
      <c r="AE397" s="3"/>
      <c r="AF397" s="6">
        <f>SUM(AM397:BC397)</f>
      </c>
      <c r="AG397" s="5">
        <f>IF(SUM(AM397:AO397)&gt;0.7*AF397,1,0)</f>
      </c>
      <c r="AH397" s="5">
        <f>IF(AN397&gt;0.4*AF397,1,0)</f>
      </c>
      <c r="AI397" s="5">
        <f>IF(SUM(AP397:AQ397)&gt;0.3*AF397,1,0)</f>
      </c>
      <c r="AJ397" s="5">
        <f>IF(AQ397&gt;0.2*AF397,1,0)</f>
      </c>
      <c r="AK397" s="5">
        <f>IF(SUM(AR397:BC397)&gt;0.3*AF397,1,0)</f>
      </c>
      <c r="AL397" s="3"/>
      <c r="AM397" s="6">
        <f>(F397/100)*AM$41</f>
      </c>
      <c r="AN397" s="6">
        <f>(G397/100)*AN$41</f>
      </c>
      <c r="AO397" s="6">
        <f>(H397/1000000)*AO$41</f>
      </c>
      <c r="AP397" s="6">
        <f>(I397/100)*AP$41</f>
      </c>
      <c r="AQ397" s="6">
        <f>(J397/1000000)*AQ$41</f>
      </c>
      <c r="AR397" s="6">
        <f>(K397/100)*AR$41</f>
      </c>
      <c r="AS397" s="6">
        <f>(L397/100)*AS$41</f>
      </c>
      <c r="AT397" s="6">
        <f>(M397/100)*AT$41</f>
      </c>
      <c r="AU397" s="6">
        <f>(N397/100)*AU$41</f>
      </c>
      <c r="AV397" s="6">
        <f>(O397/1000000)*AV$41</f>
      </c>
      <c r="AW397" s="6">
        <f>(P397/100)*AW$41</f>
      </c>
      <c r="AX397" s="6">
        <f>(Q397/100)*AX$41</f>
      </c>
      <c r="AY397" s="6">
        <f>(R397/100)*AY$41</f>
      </c>
      <c r="AZ397" s="6">
        <f>(S397/100)*AZ$41</f>
      </c>
      <c r="BA397" s="6">
        <f>(T397/100)*BA$41</f>
      </c>
      <c r="BB397" s="6">
        <f>(U397/100)*BB$41</f>
      </c>
      <c r="BC397" s="6"/>
      <c r="BD397" s="3"/>
      <c r="BE397" s="3"/>
      <c r="BF397" s="7">
        <f>AF397*E397</f>
      </c>
      <c r="BG397" s="6"/>
      <c r="BH397" s="3"/>
      <c r="BI397" s="6"/>
    </row>
    <row x14ac:dyDescent="0.25" r="398" customHeight="1" ht="12.75">
      <c r="A398" s="5" t="s">
        <v>788</v>
      </c>
      <c r="B398" s="38" t="s">
        <v>859</v>
      </c>
      <c r="C398" s="43" t="s">
        <v>866</v>
      </c>
      <c r="D398" s="34" t="s">
        <v>988</v>
      </c>
      <c r="E398" s="6">
        <v>3.14</v>
      </c>
      <c r="F398" s="6">
        <v>0.67</v>
      </c>
      <c r="G398" s="6">
        <v>3.25</v>
      </c>
      <c r="H398" s="7"/>
      <c r="I398" s="6"/>
      <c r="J398" s="6"/>
      <c r="K398" s="7"/>
      <c r="L398" s="6"/>
      <c r="M398" s="6"/>
      <c r="N398" s="23"/>
      <c r="O398" s="5"/>
      <c r="P398" s="6"/>
      <c r="Q398" s="6"/>
      <c r="R398" s="6"/>
      <c r="S398" s="6"/>
      <c r="T398" s="6"/>
      <c r="U398" s="6"/>
      <c r="V398" s="5"/>
      <c r="W398" s="6"/>
      <c r="X398" s="6">
        <f>E398*F398/100</f>
      </c>
      <c r="Y398" s="6">
        <f>E398*G398/100</f>
      </c>
      <c r="Z398" s="7">
        <f>E398*H398</f>
      </c>
      <c r="AA398" s="7">
        <f>E398*J398</f>
      </c>
      <c r="AB398" s="6">
        <f>E398*I398/100</f>
      </c>
      <c r="AC398" s="15">
        <f>X398+Y398+AB398</f>
      </c>
      <c r="AD398" s="6">
        <f>F398+G398+I398</f>
      </c>
      <c r="AE398" s="3"/>
      <c r="AF398" s="6">
        <f>SUM(AM398:BC398)</f>
      </c>
      <c r="AG398" s="5">
        <f>IF(SUM(AM398:AO398)&gt;0.7*AF398,1,0)</f>
      </c>
      <c r="AH398" s="5">
        <f>IF(AN398&gt;0.4*AF398,1,0)</f>
      </c>
      <c r="AI398" s="5">
        <f>IF(SUM(AP398:AQ398)&gt;0.3*AF398,1,0)</f>
      </c>
      <c r="AJ398" s="5">
        <f>IF(AQ398&gt;0.2*AF398,1,0)</f>
      </c>
      <c r="AK398" s="5">
        <f>IF(SUM(AR398:BC398)&gt;0.3*AF398,1,0)</f>
      </c>
      <c r="AL398" s="3"/>
      <c r="AM398" s="6">
        <f>(F398/100)*AM$41</f>
      </c>
      <c r="AN398" s="6">
        <f>(G398/100)*AN$41</f>
      </c>
      <c r="AO398" s="6">
        <f>(H398/1000000)*AO$41</f>
      </c>
      <c r="AP398" s="6">
        <f>(I398/100)*AP$41</f>
      </c>
      <c r="AQ398" s="6">
        <f>(J398/1000000)*AQ$41</f>
      </c>
      <c r="AR398" s="6">
        <f>(K398/100)*AR$41</f>
      </c>
      <c r="AS398" s="6">
        <f>(L398/100)*AS$41</f>
      </c>
      <c r="AT398" s="6">
        <f>(M398/100)*AT$41</f>
      </c>
      <c r="AU398" s="6">
        <f>(N398/100)*AU$41</f>
      </c>
      <c r="AV398" s="6">
        <f>(O398/1000000)*AV$41</f>
      </c>
      <c r="AW398" s="6">
        <f>(P398/100)*AW$41</f>
      </c>
      <c r="AX398" s="6">
        <f>(Q398/100)*AX$41</f>
      </c>
      <c r="AY398" s="6">
        <f>(R398/100)*AY$41</f>
      </c>
      <c r="AZ398" s="6">
        <f>(S398/100)*AZ$41</f>
      </c>
      <c r="BA398" s="6">
        <f>(T398/100)*BA$41</f>
      </c>
      <c r="BB398" s="6">
        <f>(U398/100)*BB$41</f>
      </c>
      <c r="BC398" s="6"/>
      <c r="BD398" s="3"/>
      <c r="BE398" s="3"/>
      <c r="BF398" s="7">
        <f>AF398*E398</f>
      </c>
      <c r="BG398" s="6"/>
      <c r="BH398" s="3"/>
      <c r="BI398" s="6"/>
    </row>
    <row x14ac:dyDescent="0.25" r="399" customHeight="1" ht="12.75">
      <c r="A399" s="5" t="s">
        <v>738</v>
      </c>
      <c r="B399" s="38" t="s">
        <v>859</v>
      </c>
      <c r="C399" s="43" t="s">
        <v>866</v>
      </c>
      <c r="D399" s="34" t="s">
        <v>988</v>
      </c>
      <c r="E399" s="6">
        <v>0.56</v>
      </c>
      <c r="F399" s="6">
        <v>1.1</v>
      </c>
      <c r="G399" s="6">
        <v>2.6</v>
      </c>
      <c r="H399" s="7"/>
      <c r="I399" s="6">
        <v>1.1</v>
      </c>
      <c r="J399" s="6"/>
      <c r="K399" s="7"/>
      <c r="L399" s="6"/>
      <c r="M399" s="6"/>
      <c r="N399" s="23"/>
      <c r="O399" s="5"/>
      <c r="P399" s="6"/>
      <c r="Q399" s="6"/>
      <c r="R399" s="6"/>
      <c r="S399" s="6"/>
      <c r="T399" s="6"/>
      <c r="U399" s="6"/>
      <c r="V399" s="5"/>
      <c r="W399" s="6"/>
      <c r="X399" s="6">
        <f>E399*F399/100</f>
      </c>
      <c r="Y399" s="6">
        <f>E399*G399/100</f>
      </c>
      <c r="Z399" s="7">
        <f>E399*H399</f>
      </c>
      <c r="AA399" s="7">
        <f>E399*J399</f>
      </c>
      <c r="AB399" s="6">
        <f>E399*I399/100</f>
      </c>
      <c r="AC399" s="15">
        <f>X399+Y399+AB399</f>
      </c>
      <c r="AD399" s="6">
        <f>F399+G399+I399</f>
      </c>
      <c r="AE399" s="3"/>
      <c r="AF399" s="6">
        <f>SUM(AM399:BC399)</f>
      </c>
      <c r="AG399" s="5">
        <f>IF(SUM(AM399:AO399)&gt;0.7*AF399,1,0)</f>
      </c>
      <c r="AH399" s="5">
        <f>IF(AN399&gt;0.4*AF399,1,0)</f>
      </c>
      <c r="AI399" s="5">
        <f>IF(SUM(AP399:AQ399)&gt;0.3*AF399,1,0)</f>
      </c>
      <c r="AJ399" s="5">
        <f>IF(AQ399&gt;0.2*AF399,1,0)</f>
      </c>
      <c r="AK399" s="5">
        <f>IF(SUM(AR399:BC399)&gt;0.3*AF399,1,0)</f>
      </c>
      <c r="AL399" s="3"/>
      <c r="AM399" s="6">
        <f>(F399/100)*AM$41</f>
      </c>
      <c r="AN399" s="6">
        <f>(G399/100)*AN$41</f>
      </c>
      <c r="AO399" s="6">
        <f>(H399/1000000)*AO$41</f>
      </c>
      <c r="AP399" s="6">
        <f>(I399/100)*AP$41</f>
      </c>
      <c r="AQ399" s="6">
        <f>(J399/1000000)*AQ$41</f>
      </c>
      <c r="AR399" s="6">
        <f>(K399/100)*AR$41</f>
      </c>
      <c r="AS399" s="6">
        <f>(L399/100)*AS$41</f>
      </c>
      <c r="AT399" s="6">
        <f>(M399/100)*AT$41</f>
      </c>
      <c r="AU399" s="6">
        <f>(N399/100)*AU$41</f>
      </c>
      <c r="AV399" s="6">
        <f>(O399/1000000)*AV$41</f>
      </c>
      <c r="AW399" s="6">
        <f>(P399/100)*AW$41</f>
      </c>
      <c r="AX399" s="6">
        <f>(Q399/100)*AX$41</f>
      </c>
      <c r="AY399" s="6">
        <f>(R399/100)*AY$41</f>
      </c>
      <c r="AZ399" s="6">
        <f>(S399/100)*AZ$41</f>
      </c>
      <c r="BA399" s="6">
        <f>(T399/100)*BA$41</f>
      </c>
      <c r="BB399" s="6">
        <f>(U399/100)*BB$41</f>
      </c>
      <c r="BC399" s="6"/>
      <c r="BD399" s="3"/>
      <c r="BE399" s="3"/>
      <c r="BF399" s="7">
        <f>AF399*E399</f>
      </c>
      <c r="BG399" s="6"/>
      <c r="BH399" s="3"/>
      <c r="BI399" s="6"/>
    </row>
    <row x14ac:dyDescent="0.25" r="400" customHeight="1" ht="12.75">
      <c r="A400" s="5" t="s">
        <v>599</v>
      </c>
      <c r="B400" s="38" t="s">
        <v>859</v>
      </c>
      <c r="C400" s="43" t="s">
        <v>866</v>
      </c>
      <c r="D400" s="34" t="s">
        <v>988</v>
      </c>
      <c r="E400" s="6">
        <v>1.2</v>
      </c>
      <c r="F400" s="6">
        <v>5.4</v>
      </c>
      <c r="G400" s="6">
        <v>0.4</v>
      </c>
      <c r="H400" s="7"/>
      <c r="I400" s="6">
        <v>0.7</v>
      </c>
      <c r="J400" s="6"/>
      <c r="K400" s="7"/>
      <c r="L400" s="6"/>
      <c r="M400" s="6"/>
      <c r="N400" s="23"/>
      <c r="O400" s="5"/>
      <c r="P400" s="6"/>
      <c r="Q400" s="6"/>
      <c r="R400" s="6"/>
      <c r="S400" s="6"/>
      <c r="T400" s="6"/>
      <c r="U400" s="6"/>
      <c r="V400" s="5"/>
      <c r="W400" s="6"/>
      <c r="X400" s="6">
        <f>E400*F400/100</f>
      </c>
      <c r="Y400" s="6">
        <f>E400*G400/100</f>
      </c>
      <c r="Z400" s="7">
        <f>E400*H400</f>
      </c>
      <c r="AA400" s="7">
        <f>E400*J400</f>
      </c>
      <c r="AB400" s="6">
        <f>E400*I400/100</f>
      </c>
      <c r="AC400" s="15">
        <f>X400+Y400+AB400</f>
      </c>
      <c r="AD400" s="6">
        <f>F400+G400+I400</f>
      </c>
      <c r="AE400" s="3"/>
      <c r="AF400" s="6">
        <f>SUM(AM400:BC400)</f>
      </c>
      <c r="AG400" s="5">
        <f>IF(SUM(AM400:AO400)&gt;0.7*AF400,1,0)</f>
      </c>
      <c r="AH400" s="5">
        <f>IF(AN400&gt;0.4*AF400,1,0)</f>
      </c>
      <c r="AI400" s="5">
        <f>IF(SUM(AP400:AQ400)&gt;0.3*AF400,1,0)</f>
      </c>
      <c r="AJ400" s="5">
        <f>IF(AQ400&gt;0.2*AF400,1,0)</f>
      </c>
      <c r="AK400" s="5">
        <f>IF(SUM(AR400:BC400)&gt;0.3*AF400,1,0)</f>
      </c>
      <c r="AL400" s="3"/>
      <c r="AM400" s="6">
        <f>(F400/100)*AM$41</f>
      </c>
      <c r="AN400" s="6">
        <f>(G400/100)*AN$41</f>
      </c>
      <c r="AO400" s="6">
        <f>(H400/1000000)*AO$41</f>
      </c>
      <c r="AP400" s="6">
        <f>(I400/100)*AP$41</f>
      </c>
      <c r="AQ400" s="6">
        <f>(J400/1000000)*AQ$41</f>
      </c>
      <c r="AR400" s="6">
        <f>(K400/100)*AR$41</f>
      </c>
      <c r="AS400" s="6">
        <f>(L400/100)*AS$41</f>
      </c>
      <c r="AT400" s="6">
        <f>(M400/100)*AT$41</f>
      </c>
      <c r="AU400" s="6">
        <f>(N400/100)*AU$41</f>
      </c>
      <c r="AV400" s="6">
        <f>(O400/1000000)*AV$41</f>
      </c>
      <c r="AW400" s="6">
        <f>(P400/100)*AW$41</f>
      </c>
      <c r="AX400" s="6">
        <f>(Q400/100)*AX$41</f>
      </c>
      <c r="AY400" s="6">
        <f>(R400/100)*AY$41</f>
      </c>
      <c r="AZ400" s="6">
        <f>(S400/100)*AZ$41</f>
      </c>
      <c r="BA400" s="6">
        <f>(T400/100)*BA$41</f>
      </c>
      <c r="BB400" s="6">
        <f>(U400/100)*BB$41</f>
      </c>
      <c r="BC400" s="6"/>
      <c r="BD400" s="3"/>
      <c r="BE400" s="3"/>
      <c r="BF400" s="7">
        <f>AF400*E400</f>
      </c>
      <c r="BG400" s="6"/>
      <c r="BH400" s="3"/>
      <c r="BI400" s="6"/>
    </row>
    <row x14ac:dyDescent="0.25" r="401" customHeight="1" ht="12.75">
      <c r="A401" s="5" t="s">
        <v>384</v>
      </c>
      <c r="B401" s="38" t="s">
        <v>859</v>
      </c>
      <c r="C401" s="43" t="s">
        <v>866</v>
      </c>
      <c r="D401" s="34" t="s">
        <v>988</v>
      </c>
      <c r="E401" s="5">
        <v>115</v>
      </c>
      <c r="F401" s="6"/>
      <c r="G401" s="5">
        <v>1</v>
      </c>
      <c r="H401" s="7"/>
      <c r="I401" s="6"/>
      <c r="J401" s="6"/>
      <c r="K401" s="7"/>
      <c r="L401" s="6"/>
      <c r="M401" s="6"/>
      <c r="N401" s="23"/>
      <c r="O401" s="5"/>
      <c r="P401" s="6"/>
      <c r="Q401" s="6"/>
      <c r="R401" s="6"/>
      <c r="S401" s="6"/>
      <c r="T401" s="6"/>
      <c r="U401" s="6"/>
      <c r="V401" s="5"/>
      <c r="W401" s="6"/>
      <c r="X401" s="6">
        <f>E401*F401/100</f>
      </c>
      <c r="Y401" s="6">
        <f>E401*G401/100</f>
      </c>
      <c r="Z401" s="7">
        <f>E401*H401</f>
      </c>
      <c r="AA401" s="7">
        <f>E401*J401</f>
      </c>
      <c r="AB401" s="6">
        <f>E401*I401/100</f>
      </c>
      <c r="AC401" s="15">
        <f>X401+Y401+AB401</f>
      </c>
      <c r="AD401" s="6">
        <f>F401+G401+I401</f>
      </c>
      <c r="AE401" s="3"/>
      <c r="AF401" s="6">
        <f>SUM(AM401:BC401)</f>
      </c>
      <c r="AG401" s="5">
        <f>IF(SUM(AM401:AO401)&gt;0.7*AF401,1,0)</f>
      </c>
      <c r="AH401" s="5">
        <f>IF(AN401&gt;0.4*AF401,1,0)</f>
      </c>
      <c r="AI401" s="5">
        <f>IF(SUM(AP401:AQ401)&gt;0.3*AF401,1,0)</f>
      </c>
      <c r="AJ401" s="5">
        <f>IF(AQ401&gt;0.2*AF401,1,0)</f>
      </c>
      <c r="AK401" s="5">
        <f>IF(SUM(AR401:BC401)&gt;0.3*AF401,1,0)</f>
      </c>
      <c r="AL401" s="3"/>
      <c r="AM401" s="6">
        <f>(F401/100)*AM$41</f>
      </c>
      <c r="AN401" s="6">
        <f>(G401/100)*AN$41</f>
      </c>
      <c r="AO401" s="6">
        <f>(H401/1000000)*AO$41</f>
      </c>
      <c r="AP401" s="6">
        <f>(I401/100)*AP$41</f>
      </c>
      <c r="AQ401" s="6">
        <f>(J401/1000000)*AQ$41</f>
      </c>
      <c r="AR401" s="6">
        <f>(K401/100)*AR$41</f>
      </c>
      <c r="AS401" s="6">
        <f>(L401/100)*AS$41</f>
      </c>
      <c r="AT401" s="6">
        <f>(M401/100)*AT$41</f>
      </c>
      <c r="AU401" s="6">
        <f>(N401/100)*AU$41</f>
      </c>
      <c r="AV401" s="6">
        <f>(O401/1000000)*AV$41</f>
      </c>
      <c r="AW401" s="6">
        <f>(P401/100)*AW$41</f>
      </c>
      <c r="AX401" s="6">
        <f>(Q401/100)*AX$41</f>
      </c>
      <c r="AY401" s="6">
        <f>(R401/100)*AY$41</f>
      </c>
      <c r="AZ401" s="6">
        <f>(S401/100)*AZ$41</f>
      </c>
      <c r="BA401" s="6">
        <f>(T401/100)*BA$41</f>
      </c>
      <c r="BB401" s="6">
        <f>(U401/100)*BB$41</f>
      </c>
      <c r="BC401" s="6"/>
      <c r="BD401" s="3"/>
      <c r="BE401" s="3"/>
      <c r="BF401" s="7">
        <f>AF401*E401</f>
      </c>
      <c r="BG401" s="6"/>
      <c r="BH401" s="3"/>
      <c r="BI401" s="6"/>
    </row>
    <row x14ac:dyDescent="0.25" r="402" customHeight="1" ht="12.75">
      <c r="A402" s="5" t="s">
        <v>793</v>
      </c>
      <c r="B402" s="38" t="s">
        <v>859</v>
      </c>
      <c r="C402" s="43" t="s">
        <v>866</v>
      </c>
      <c r="D402" s="34" t="s">
        <v>988</v>
      </c>
      <c r="E402" s="6">
        <v>3.69</v>
      </c>
      <c r="F402" s="6">
        <v>1.37</v>
      </c>
      <c r="G402" s="6">
        <v>1.85</v>
      </c>
      <c r="H402" s="7"/>
      <c r="I402" s="6"/>
      <c r="J402" s="6"/>
      <c r="K402" s="7"/>
      <c r="L402" s="6"/>
      <c r="M402" s="6"/>
      <c r="N402" s="23"/>
      <c r="O402" s="5"/>
      <c r="P402" s="6"/>
      <c r="Q402" s="6"/>
      <c r="R402" s="6"/>
      <c r="S402" s="6"/>
      <c r="T402" s="6"/>
      <c r="U402" s="6"/>
      <c r="V402" s="5"/>
      <c r="W402" s="6"/>
      <c r="X402" s="6">
        <f>E402*F402/100</f>
      </c>
      <c r="Y402" s="6">
        <f>E402*G402/100</f>
      </c>
      <c r="Z402" s="7">
        <f>E402*H402</f>
      </c>
      <c r="AA402" s="7">
        <f>E402*J402</f>
      </c>
      <c r="AB402" s="6">
        <f>E402*I402/100</f>
      </c>
      <c r="AC402" s="15">
        <f>X402+Y402+AB402</f>
      </c>
      <c r="AD402" s="6">
        <f>F402+G402+I402</f>
      </c>
      <c r="AE402" s="3"/>
      <c r="AF402" s="6">
        <f>SUM(AM402:BC402)</f>
      </c>
      <c r="AG402" s="5">
        <f>IF(SUM(AM402:AO402)&gt;0.7*AF402,1,0)</f>
      </c>
      <c r="AH402" s="5">
        <f>IF(AN402&gt;0.4*AF402,1,0)</f>
      </c>
      <c r="AI402" s="5">
        <f>IF(SUM(AP402:AQ402)&gt;0.3*AF402,1,0)</f>
      </c>
      <c r="AJ402" s="5">
        <f>IF(AQ402&gt;0.2*AF402,1,0)</f>
      </c>
      <c r="AK402" s="5">
        <f>IF(SUM(AR402:BC402)&gt;0.3*AF402,1,0)</f>
      </c>
      <c r="AL402" s="3"/>
      <c r="AM402" s="6">
        <f>(F402/100)*AM$41</f>
      </c>
      <c r="AN402" s="6">
        <f>(G402/100)*AN$41</f>
      </c>
      <c r="AO402" s="6">
        <f>(H402/1000000)*AO$41</f>
      </c>
      <c r="AP402" s="6">
        <f>(I402/100)*AP$41</f>
      </c>
      <c r="AQ402" s="6">
        <f>(J402/1000000)*AQ$41</f>
      </c>
      <c r="AR402" s="6">
        <f>(K402/100)*AR$41</f>
      </c>
      <c r="AS402" s="6">
        <f>(L402/100)*AS$41</f>
      </c>
      <c r="AT402" s="6">
        <f>(M402/100)*AT$41</f>
      </c>
      <c r="AU402" s="6">
        <f>(N402/100)*AU$41</f>
      </c>
      <c r="AV402" s="6">
        <f>(O402/1000000)*AV$41</f>
      </c>
      <c r="AW402" s="6">
        <f>(P402/100)*AW$41</f>
      </c>
      <c r="AX402" s="6">
        <f>(Q402/100)*AX$41</f>
      </c>
      <c r="AY402" s="6">
        <f>(R402/100)*AY$41</f>
      </c>
      <c r="AZ402" s="6">
        <f>(S402/100)*AZ$41</f>
      </c>
      <c r="BA402" s="6">
        <f>(T402/100)*BA$41</f>
      </c>
      <c r="BB402" s="6">
        <f>(U402/100)*BB$41</f>
      </c>
      <c r="BC402" s="6"/>
      <c r="BD402" s="3"/>
      <c r="BE402" s="3"/>
      <c r="BF402" s="7">
        <f>AF402*E402</f>
      </c>
      <c r="BG402" s="6"/>
      <c r="BH402" s="3"/>
      <c r="BI402" s="6"/>
    </row>
    <row x14ac:dyDescent="0.25" r="403" customHeight="1" ht="12.75">
      <c r="A403" s="5" t="s">
        <v>645</v>
      </c>
      <c r="B403" s="38" t="s">
        <v>859</v>
      </c>
      <c r="C403" s="43" t="s">
        <v>866</v>
      </c>
      <c r="D403" s="34" t="s">
        <v>988</v>
      </c>
      <c r="E403" s="5">
        <v>2</v>
      </c>
      <c r="F403" s="6">
        <v>5.94</v>
      </c>
      <c r="G403" s="6"/>
      <c r="H403" s="7"/>
      <c r="I403" s="6"/>
      <c r="J403" s="6"/>
      <c r="K403" s="7"/>
      <c r="L403" s="6"/>
      <c r="M403" s="6"/>
      <c r="N403" s="23"/>
      <c r="O403" s="5"/>
      <c r="P403" s="6"/>
      <c r="Q403" s="6"/>
      <c r="R403" s="6"/>
      <c r="S403" s="6"/>
      <c r="T403" s="6"/>
      <c r="U403" s="6"/>
      <c r="V403" s="5"/>
      <c r="W403" s="6"/>
      <c r="X403" s="6">
        <f>E403*F403/100</f>
      </c>
      <c r="Y403" s="6">
        <f>E403*G403/100</f>
      </c>
      <c r="Z403" s="7">
        <f>E403*H403</f>
      </c>
      <c r="AA403" s="7">
        <f>E403*J403</f>
      </c>
      <c r="AB403" s="6">
        <f>E403*I403/100</f>
      </c>
      <c r="AC403" s="15">
        <f>X403+Y403+AB403</f>
      </c>
      <c r="AD403" s="6">
        <f>F403+G403+I403</f>
      </c>
      <c r="AE403" s="3"/>
      <c r="AF403" s="6">
        <f>SUM(AM403:BC403)</f>
      </c>
      <c r="AG403" s="5">
        <f>IF(SUM(AM403:AO403)&gt;0.7*AF403,1,0)</f>
      </c>
      <c r="AH403" s="5">
        <f>IF(AN403&gt;0.4*AF403,1,0)</f>
      </c>
      <c r="AI403" s="5">
        <f>IF(SUM(AP403:AQ403)&gt;0.3*AF403,1,0)</f>
      </c>
      <c r="AJ403" s="5">
        <f>IF(AQ403&gt;0.2*AF403,1,0)</f>
      </c>
      <c r="AK403" s="5">
        <f>IF(SUM(AR403:BC403)&gt;0.3*AF403,1,0)</f>
      </c>
      <c r="AL403" s="3"/>
      <c r="AM403" s="6">
        <f>(F403/100)*AM$41</f>
      </c>
      <c r="AN403" s="6">
        <f>(G403/100)*AN$41</f>
      </c>
      <c r="AO403" s="6">
        <f>(H403/1000000)*AO$41</f>
      </c>
      <c r="AP403" s="6">
        <f>(I403/100)*AP$41</f>
      </c>
      <c r="AQ403" s="6">
        <f>(J403/1000000)*AQ$41</f>
      </c>
      <c r="AR403" s="6">
        <f>(K403/100)*AR$41</f>
      </c>
      <c r="AS403" s="6">
        <f>(L403/100)*AS$41</f>
      </c>
      <c r="AT403" s="6">
        <f>(M403/100)*AT$41</f>
      </c>
      <c r="AU403" s="6">
        <f>(N403/100)*AU$41</f>
      </c>
      <c r="AV403" s="6">
        <f>(O403/1000000)*AV$41</f>
      </c>
      <c r="AW403" s="6">
        <f>(P403/100)*AW$41</f>
      </c>
      <c r="AX403" s="6">
        <f>(Q403/100)*AX$41</f>
      </c>
      <c r="AY403" s="6">
        <f>(R403/100)*AY$41</f>
      </c>
      <c r="AZ403" s="6">
        <f>(S403/100)*AZ$41</f>
      </c>
      <c r="BA403" s="6">
        <f>(T403/100)*BA$41</f>
      </c>
      <c r="BB403" s="6">
        <f>(U403/100)*BB$41</f>
      </c>
      <c r="BC403" s="6"/>
      <c r="BD403" s="3"/>
      <c r="BE403" s="3"/>
      <c r="BF403" s="7">
        <f>AF403*E403</f>
      </c>
      <c r="BG403" s="6"/>
      <c r="BH403" s="3"/>
      <c r="BI403" s="6"/>
    </row>
    <row x14ac:dyDescent="0.25" r="404" customHeight="1" ht="12.75">
      <c r="A404" s="5" t="s">
        <v>789</v>
      </c>
      <c r="B404" s="38" t="s">
        <v>859</v>
      </c>
      <c r="C404" s="43" t="s">
        <v>866</v>
      </c>
      <c r="D404" s="34" t="s">
        <v>988</v>
      </c>
      <c r="E404" s="6">
        <v>0.9</v>
      </c>
      <c r="F404" s="6">
        <v>2.54</v>
      </c>
      <c r="G404" s="6">
        <v>1.45</v>
      </c>
      <c r="H404" s="7"/>
      <c r="I404" s="6"/>
      <c r="J404" s="6"/>
      <c r="K404" s="7"/>
      <c r="L404" s="6"/>
      <c r="M404" s="6"/>
      <c r="N404" s="23"/>
      <c r="O404" s="5"/>
      <c r="P404" s="6"/>
      <c r="Q404" s="6"/>
      <c r="R404" s="6"/>
      <c r="S404" s="6"/>
      <c r="T404" s="6"/>
      <c r="U404" s="6"/>
      <c r="V404" s="5"/>
      <c r="W404" s="6"/>
      <c r="X404" s="6">
        <f>E404*F404/100</f>
      </c>
      <c r="Y404" s="6">
        <f>E404*G404/100</f>
      </c>
      <c r="Z404" s="7">
        <f>E404*H404</f>
      </c>
      <c r="AA404" s="7">
        <f>E404*J404</f>
      </c>
      <c r="AB404" s="6">
        <f>E404*I404/100</f>
      </c>
      <c r="AC404" s="15">
        <f>X404+Y404+AB404</f>
      </c>
      <c r="AD404" s="6">
        <f>F404+G404+I404</f>
      </c>
      <c r="AE404" s="3"/>
      <c r="AF404" s="6">
        <f>SUM(AM404:BC404)</f>
      </c>
      <c r="AG404" s="5">
        <f>IF(SUM(AM404:AO404)&gt;0.7*AF404,1,0)</f>
      </c>
      <c r="AH404" s="5">
        <f>IF(AN404&gt;0.4*AF404,1,0)</f>
      </c>
      <c r="AI404" s="5">
        <f>IF(SUM(AP404:AQ404)&gt;0.3*AF404,1,0)</f>
      </c>
      <c r="AJ404" s="5">
        <f>IF(AQ404&gt;0.2*AF404,1,0)</f>
      </c>
      <c r="AK404" s="5">
        <f>IF(SUM(AR404:BC404)&gt;0.3*AF404,1,0)</f>
      </c>
      <c r="AL404" s="3"/>
      <c r="AM404" s="6">
        <f>(F404/100)*AM$41</f>
      </c>
      <c r="AN404" s="6">
        <f>(G404/100)*AN$41</f>
      </c>
      <c r="AO404" s="6">
        <f>(H404/1000000)*AO$41</f>
      </c>
      <c r="AP404" s="6">
        <f>(I404/100)*AP$41</f>
      </c>
      <c r="AQ404" s="6">
        <f>(J404/1000000)*AQ$41</f>
      </c>
      <c r="AR404" s="6">
        <f>(K404/100)*AR$41</f>
      </c>
      <c r="AS404" s="6">
        <f>(L404/100)*AS$41</f>
      </c>
      <c r="AT404" s="6">
        <f>(M404/100)*AT$41</f>
      </c>
      <c r="AU404" s="6">
        <f>(N404/100)*AU$41</f>
      </c>
      <c r="AV404" s="6">
        <f>(O404/1000000)*AV$41</f>
      </c>
      <c r="AW404" s="6">
        <f>(P404/100)*AW$41</f>
      </c>
      <c r="AX404" s="6">
        <f>(Q404/100)*AX$41</f>
      </c>
      <c r="AY404" s="6">
        <f>(R404/100)*AY$41</f>
      </c>
      <c r="AZ404" s="6">
        <f>(S404/100)*AZ$41</f>
      </c>
      <c r="BA404" s="6">
        <f>(T404/100)*BA$41</f>
      </c>
      <c r="BB404" s="6">
        <f>(U404/100)*BB$41</f>
      </c>
      <c r="BC404" s="6"/>
      <c r="BD404" s="3"/>
      <c r="BE404" s="3"/>
      <c r="BF404" s="7">
        <f>AF404*E404</f>
      </c>
      <c r="BG404" s="6"/>
      <c r="BH404" s="3"/>
      <c r="BI404" s="6"/>
    </row>
    <row x14ac:dyDescent="0.25" r="405" customHeight="1" ht="12.75">
      <c r="A405" s="5" t="s">
        <v>642</v>
      </c>
      <c r="B405" s="38" t="s">
        <v>859</v>
      </c>
      <c r="C405" s="43" t="s">
        <v>866</v>
      </c>
      <c r="D405" s="34" t="s">
        <v>988</v>
      </c>
      <c r="E405" s="6">
        <v>18.38</v>
      </c>
      <c r="F405" s="6">
        <v>0.79</v>
      </c>
      <c r="G405" s="6">
        <v>1.3</v>
      </c>
      <c r="H405" s="5">
        <v>21</v>
      </c>
      <c r="I405" s="6"/>
      <c r="J405" s="6"/>
      <c r="K405" s="7"/>
      <c r="L405" s="6"/>
      <c r="M405" s="6"/>
      <c r="N405" s="23"/>
      <c r="O405" s="5"/>
      <c r="P405" s="6"/>
      <c r="Q405" s="6"/>
      <c r="R405" s="6"/>
      <c r="S405" s="6"/>
      <c r="T405" s="6"/>
      <c r="U405" s="6"/>
      <c r="V405" s="5"/>
      <c r="W405" s="6"/>
      <c r="X405" s="6">
        <f>E405*F405/100</f>
      </c>
      <c r="Y405" s="6">
        <f>E405*G405/100</f>
      </c>
      <c r="Z405" s="7">
        <f>E405*H405</f>
      </c>
      <c r="AA405" s="7">
        <f>E405*J405</f>
      </c>
      <c r="AB405" s="6">
        <f>E405*I405/100</f>
      </c>
      <c r="AC405" s="15">
        <f>X405+Y405+AB405</f>
      </c>
      <c r="AD405" s="6">
        <f>F405+G405+I405</f>
      </c>
      <c r="AE405" s="3"/>
      <c r="AF405" s="6">
        <f>SUM(AM405:BC405)</f>
      </c>
      <c r="AG405" s="5">
        <f>IF(SUM(AM405:AO405)&gt;0.7*AF405,1,0)</f>
      </c>
      <c r="AH405" s="5">
        <f>IF(AN405&gt;0.4*AF405,1,0)</f>
      </c>
      <c r="AI405" s="5">
        <f>IF(SUM(AP405:AQ405)&gt;0.3*AF405,1,0)</f>
      </c>
      <c r="AJ405" s="5">
        <f>IF(AQ405&gt;0.2*AF405,1,0)</f>
      </c>
      <c r="AK405" s="5">
        <f>IF(SUM(AR405:BC405)&gt;0.3*AF405,1,0)</f>
      </c>
      <c r="AL405" s="3"/>
      <c r="AM405" s="6">
        <f>(F405/100)*AM$41</f>
      </c>
      <c r="AN405" s="6">
        <f>(G405/100)*AN$41</f>
      </c>
      <c r="AO405" s="6">
        <f>(H405/1000000)*AO$41</f>
      </c>
      <c r="AP405" s="6">
        <f>(I405/100)*AP$41</f>
      </c>
      <c r="AQ405" s="6">
        <f>(J405/1000000)*AQ$41</f>
      </c>
      <c r="AR405" s="6">
        <f>(K405/100)*AR$41</f>
      </c>
      <c r="AS405" s="6">
        <f>(L405/100)*AS$41</f>
      </c>
      <c r="AT405" s="6">
        <f>(M405/100)*AT$41</f>
      </c>
      <c r="AU405" s="6">
        <f>(N405/100)*AU$41</f>
      </c>
      <c r="AV405" s="6">
        <f>(O405/1000000)*AV$41</f>
      </c>
      <c r="AW405" s="6">
        <f>(P405/100)*AW$41</f>
      </c>
      <c r="AX405" s="6">
        <f>(Q405/100)*AX$41</f>
      </c>
      <c r="AY405" s="6">
        <f>(R405/100)*AY$41</f>
      </c>
      <c r="AZ405" s="6">
        <f>(S405/100)*AZ$41</f>
      </c>
      <c r="BA405" s="6">
        <f>(T405/100)*BA$41</f>
      </c>
      <c r="BB405" s="6">
        <f>(U405/100)*BB$41</f>
      </c>
      <c r="BC405" s="6"/>
      <c r="BD405" s="3"/>
      <c r="BE405" s="3"/>
      <c r="BF405" s="7">
        <f>AF405*E405</f>
      </c>
      <c r="BG405" s="6"/>
      <c r="BH405" s="3"/>
      <c r="BI405" s="6"/>
    </row>
    <row x14ac:dyDescent="0.25" r="406" customHeight="1" ht="12.75">
      <c r="A406" s="5" t="s">
        <v>757</v>
      </c>
      <c r="B406" s="38" t="s">
        <v>859</v>
      </c>
      <c r="C406" s="43" t="s">
        <v>866</v>
      </c>
      <c r="D406" s="34" t="s">
        <v>988</v>
      </c>
      <c r="E406" s="6">
        <v>1.47</v>
      </c>
      <c r="F406" s="6">
        <v>1.9</v>
      </c>
      <c r="G406" s="6">
        <v>2.59</v>
      </c>
      <c r="H406" s="7"/>
      <c r="I406" s="6"/>
      <c r="J406" s="6"/>
      <c r="K406" s="7"/>
      <c r="L406" s="6"/>
      <c r="M406" s="6"/>
      <c r="N406" s="23"/>
      <c r="O406" s="5"/>
      <c r="P406" s="6"/>
      <c r="Q406" s="6"/>
      <c r="R406" s="6"/>
      <c r="S406" s="6"/>
      <c r="T406" s="6"/>
      <c r="U406" s="6"/>
      <c r="V406" s="5"/>
      <c r="W406" s="6"/>
      <c r="X406" s="6">
        <f>E406*F406/100</f>
      </c>
      <c r="Y406" s="6">
        <f>E406*G406/100</f>
      </c>
      <c r="Z406" s="7">
        <f>E406*H406</f>
      </c>
      <c r="AA406" s="7">
        <f>E406*J406</f>
      </c>
      <c r="AB406" s="6">
        <f>E406*I406/100</f>
      </c>
      <c r="AC406" s="15">
        <f>X406+Y406+AB406</f>
      </c>
      <c r="AD406" s="6">
        <f>F406+G406+I406</f>
      </c>
      <c r="AE406" s="3"/>
      <c r="AF406" s="6">
        <f>SUM(AM406:BC406)</f>
      </c>
      <c r="AG406" s="5">
        <f>IF(SUM(AM406:AO406)&gt;0.7*AF406,1,0)</f>
      </c>
      <c r="AH406" s="5">
        <f>IF(AN406&gt;0.4*AF406,1,0)</f>
      </c>
      <c r="AI406" s="5">
        <f>IF(SUM(AP406:AQ406)&gt;0.3*AF406,1,0)</f>
      </c>
      <c r="AJ406" s="5">
        <f>IF(AQ406&gt;0.2*AF406,1,0)</f>
      </c>
      <c r="AK406" s="5">
        <f>IF(SUM(AR406:BC406)&gt;0.3*AF406,1,0)</f>
      </c>
      <c r="AL406" s="3"/>
      <c r="AM406" s="6">
        <f>(F406/100)*AM$41</f>
      </c>
      <c r="AN406" s="6">
        <f>(G406/100)*AN$41</f>
      </c>
      <c r="AO406" s="6">
        <f>(H406/1000000)*AO$41</f>
      </c>
      <c r="AP406" s="6">
        <f>(I406/100)*AP$41</f>
      </c>
      <c r="AQ406" s="6">
        <f>(J406/1000000)*AQ$41</f>
      </c>
      <c r="AR406" s="6">
        <f>(K406/100)*AR$41</f>
      </c>
      <c r="AS406" s="6">
        <f>(L406/100)*AS$41</f>
      </c>
      <c r="AT406" s="6">
        <f>(M406/100)*AT$41</f>
      </c>
      <c r="AU406" s="6">
        <f>(N406/100)*AU$41</f>
      </c>
      <c r="AV406" s="6">
        <f>(O406/1000000)*AV$41</f>
      </c>
      <c r="AW406" s="6">
        <f>(P406/100)*AW$41</f>
      </c>
      <c r="AX406" s="6">
        <f>(Q406/100)*AX$41</f>
      </c>
      <c r="AY406" s="6">
        <f>(R406/100)*AY$41</f>
      </c>
      <c r="AZ406" s="6">
        <f>(S406/100)*AZ$41</f>
      </c>
      <c r="BA406" s="6">
        <f>(T406/100)*BA$41</f>
      </c>
      <c r="BB406" s="6">
        <f>(U406/100)*BB$41</f>
      </c>
      <c r="BC406" s="6"/>
      <c r="BD406" s="3"/>
      <c r="BE406" s="3"/>
      <c r="BF406" s="7">
        <f>AF406*E406</f>
      </c>
      <c r="BG406" s="6"/>
      <c r="BH406" s="3"/>
      <c r="BI406" s="6"/>
    </row>
    <row x14ac:dyDescent="0.25" r="407" customHeight="1" ht="12.75">
      <c r="A407" s="5" t="s">
        <v>824</v>
      </c>
      <c r="B407" s="38" t="s">
        <v>859</v>
      </c>
      <c r="C407" s="43" t="s">
        <v>866</v>
      </c>
      <c r="D407" s="34" t="s">
        <v>988</v>
      </c>
      <c r="E407" s="6">
        <v>1.15</v>
      </c>
      <c r="F407" s="6">
        <v>1.75</v>
      </c>
      <c r="G407" s="6">
        <v>1.13</v>
      </c>
      <c r="H407" s="7"/>
      <c r="I407" s="6"/>
      <c r="J407" s="6"/>
      <c r="K407" s="7"/>
      <c r="L407" s="6"/>
      <c r="M407" s="6"/>
      <c r="N407" s="23"/>
      <c r="O407" s="5"/>
      <c r="P407" s="6"/>
      <c r="Q407" s="6"/>
      <c r="R407" s="6"/>
      <c r="S407" s="6"/>
      <c r="T407" s="6"/>
      <c r="U407" s="6"/>
      <c r="V407" s="5"/>
      <c r="W407" s="6"/>
      <c r="X407" s="6">
        <f>E407*F407/100</f>
      </c>
      <c r="Y407" s="6">
        <f>E407*G407/100</f>
      </c>
      <c r="Z407" s="7">
        <f>E407*H407</f>
      </c>
      <c r="AA407" s="7">
        <f>E407*J407</f>
      </c>
      <c r="AB407" s="6">
        <f>E407*I407/100</f>
      </c>
      <c r="AC407" s="15">
        <f>X407+Y407+AB407</f>
      </c>
      <c r="AD407" s="6">
        <f>F407+G407+I407</f>
      </c>
      <c r="AE407" s="3"/>
      <c r="AF407" s="6">
        <f>SUM(AM407:BC407)</f>
      </c>
      <c r="AG407" s="5">
        <f>IF(SUM(AM407:AO407)&gt;0.7*AF407,1,0)</f>
      </c>
      <c r="AH407" s="5">
        <f>IF(AN407&gt;0.4*AF407,1,0)</f>
      </c>
      <c r="AI407" s="5">
        <f>IF(SUM(AP407:AQ407)&gt;0.3*AF407,1,0)</f>
      </c>
      <c r="AJ407" s="5">
        <f>IF(AQ407&gt;0.2*AF407,1,0)</f>
      </c>
      <c r="AK407" s="5">
        <f>IF(SUM(AR407:BC407)&gt;0.3*AF407,1,0)</f>
      </c>
      <c r="AL407" s="3"/>
      <c r="AM407" s="6">
        <f>(F407/100)*AM$41</f>
      </c>
      <c r="AN407" s="6">
        <f>(G407/100)*AN$41</f>
      </c>
      <c r="AO407" s="6">
        <f>(H407/1000000)*AO$41</f>
      </c>
      <c r="AP407" s="6">
        <f>(I407/100)*AP$41</f>
      </c>
      <c r="AQ407" s="6">
        <f>(J407/1000000)*AQ$41</f>
      </c>
      <c r="AR407" s="6">
        <f>(K407/100)*AR$41</f>
      </c>
      <c r="AS407" s="6">
        <f>(L407/100)*AS$41</f>
      </c>
      <c r="AT407" s="6">
        <f>(M407/100)*AT$41</f>
      </c>
      <c r="AU407" s="6">
        <f>(N407/100)*AU$41</f>
      </c>
      <c r="AV407" s="6">
        <f>(O407/1000000)*AV$41</f>
      </c>
      <c r="AW407" s="6">
        <f>(P407/100)*AW$41</f>
      </c>
      <c r="AX407" s="6">
        <f>(Q407/100)*AX$41</f>
      </c>
      <c r="AY407" s="6">
        <f>(R407/100)*AY$41</f>
      </c>
      <c r="AZ407" s="6">
        <f>(S407/100)*AZ$41</f>
      </c>
      <c r="BA407" s="6">
        <f>(T407/100)*BA$41</f>
      </c>
      <c r="BB407" s="6">
        <f>(U407/100)*BB$41</f>
      </c>
      <c r="BC407" s="6"/>
      <c r="BD407" s="3"/>
      <c r="BE407" s="3"/>
      <c r="BF407" s="7">
        <f>AF407*E407</f>
      </c>
      <c r="BG407" s="6"/>
      <c r="BH407" s="3"/>
      <c r="BI407" s="6"/>
    </row>
    <row x14ac:dyDescent="0.25" r="408" customHeight="1" ht="12.75">
      <c r="A408" s="5" t="s">
        <v>442</v>
      </c>
      <c r="B408" s="38" t="s">
        <v>859</v>
      </c>
      <c r="C408" s="43" t="s">
        <v>866</v>
      </c>
      <c r="D408" s="34" t="s">
        <v>989</v>
      </c>
      <c r="E408" s="6">
        <v>1.16</v>
      </c>
      <c r="F408" s="6">
        <v>2.7522</v>
      </c>
      <c r="G408" s="6">
        <v>5.5878000000000005</v>
      </c>
      <c r="H408" s="7"/>
      <c r="I408" s="6"/>
      <c r="J408" s="6"/>
      <c r="K408" s="7"/>
      <c r="L408" s="6"/>
      <c r="M408" s="6"/>
      <c r="N408" s="23"/>
      <c r="O408" s="5"/>
      <c r="P408" s="6"/>
      <c r="Q408" s="6"/>
      <c r="R408" s="6"/>
      <c r="S408" s="6"/>
      <c r="T408" s="6"/>
      <c r="U408" s="6"/>
      <c r="V408" s="5"/>
      <c r="W408" s="6"/>
      <c r="X408" s="6">
        <f>E408*F408/100</f>
      </c>
      <c r="Y408" s="6">
        <f>E408*G408/100</f>
      </c>
      <c r="Z408" s="7">
        <f>E408*H408</f>
      </c>
      <c r="AA408" s="7">
        <f>E408*J408</f>
      </c>
      <c r="AB408" s="6">
        <f>E408*I408/100</f>
      </c>
      <c r="AC408" s="15">
        <f>X408+Y408+AB408</f>
      </c>
      <c r="AD408" s="6">
        <f>F408+G408+I408</f>
      </c>
      <c r="AE408" s="3"/>
      <c r="AF408" s="6">
        <f>SUM(AM408:BC408)</f>
      </c>
      <c r="AG408" s="5">
        <f>IF(SUM(AM408:AO408)&gt;0.7*AF408,1,0)</f>
      </c>
      <c r="AH408" s="5">
        <f>IF(AN408&gt;0.4*AF408,1,0)</f>
      </c>
      <c r="AI408" s="5">
        <f>IF(SUM(AP408:AQ408)&gt;0.3*AF408,1,0)</f>
      </c>
      <c r="AJ408" s="5">
        <f>IF(AQ408&gt;0.2*AF408,1,0)</f>
      </c>
      <c r="AK408" s="5">
        <f>IF(SUM(AR408:BC408)&gt;0.3*AF408,1,0)</f>
      </c>
      <c r="AL408" s="3"/>
      <c r="AM408" s="6">
        <f>(F408/100)*AM$41</f>
      </c>
      <c r="AN408" s="6">
        <f>(G408/100)*AN$41</f>
      </c>
      <c r="AO408" s="6">
        <f>(H408/1000000)*AO$41</f>
      </c>
      <c r="AP408" s="6">
        <f>(I408/100)*AP$41</f>
      </c>
      <c r="AQ408" s="6">
        <f>(J408/1000000)*AQ$41</f>
      </c>
      <c r="AR408" s="6">
        <f>(K408/100)*AR$41</f>
      </c>
      <c r="AS408" s="6">
        <f>(L408/100)*AS$41</f>
      </c>
      <c r="AT408" s="6">
        <f>(M408/100)*AT$41</f>
      </c>
      <c r="AU408" s="6">
        <f>(N408/100)*AU$41</f>
      </c>
      <c r="AV408" s="6">
        <f>(O408/1000000)*AV$41</f>
      </c>
      <c r="AW408" s="6">
        <f>(P408/100)*AW$41</f>
      </c>
      <c r="AX408" s="6">
        <f>(Q408/100)*AX$41</f>
      </c>
      <c r="AY408" s="6">
        <f>(R408/100)*AY$41</f>
      </c>
      <c r="AZ408" s="6">
        <f>(S408/100)*AZ$41</f>
      </c>
      <c r="BA408" s="6">
        <f>(T408/100)*BA$41</f>
      </c>
      <c r="BB408" s="6">
        <f>(U408/100)*BB$41</f>
      </c>
      <c r="BC408" s="6"/>
      <c r="BD408" s="3"/>
      <c r="BE408" s="3"/>
      <c r="BF408" s="7">
        <f>AF408*E408</f>
      </c>
      <c r="BG408" s="6"/>
      <c r="BH408" s="3"/>
      <c r="BI408" s="6"/>
    </row>
    <row x14ac:dyDescent="0.25" r="409" customHeight="1" ht="12.75">
      <c r="A409" s="5" t="s">
        <v>356</v>
      </c>
      <c r="B409" s="38" t="s">
        <v>859</v>
      </c>
      <c r="C409" s="43" t="s">
        <v>866</v>
      </c>
      <c r="D409" s="34" t="s">
        <v>989</v>
      </c>
      <c r="E409" s="5">
        <v>10</v>
      </c>
      <c r="F409" s="6">
        <v>2.4</v>
      </c>
      <c r="G409" s="6">
        <v>7.4</v>
      </c>
      <c r="H409" s="7"/>
      <c r="I409" s="6"/>
      <c r="J409" s="6"/>
      <c r="K409" s="7"/>
      <c r="L409" s="6"/>
      <c r="M409" s="6"/>
      <c r="N409" s="23"/>
      <c r="O409" s="5"/>
      <c r="P409" s="6"/>
      <c r="Q409" s="6"/>
      <c r="R409" s="6"/>
      <c r="S409" s="6"/>
      <c r="T409" s="6"/>
      <c r="U409" s="6"/>
      <c r="V409" s="5"/>
      <c r="W409" s="6"/>
      <c r="X409" s="6">
        <f>E409*F409/100</f>
      </c>
      <c r="Y409" s="6">
        <f>E409*G409/100</f>
      </c>
      <c r="Z409" s="7">
        <f>E409*H409</f>
      </c>
      <c r="AA409" s="7">
        <f>E409*J409</f>
      </c>
      <c r="AB409" s="6">
        <f>E409*I409/100</f>
      </c>
      <c r="AC409" s="15">
        <f>X409+Y409+AB409</f>
      </c>
      <c r="AD409" s="6">
        <f>F409+G409+I409</f>
      </c>
      <c r="AE409" s="3"/>
      <c r="AF409" s="6">
        <f>SUM(AM409:BC409)</f>
      </c>
      <c r="AG409" s="5">
        <f>IF(SUM(AM409:AO409)&gt;0.7*AF409,1,0)</f>
      </c>
      <c r="AH409" s="5">
        <f>IF(AN409&gt;0.4*AF409,1,0)</f>
      </c>
      <c r="AI409" s="5">
        <f>IF(SUM(AP409:AQ409)&gt;0.3*AF409,1,0)</f>
      </c>
      <c r="AJ409" s="5">
        <f>IF(AQ409&gt;0.2*AF409,1,0)</f>
      </c>
      <c r="AK409" s="5">
        <f>IF(SUM(AR409:BC409)&gt;0.3*AF409,1,0)</f>
      </c>
      <c r="AL409" s="3"/>
      <c r="AM409" s="6">
        <f>(F409/100)*AM$41</f>
      </c>
      <c r="AN409" s="6">
        <f>(G409/100)*AN$41</f>
      </c>
      <c r="AO409" s="6">
        <f>(H409/1000000)*AO$41</f>
      </c>
      <c r="AP409" s="6">
        <f>(I409/100)*AP$41</f>
      </c>
      <c r="AQ409" s="6">
        <f>(J409/1000000)*AQ$41</f>
      </c>
      <c r="AR409" s="6">
        <f>(K409/100)*AR$41</f>
      </c>
      <c r="AS409" s="6">
        <f>(L409/100)*AS$41</f>
      </c>
      <c r="AT409" s="6">
        <f>(M409/100)*AT$41</f>
      </c>
      <c r="AU409" s="6">
        <f>(N409/100)*AU$41</f>
      </c>
      <c r="AV409" s="6">
        <f>(O409/1000000)*AV$41</f>
      </c>
      <c r="AW409" s="6">
        <f>(P409/100)*AW$41</f>
      </c>
      <c r="AX409" s="6">
        <f>(Q409/100)*AX$41</f>
      </c>
      <c r="AY409" s="6">
        <f>(R409/100)*AY$41</f>
      </c>
      <c r="AZ409" s="6">
        <f>(S409/100)*AZ$41</f>
      </c>
      <c r="BA409" s="6">
        <f>(T409/100)*BA$41</f>
      </c>
      <c r="BB409" s="6">
        <f>(U409/100)*BB$41</f>
      </c>
      <c r="BC409" s="6"/>
      <c r="BD409" s="3"/>
      <c r="BE409" s="3"/>
      <c r="BF409" s="7">
        <f>AF409*E409</f>
      </c>
      <c r="BG409" s="6"/>
      <c r="BH409" s="3"/>
      <c r="BI409" s="6"/>
    </row>
    <row x14ac:dyDescent="0.25" r="410" customHeight="1" ht="12.75">
      <c r="A410" s="5" t="s">
        <v>99</v>
      </c>
      <c r="B410" s="38" t="s">
        <v>859</v>
      </c>
      <c r="C410" s="43" t="s">
        <v>866</v>
      </c>
      <c r="D410" s="34" t="s">
        <v>989</v>
      </c>
      <c r="E410" s="6">
        <v>0.9</v>
      </c>
      <c r="F410" s="6">
        <v>5.4</v>
      </c>
      <c r="G410" s="6">
        <v>12.1</v>
      </c>
      <c r="H410" s="7"/>
      <c r="I410" s="6"/>
      <c r="J410" s="6"/>
      <c r="K410" s="7"/>
      <c r="L410" s="6"/>
      <c r="M410" s="6"/>
      <c r="N410" s="23"/>
      <c r="O410" s="5"/>
      <c r="P410" s="6"/>
      <c r="Q410" s="6"/>
      <c r="R410" s="6"/>
      <c r="S410" s="6"/>
      <c r="T410" s="6"/>
      <c r="U410" s="6"/>
      <c r="V410" s="5"/>
      <c r="W410" s="6"/>
      <c r="X410" s="6">
        <f>E410*F410/100</f>
      </c>
      <c r="Y410" s="6">
        <f>E410*G410/100</f>
      </c>
      <c r="Z410" s="7">
        <f>E410*H410</f>
      </c>
      <c r="AA410" s="7">
        <f>E410*J410</f>
      </c>
      <c r="AB410" s="6">
        <f>E410*I410/100</f>
      </c>
      <c r="AC410" s="15">
        <f>X410+Y410+AB410</f>
      </c>
      <c r="AD410" s="6">
        <f>F410+G410+I410</f>
      </c>
      <c r="AE410" s="3"/>
      <c r="AF410" s="6">
        <f>SUM(AM410:BC410)</f>
      </c>
      <c r="AG410" s="5">
        <f>IF(SUM(AM410:AO410)&gt;0.7*AF410,1,0)</f>
      </c>
      <c r="AH410" s="5">
        <f>IF(AN410&gt;0.4*AF410,1,0)</f>
      </c>
      <c r="AI410" s="5">
        <f>IF(SUM(AP410:AQ410)&gt;0.3*AF410,1,0)</f>
      </c>
      <c r="AJ410" s="5">
        <f>IF(AQ410&gt;0.2*AF410,1,0)</f>
      </c>
      <c r="AK410" s="5">
        <f>IF(SUM(AR410:BC410)&gt;0.3*AF410,1,0)</f>
      </c>
      <c r="AL410" s="3"/>
      <c r="AM410" s="6">
        <f>(F410/100)*AM$41</f>
      </c>
      <c r="AN410" s="6">
        <f>(G410/100)*AN$41</f>
      </c>
      <c r="AO410" s="6">
        <f>(H410/1000000)*AO$41</f>
      </c>
      <c r="AP410" s="6">
        <f>(I410/100)*AP$41</f>
      </c>
      <c r="AQ410" s="6">
        <f>(J410/1000000)*AQ$41</f>
      </c>
      <c r="AR410" s="6">
        <f>(K410/100)*AR$41</f>
      </c>
      <c r="AS410" s="6">
        <f>(L410/100)*AS$41</f>
      </c>
      <c r="AT410" s="6">
        <f>(M410/100)*AT$41</f>
      </c>
      <c r="AU410" s="6">
        <f>(N410/100)*AU$41</f>
      </c>
      <c r="AV410" s="6">
        <f>(O410/1000000)*AV$41</f>
      </c>
      <c r="AW410" s="6">
        <f>(P410/100)*AW$41</f>
      </c>
      <c r="AX410" s="6">
        <f>(Q410/100)*AX$41</f>
      </c>
      <c r="AY410" s="6">
        <f>(R410/100)*AY$41</f>
      </c>
      <c r="AZ410" s="6">
        <f>(S410/100)*AZ$41</f>
      </c>
      <c r="BA410" s="6">
        <f>(T410/100)*BA$41</f>
      </c>
      <c r="BB410" s="6">
        <f>(U410/100)*BB$41</f>
      </c>
      <c r="BC410" s="6"/>
      <c r="BD410" s="3"/>
      <c r="BE410" s="3"/>
      <c r="BF410" s="7">
        <f>AF410*E410</f>
      </c>
      <c r="BG410" s="6"/>
      <c r="BH410" s="3"/>
      <c r="BI410" s="6"/>
    </row>
    <row x14ac:dyDescent="0.25" r="411" customHeight="1" ht="12.75">
      <c r="A411" s="5" t="s">
        <v>175</v>
      </c>
      <c r="B411" s="38" t="s">
        <v>859</v>
      </c>
      <c r="C411" s="43" t="s">
        <v>866</v>
      </c>
      <c r="D411" s="34" t="s">
        <v>988</v>
      </c>
      <c r="E411" s="5">
        <v>4</v>
      </c>
      <c r="F411" s="5">
        <v>3</v>
      </c>
      <c r="G411" s="5">
        <v>10</v>
      </c>
      <c r="H411" s="7"/>
      <c r="I411" s="6"/>
      <c r="J411" s="6"/>
      <c r="K411" s="7"/>
      <c r="L411" s="6"/>
      <c r="M411" s="6"/>
      <c r="N411" s="23"/>
      <c r="O411" s="5"/>
      <c r="P411" s="6"/>
      <c r="Q411" s="6"/>
      <c r="R411" s="6"/>
      <c r="S411" s="6"/>
      <c r="T411" s="6"/>
      <c r="U411" s="6"/>
      <c r="V411" s="5"/>
      <c r="W411" s="6"/>
      <c r="X411" s="6">
        <f>E411*F411/100</f>
      </c>
      <c r="Y411" s="6">
        <f>E411*G411/100</f>
      </c>
      <c r="Z411" s="7">
        <f>E411*H411</f>
      </c>
      <c r="AA411" s="7">
        <f>E411*J411</f>
      </c>
      <c r="AB411" s="6">
        <f>E411*I411/100</f>
      </c>
      <c r="AC411" s="15">
        <f>X411+Y411+AB411</f>
      </c>
      <c r="AD411" s="6">
        <f>F411+G411+I411</f>
      </c>
      <c r="AE411" s="3"/>
      <c r="AF411" s="6">
        <f>SUM(AM411:BC411)</f>
      </c>
      <c r="AG411" s="5">
        <f>IF(SUM(AM411:AO411)&gt;0.7*AF411,1,0)</f>
      </c>
      <c r="AH411" s="5">
        <f>IF(AN411&gt;0.4*AF411,1,0)</f>
      </c>
      <c r="AI411" s="5">
        <f>IF(SUM(AP411:AQ411)&gt;0.3*AF411,1,0)</f>
      </c>
      <c r="AJ411" s="5">
        <f>IF(AQ411&gt;0.2*AF411,1,0)</f>
      </c>
      <c r="AK411" s="5">
        <f>IF(SUM(AR411:BC411)&gt;0.3*AF411,1,0)</f>
      </c>
      <c r="AL411" s="3"/>
      <c r="AM411" s="6">
        <f>(F411/100)*AM$41</f>
      </c>
      <c r="AN411" s="6">
        <f>(G411/100)*AN$41</f>
      </c>
      <c r="AO411" s="6">
        <f>(H411/1000000)*AO$41</f>
      </c>
      <c r="AP411" s="6">
        <f>(I411/100)*AP$41</f>
      </c>
      <c r="AQ411" s="6">
        <f>(J411/1000000)*AQ$41</f>
      </c>
      <c r="AR411" s="6">
        <f>(K411/100)*AR$41</f>
      </c>
      <c r="AS411" s="6">
        <f>(L411/100)*AS$41</f>
      </c>
      <c r="AT411" s="6">
        <f>(M411/100)*AT$41</f>
      </c>
      <c r="AU411" s="6">
        <f>(N411/100)*AU$41</f>
      </c>
      <c r="AV411" s="6">
        <f>(O411/1000000)*AV$41</f>
      </c>
      <c r="AW411" s="6">
        <f>(P411/100)*AW$41</f>
      </c>
      <c r="AX411" s="6">
        <f>(Q411/100)*AX$41</f>
      </c>
      <c r="AY411" s="6">
        <f>(R411/100)*AY$41</f>
      </c>
      <c r="AZ411" s="6">
        <f>(S411/100)*AZ$41</f>
      </c>
      <c r="BA411" s="6">
        <f>(T411/100)*BA$41</f>
      </c>
      <c r="BB411" s="6">
        <f>(U411/100)*BB$41</f>
      </c>
      <c r="BC411" s="6"/>
      <c r="BD411" s="3"/>
      <c r="BE411" s="3"/>
      <c r="BF411" s="7">
        <f>AF411*E411</f>
      </c>
      <c r="BG411" s="6"/>
      <c r="BH411" s="3"/>
      <c r="BI411" s="6"/>
    </row>
    <row x14ac:dyDescent="0.25" r="412" customHeight="1" ht="12.75">
      <c r="A412" s="5" t="s">
        <v>40</v>
      </c>
      <c r="B412" s="38" t="s">
        <v>859</v>
      </c>
      <c r="C412" s="43" t="s">
        <v>866</v>
      </c>
      <c r="D412" s="34" t="s">
        <v>989</v>
      </c>
      <c r="E412" s="5">
        <v>266</v>
      </c>
      <c r="F412" s="6">
        <v>0.88</v>
      </c>
      <c r="G412" s="6">
        <v>4.21</v>
      </c>
      <c r="H412" s="7"/>
      <c r="I412" s="6"/>
      <c r="J412" s="6"/>
      <c r="K412" s="7"/>
      <c r="L412" s="6"/>
      <c r="M412" s="6"/>
      <c r="N412" s="23"/>
      <c r="O412" s="5"/>
      <c r="P412" s="6"/>
      <c r="Q412" s="6"/>
      <c r="R412" s="6"/>
      <c r="S412" s="6"/>
      <c r="T412" s="6"/>
      <c r="U412" s="6"/>
      <c r="V412" s="5"/>
      <c r="W412" s="6"/>
      <c r="X412" s="6">
        <f>E412*F412/100</f>
      </c>
      <c r="Y412" s="6">
        <f>E412*G412/100</f>
      </c>
      <c r="Z412" s="7">
        <f>E412*H412</f>
      </c>
      <c r="AA412" s="7">
        <f>E412*J412</f>
      </c>
      <c r="AB412" s="6">
        <f>E412*I412/100</f>
      </c>
      <c r="AC412" s="15">
        <f>X412+Y412+AB412</f>
      </c>
      <c r="AD412" s="6">
        <f>F412+G412+I412</f>
      </c>
      <c r="AE412" s="3"/>
      <c r="AF412" s="6">
        <f>SUM(AM412:BC412)</f>
      </c>
      <c r="AG412" s="5">
        <f>IF(SUM(AM412:AO412)&gt;0.7*AF412,1,0)</f>
      </c>
      <c r="AH412" s="5">
        <f>IF(AN412&gt;0.4*AF412,1,0)</f>
      </c>
      <c r="AI412" s="5">
        <f>IF(SUM(AP412:AQ412)&gt;0.3*AF412,1,0)</f>
      </c>
      <c r="AJ412" s="5">
        <f>IF(AQ412&gt;0.2*AF412,1,0)</f>
      </c>
      <c r="AK412" s="5">
        <f>IF(SUM(AR412:BC412)&gt;0.3*AF412,1,0)</f>
      </c>
      <c r="AL412" s="3"/>
      <c r="AM412" s="6">
        <f>(F412/100)*AM$41</f>
      </c>
      <c r="AN412" s="6">
        <f>(G412/100)*AN$41</f>
      </c>
      <c r="AO412" s="6">
        <f>(H412/1000000)*AO$41</f>
      </c>
      <c r="AP412" s="6">
        <f>(I412/100)*AP$41</f>
      </c>
      <c r="AQ412" s="6">
        <f>(J412/1000000)*AQ$41</f>
      </c>
      <c r="AR412" s="6">
        <f>(K412/100)*AR$41</f>
      </c>
      <c r="AS412" s="6">
        <f>(L412/100)*AS$41</f>
      </c>
      <c r="AT412" s="6">
        <f>(M412/100)*AT$41</f>
      </c>
      <c r="AU412" s="6">
        <f>(N412/100)*AU$41</f>
      </c>
      <c r="AV412" s="6">
        <f>(O412/1000000)*AV$41</f>
      </c>
      <c r="AW412" s="6">
        <f>(P412/100)*AW$41</f>
      </c>
      <c r="AX412" s="6">
        <f>(Q412/100)*AX$41</f>
      </c>
      <c r="AY412" s="6">
        <f>(R412/100)*AY$41</f>
      </c>
      <c r="AZ412" s="6">
        <f>(S412/100)*AZ$41</f>
      </c>
      <c r="BA412" s="6">
        <f>(T412/100)*BA$41</f>
      </c>
      <c r="BB412" s="6">
        <f>(U412/100)*BB$41</f>
      </c>
      <c r="BC412" s="6"/>
      <c r="BD412" s="3"/>
      <c r="BE412" s="3"/>
      <c r="BF412" s="7">
        <f>AF412*E412</f>
      </c>
      <c r="BG412" s="6"/>
      <c r="BH412" s="3"/>
      <c r="BI412" s="6"/>
    </row>
    <row x14ac:dyDescent="0.25" r="413" customHeight="1" ht="12.75">
      <c r="A413" s="5" t="s">
        <v>17</v>
      </c>
      <c r="B413" s="38" t="s">
        <v>859</v>
      </c>
      <c r="C413" s="43" t="s">
        <v>866</v>
      </c>
      <c r="D413" s="34" t="s">
        <v>988</v>
      </c>
      <c r="E413" s="5">
        <v>300</v>
      </c>
      <c r="F413" s="7">
        <v>6.5</v>
      </c>
      <c r="G413" s="6">
        <v>1.4</v>
      </c>
      <c r="H413" s="7"/>
      <c r="I413" s="6"/>
      <c r="J413" s="6"/>
      <c r="K413" s="7"/>
      <c r="L413" s="6"/>
      <c r="M413" s="6"/>
      <c r="N413" s="23"/>
      <c r="O413" s="5"/>
      <c r="P413" s="6"/>
      <c r="Q413" s="6"/>
      <c r="R413" s="6"/>
      <c r="S413" s="6"/>
      <c r="T413" s="6"/>
      <c r="U413" s="6"/>
      <c r="V413" s="5"/>
      <c r="W413" s="6"/>
      <c r="X413" s="6">
        <f>E413*F413/100</f>
      </c>
      <c r="Y413" s="6">
        <f>E413*G413/100</f>
      </c>
      <c r="Z413" s="7">
        <f>E413*H413</f>
      </c>
      <c r="AA413" s="7">
        <f>E413*J413</f>
      </c>
      <c r="AB413" s="6">
        <f>E413*I413/100</f>
      </c>
      <c r="AC413" s="15">
        <f>X413+Y413+AB413</f>
      </c>
      <c r="AD413" s="6">
        <f>F413+G413+I413</f>
      </c>
      <c r="AE413" s="3"/>
      <c r="AF413" s="6">
        <f>SUM(AM413:BC413)</f>
      </c>
      <c r="AG413" s="5">
        <f>IF(SUM(AM413:AO413)&gt;0.7*AF413,1,0)</f>
      </c>
      <c r="AH413" s="5">
        <f>IF(AN413&gt;0.4*AF413,1,0)</f>
      </c>
      <c r="AI413" s="5">
        <f>IF(SUM(AP413:AQ413)&gt;0.3*AF413,1,0)</f>
      </c>
      <c r="AJ413" s="5">
        <f>IF(AQ413&gt;0.2*AF413,1,0)</f>
      </c>
      <c r="AK413" s="5">
        <f>IF(SUM(AR413:BC413)&gt;0.3*AF413,1,0)</f>
      </c>
      <c r="AL413" s="3"/>
      <c r="AM413" s="6">
        <f>(F413/100)*AM$41</f>
      </c>
      <c r="AN413" s="6">
        <f>(G413/100)*AN$41</f>
      </c>
      <c r="AO413" s="6">
        <f>(H413/1000000)*AO$41</f>
      </c>
      <c r="AP413" s="6">
        <f>(I413/100)*AP$41</f>
      </c>
      <c r="AQ413" s="6">
        <f>(J413/1000000)*AQ$41</f>
      </c>
      <c r="AR413" s="6">
        <f>(K413/100)*AR$41</f>
      </c>
      <c r="AS413" s="6">
        <f>(L413/100)*AS$41</f>
      </c>
      <c r="AT413" s="6">
        <f>(M413/100)*AT$41</f>
      </c>
      <c r="AU413" s="6">
        <f>(N413/100)*AU$41</f>
      </c>
      <c r="AV413" s="6">
        <f>(O413/1000000)*AV$41</f>
      </c>
      <c r="AW413" s="6">
        <f>(P413/100)*AW$41</f>
      </c>
      <c r="AX413" s="6">
        <f>(Q413/100)*AX$41</f>
      </c>
      <c r="AY413" s="6">
        <f>(R413/100)*AY$41</f>
      </c>
      <c r="AZ413" s="6">
        <f>(S413/100)*AZ$41</f>
      </c>
      <c r="BA413" s="6">
        <f>(T413/100)*BA$41</f>
      </c>
      <c r="BB413" s="6">
        <f>(U413/100)*BB$41</f>
      </c>
      <c r="BC413" s="6"/>
      <c r="BD413" s="3"/>
      <c r="BE413" s="3"/>
      <c r="BF413" s="7">
        <f>AF413*E413</f>
      </c>
      <c r="BG413" s="6"/>
      <c r="BH413" s="3"/>
      <c r="BI413" s="6"/>
    </row>
    <row x14ac:dyDescent="0.25" r="414" customHeight="1" ht="12.75">
      <c r="A414" s="5" t="s">
        <v>170</v>
      </c>
      <c r="B414" s="38" t="s">
        <v>859</v>
      </c>
      <c r="C414" s="43" t="s">
        <v>866</v>
      </c>
      <c r="D414" s="34" t="s">
        <v>989</v>
      </c>
      <c r="E414" s="6">
        <v>18.3</v>
      </c>
      <c r="F414" s="7">
        <v>2.8961748633879782</v>
      </c>
      <c r="G414" s="7">
        <v>10.382513661202186</v>
      </c>
      <c r="H414" s="7"/>
      <c r="I414" s="6"/>
      <c r="J414" s="6"/>
      <c r="K414" s="7"/>
      <c r="L414" s="6"/>
      <c r="M414" s="6"/>
      <c r="N414" s="23"/>
      <c r="O414" s="5"/>
      <c r="P414" s="6"/>
      <c r="Q414" s="6"/>
      <c r="R414" s="6"/>
      <c r="S414" s="6"/>
      <c r="T414" s="6"/>
      <c r="U414" s="6"/>
      <c r="V414" s="5"/>
      <c r="W414" s="6"/>
      <c r="X414" s="6">
        <f>E414*F414/100</f>
      </c>
      <c r="Y414" s="6">
        <f>E414*G414/100</f>
      </c>
      <c r="Z414" s="7">
        <f>E414*H414</f>
      </c>
      <c r="AA414" s="7">
        <f>E414*J414</f>
      </c>
      <c r="AB414" s="6">
        <f>E414*I414/100</f>
      </c>
      <c r="AC414" s="15">
        <f>X414+Y414+AB414</f>
      </c>
      <c r="AD414" s="6">
        <f>F414+G414+I414</f>
      </c>
      <c r="AE414" s="3"/>
      <c r="AF414" s="6">
        <f>SUM(AM414:BC414)</f>
      </c>
      <c r="AG414" s="5">
        <f>IF(SUM(AM414:AO414)&gt;0.7*AF414,1,0)</f>
      </c>
      <c r="AH414" s="5">
        <f>IF(AN414&gt;0.4*AF414,1,0)</f>
      </c>
      <c r="AI414" s="5">
        <f>IF(SUM(AP414:AQ414)&gt;0.3*AF414,1,0)</f>
      </c>
      <c r="AJ414" s="5">
        <f>IF(AQ414&gt;0.2*AF414,1,0)</f>
      </c>
      <c r="AK414" s="5">
        <f>IF(SUM(AR414:BC414)&gt;0.3*AF414,1,0)</f>
      </c>
      <c r="AL414" s="3"/>
      <c r="AM414" s="6">
        <f>(F414/100)*AM$41</f>
      </c>
      <c r="AN414" s="6">
        <f>(G414/100)*AN$41</f>
      </c>
      <c r="AO414" s="6">
        <f>(H414/1000000)*AO$41</f>
      </c>
      <c r="AP414" s="6">
        <f>(I414/100)*AP$41</f>
      </c>
      <c r="AQ414" s="6">
        <f>(J414/1000000)*AQ$41</f>
      </c>
      <c r="AR414" s="6">
        <f>(K414/100)*AR$41</f>
      </c>
      <c r="AS414" s="6">
        <f>(L414/100)*AS$41</f>
      </c>
      <c r="AT414" s="6">
        <f>(M414/100)*AT$41</f>
      </c>
      <c r="AU414" s="6">
        <f>(N414/100)*AU$41</f>
      </c>
      <c r="AV414" s="6">
        <f>(O414/1000000)*AV$41</f>
      </c>
      <c r="AW414" s="6">
        <f>(P414/100)*AW$41</f>
      </c>
      <c r="AX414" s="6">
        <f>(Q414/100)*AX$41</f>
      </c>
      <c r="AY414" s="6">
        <f>(R414/100)*AY$41</f>
      </c>
      <c r="AZ414" s="6">
        <f>(S414/100)*AZ$41</f>
      </c>
      <c r="BA414" s="6">
        <f>(T414/100)*BA$41</f>
      </c>
      <c r="BB414" s="6">
        <f>(U414/100)*BB$41</f>
      </c>
      <c r="BC414" s="6"/>
      <c r="BD414" s="3"/>
      <c r="BE414" s="3"/>
      <c r="BF414" s="7">
        <f>AF414*E414</f>
      </c>
      <c r="BG414" s="6"/>
      <c r="BH414" s="3"/>
      <c r="BI414" s="6"/>
    </row>
    <row x14ac:dyDescent="0.25" r="415" customHeight="1" ht="12.75">
      <c r="A415" s="5" t="s">
        <v>244</v>
      </c>
      <c r="B415" s="38" t="s">
        <v>859</v>
      </c>
      <c r="C415" s="43" t="s">
        <v>866</v>
      </c>
      <c r="D415" s="34" t="s">
        <v>989</v>
      </c>
      <c r="E415" s="5">
        <v>23</v>
      </c>
      <c r="F415" s="6">
        <v>2.85</v>
      </c>
      <c r="G415" s="6">
        <v>6.74</v>
      </c>
      <c r="H415" s="7"/>
      <c r="I415" s="6"/>
      <c r="J415" s="6"/>
      <c r="K415" s="7"/>
      <c r="L415" s="6"/>
      <c r="M415" s="6"/>
      <c r="N415" s="23"/>
      <c r="O415" s="5"/>
      <c r="P415" s="6"/>
      <c r="Q415" s="6"/>
      <c r="R415" s="6"/>
      <c r="S415" s="6"/>
      <c r="T415" s="6"/>
      <c r="U415" s="6"/>
      <c r="V415" s="5"/>
      <c r="W415" s="6"/>
      <c r="X415" s="6">
        <f>E415*F415/100</f>
      </c>
      <c r="Y415" s="6">
        <f>E415*G415/100</f>
      </c>
      <c r="Z415" s="7">
        <f>E415*H415</f>
      </c>
      <c r="AA415" s="7">
        <f>E415*J415</f>
      </c>
      <c r="AB415" s="6">
        <f>E415*I415/100</f>
      </c>
      <c r="AC415" s="15">
        <f>X415+Y415+AB415</f>
      </c>
      <c r="AD415" s="6">
        <f>F415+G415+I415</f>
      </c>
      <c r="AE415" s="3"/>
      <c r="AF415" s="6">
        <f>SUM(AM415:BC415)</f>
      </c>
      <c r="AG415" s="5">
        <f>IF(SUM(AM415:AO415)&gt;0.7*AF415,1,0)</f>
      </c>
      <c r="AH415" s="5">
        <f>IF(AN415&gt;0.4*AF415,1,0)</f>
      </c>
      <c r="AI415" s="5">
        <f>IF(SUM(AP415:AQ415)&gt;0.3*AF415,1,0)</f>
      </c>
      <c r="AJ415" s="5">
        <f>IF(AQ415&gt;0.2*AF415,1,0)</f>
      </c>
      <c r="AK415" s="5">
        <f>IF(SUM(AR415:BC415)&gt;0.3*AF415,1,0)</f>
      </c>
      <c r="AL415" s="3"/>
      <c r="AM415" s="6">
        <f>(F415/100)*AM$41</f>
      </c>
      <c r="AN415" s="6">
        <f>(G415/100)*AN$41</f>
      </c>
      <c r="AO415" s="6">
        <f>(H415/1000000)*AO$41</f>
      </c>
      <c r="AP415" s="6">
        <f>(I415/100)*AP$41</f>
      </c>
      <c r="AQ415" s="6">
        <f>(J415/1000000)*AQ$41</f>
      </c>
      <c r="AR415" s="6">
        <f>(K415/100)*AR$41</f>
      </c>
      <c r="AS415" s="6">
        <f>(L415/100)*AS$41</f>
      </c>
      <c r="AT415" s="6">
        <f>(M415/100)*AT$41</f>
      </c>
      <c r="AU415" s="6">
        <f>(N415/100)*AU$41</f>
      </c>
      <c r="AV415" s="6">
        <f>(O415/1000000)*AV$41</f>
      </c>
      <c r="AW415" s="6">
        <f>(P415/100)*AW$41</f>
      </c>
      <c r="AX415" s="6">
        <f>(Q415/100)*AX$41</f>
      </c>
      <c r="AY415" s="6">
        <f>(R415/100)*AY$41</f>
      </c>
      <c r="AZ415" s="6">
        <f>(S415/100)*AZ$41</f>
      </c>
      <c r="BA415" s="6">
        <f>(T415/100)*BA$41</f>
      </c>
      <c r="BB415" s="6">
        <f>(U415/100)*BB$41</f>
      </c>
      <c r="BC415" s="6"/>
      <c r="BD415" s="3"/>
      <c r="BE415" s="3"/>
      <c r="BF415" s="7">
        <f>AF415*E415</f>
      </c>
      <c r="BG415" s="6"/>
      <c r="BH415" s="3"/>
      <c r="BI415" s="6"/>
    </row>
    <row x14ac:dyDescent="0.25" r="416" customHeight="1" ht="12.75">
      <c r="A416" s="5" t="s">
        <v>554</v>
      </c>
      <c r="B416" s="38" t="s">
        <v>859</v>
      </c>
      <c r="C416" s="43" t="s">
        <v>866</v>
      </c>
      <c r="D416" s="34" t="s">
        <v>989</v>
      </c>
      <c r="E416" s="6">
        <v>1.2</v>
      </c>
      <c r="F416" s="6">
        <v>1.4</v>
      </c>
      <c r="G416" s="6">
        <v>5.6</v>
      </c>
      <c r="H416" s="7"/>
      <c r="I416" s="6"/>
      <c r="J416" s="6"/>
      <c r="K416" s="7"/>
      <c r="L416" s="6"/>
      <c r="M416" s="6"/>
      <c r="N416" s="23"/>
      <c r="O416" s="5"/>
      <c r="P416" s="6"/>
      <c r="Q416" s="6"/>
      <c r="R416" s="6"/>
      <c r="S416" s="6"/>
      <c r="T416" s="6"/>
      <c r="U416" s="6"/>
      <c r="V416" s="5"/>
      <c r="W416" s="6"/>
      <c r="X416" s="6">
        <f>E416*F416/100</f>
      </c>
      <c r="Y416" s="6">
        <f>E416*G416/100</f>
      </c>
      <c r="Z416" s="7">
        <f>E416*H416</f>
      </c>
      <c r="AA416" s="7">
        <f>E416*J416</f>
      </c>
      <c r="AB416" s="6">
        <f>E416*I416/100</f>
      </c>
      <c r="AC416" s="15">
        <f>X416+Y416+AB416</f>
      </c>
      <c r="AD416" s="6">
        <f>F416+G416+I416</f>
      </c>
      <c r="AE416" s="3"/>
      <c r="AF416" s="6">
        <f>SUM(AM416:BC416)</f>
      </c>
      <c r="AG416" s="5">
        <f>IF(SUM(AM416:AO416)&gt;0.7*AF416,1,0)</f>
      </c>
      <c r="AH416" s="5">
        <f>IF(AN416&gt;0.4*AF416,1,0)</f>
      </c>
      <c r="AI416" s="5">
        <f>IF(SUM(AP416:AQ416)&gt;0.3*AF416,1,0)</f>
      </c>
      <c r="AJ416" s="5">
        <f>IF(AQ416&gt;0.2*AF416,1,0)</f>
      </c>
      <c r="AK416" s="5">
        <f>IF(SUM(AR416:BC416)&gt;0.3*AF416,1,0)</f>
      </c>
      <c r="AL416" s="3"/>
      <c r="AM416" s="6">
        <f>(F416/100)*AM$41</f>
      </c>
      <c r="AN416" s="6">
        <f>(G416/100)*AN$41</f>
      </c>
      <c r="AO416" s="6">
        <f>(H416/1000000)*AO$41</f>
      </c>
      <c r="AP416" s="6">
        <f>(I416/100)*AP$41</f>
      </c>
      <c r="AQ416" s="6">
        <f>(J416/1000000)*AQ$41</f>
      </c>
      <c r="AR416" s="6">
        <f>(K416/100)*AR$41</f>
      </c>
      <c r="AS416" s="6">
        <f>(L416/100)*AS$41</f>
      </c>
      <c r="AT416" s="6">
        <f>(M416/100)*AT$41</f>
      </c>
      <c r="AU416" s="6">
        <f>(N416/100)*AU$41</f>
      </c>
      <c r="AV416" s="6">
        <f>(O416/1000000)*AV$41</f>
      </c>
      <c r="AW416" s="6">
        <f>(P416/100)*AW$41</f>
      </c>
      <c r="AX416" s="6">
        <f>(Q416/100)*AX$41</f>
      </c>
      <c r="AY416" s="6">
        <f>(R416/100)*AY$41</f>
      </c>
      <c r="AZ416" s="6">
        <f>(S416/100)*AZ$41</f>
      </c>
      <c r="BA416" s="6">
        <f>(T416/100)*BA$41</f>
      </c>
      <c r="BB416" s="6">
        <f>(U416/100)*BB$41</f>
      </c>
      <c r="BC416" s="6"/>
      <c r="BD416" s="3"/>
      <c r="BE416" s="3"/>
      <c r="BF416" s="7">
        <f>AF416*E416</f>
      </c>
      <c r="BG416" s="6"/>
      <c r="BH416" s="3"/>
      <c r="BI416" s="6"/>
    </row>
    <row x14ac:dyDescent="0.25" r="417" customHeight="1" ht="12.75">
      <c r="A417" s="5" t="s">
        <v>689</v>
      </c>
      <c r="B417" s="38" t="s">
        <v>859</v>
      </c>
      <c r="C417" s="43" t="s">
        <v>866</v>
      </c>
      <c r="D417" s="34" t="s">
        <v>988</v>
      </c>
      <c r="E417" s="6">
        <v>3.6</v>
      </c>
      <c r="F417" s="6"/>
      <c r="G417" s="6">
        <v>4.9</v>
      </c>
      <c r="H417" s="5">
        <v>72</v>
      </c>
      <c r="I417" s="6">
        <v>0.6</v>
      </c>
      <c r="J417" s="6"/>
      <c r="K417" s="7"/>
      <c r="L417" s="6"/>
      <c r="M417" s="6"/>
      <c r="N417" s="23"/>
      <c r="O417" s="5"/>
      <c r="P417" s="6"/>
      <c r="Q417" s="6"/>
      <c r="R417" s="6"/>
      <c r="S417" s="6"/>
      <c r="T417" s="6"/>
      <c r="U417" s="6"/>
      <c r="V417" s="5"/>
      <c r="W417" s="6"/>
      <c r="X417" s="6">
        <f>E417*F417/100</f>
      </c>
      <c r="Y417" s="6">
        <f>E417*G417/100</f>
      </c>
      <c r="Z417" s="7">
        <f>E417*H417</f>
      </c>
      <c r="AA417" s="7">
        <f>E417*J417</f>
      </c>
      <c r="AB417" s="6">
        <f>E417*I417/100</f>
      </c>
      <c r="AC417" s="15">
        <f>X417+Y417+AB417</f>
      </c>
      <c r="AD417" s="6">
        <f>F417+G417+I417</f>
      </c>
      <c r="AE417" s="3"/>
      <c r="AF417" s="6">
        <f>SUM(AM417:BC417)</f>
      </c>
      <c r="AG417" s="5">
        <f>IF(SUM(AM417:AO417)&gt;0.7*AF417,1,0)</f>
      </c>
      <c r="AH417" s="5">
        <f>IF(AN417&gt;0.4*AF417,1,0)</f>
      </c>
      <c r="AI417" s="5">
        <f>IF(SUM(AP417:AQ417)&gt;0.3*AF417,1,0)</f>
      </c>
      <c r="AJ417" s="5">
        <f>IF(AQ417&gt;0.2*AF417,1,0)</f>
      </c>
      <c r="AK417" s="5">
        <f>IF(SUM(AR417:BC417)&gt;0.3*AF417,1,0)</f>
      </c>
      <c r="AL417" s="3"/>
      <c r="AM417" s="6">
        <f>(F417/100)*AM$41</f>
      </c>
      <c r="AN417" s="6">
        <f>(G417/100)*AN$41</f>
      </c>
      <c r="AO417" s="6">
        <f>(H417/1000000)*AO$41</f>
      </c>
      <c r="AP417" s="6">
        <f>(I417/100)*AP$41</f>
      </c>
      <c r="AQ417" s="6">
        <f>(J417/1000000)*AQ$41</f>
      </c>
      <c r="AR417" s="6">
        <f>(K417/100)*AR$41</f>
      </c>
      <c r="AS417" s="6">
        <f>(L417/100)*AS$41</f>
      </c>
      <c r="AT417" s="6">
        <f>(M417/100)*AT$41</f>
      </c>
      <c r="AU417" s="6">
        <f>(N417/100)*AU$41</f>
      </c>
      <c r="AV417" s="6">
        <f>(O417/1000000)*AV$41</f>
      </c>
      <c r="AW417" s="6">
        <f>(P417/100)*AW$41</f>
      </c>
      <c r="AX417" s="6">
        <f>(Q417/100)*AX$41</f>
      </c>
      <c r="AY417" s="6">
        <f>(R417/100)*AY$41</f>
      </c>
      <c r="AZ417" s="6">
        <f>(S417/100)*AZ$41</f>
      </c>
      <c r="BA417" s="6">
        <f>(T417/100)*BA$41</f>
      </c>
      <c r="BB417" s="6">
        <f>(U417/100)*BB$41</f>
      </c>
      <c r="BC417" s="6"/>
      <c r="BD417" s="3"/>
      <c r="BE417" s="3"/>
      <c r="BF417" s="7">
        <f>AF417*E417</f>
      </c>
      <c r="BG417" s="6"/>
      <c r="BH417" s="3"/>
      <c r="BI417" s="6"/>
    </row>
    <row x14ac:dyDescent="0.25" r="418" customHeight="1" ht="12.75">
      <c r="A418" s="5" t="s">
        <v>530</v>
      </c>
      <c r="B418" s="38" t="s">
        <v>859</v>
      </c>
      <c r="C418" s="43" t="s">
        <v>866</v>
      </c>
      <c r="D418" s="34" t="s">
        <v>988</v>
      </c>
      <c r="E418" s="6">
        <v>0.55</v>
      </c>
      <c r="F418" s="6">
        <v>2.6</v>
      </c>
      <c r="G418" s="6">
        <v>4.5</v>
      </c>
      <c r="H418" s="5">
        <v>12</v>
      </c>
      <c r="I418" s="6">
        <v>0.2</v>
      </c>
      <c r="J418" s="6"/>
      <c r="K418" s="7"/>
      <c r="L418" s="6"/>
      <c r="M418" s="6"/>
      <c r="N418" s="23"/>
      <c r="O418" s="5"/>
      <c r="P418" s="6"/>
      <c r="Q418" s="6"/>
      <c r="R418" s="6"/>
      <c r="S418" s="6"/>
      <c r="T418" s="6"/>
      <c r="U418" s="6"/>
      <c r="V418" s="5"/>
      <c r="W418" s="6"/>
      <c r="X418" s="6">
        <f>E418*F418/100</f>
      </c>
      <c r="Y418" s="6">
        <f>E418*G418/100</f>
      </c>
      <c r="Z418" s="7">
        <f>E418*H418</f>
      </c>
      <c r="AA418" s="7">
        <f>E418*J418</f>
      </c>
      <c r="AB418" s="6">
        <f>E418*I418/100</f>
      </c>
      <c r="AC418" s="15">
        <f>X418+Y418+AB418</f>
      </c>
      <c r="AD418" s="6">
        <f>F418+G418+I418</f>
      </c>
      <c r="AE418" s="3"/>
      <c r="AF418" s="6">
        <f>SUM(AM418:BC418)</f>
      </c>
      <c r="AG418" s="5">
        <f>IF(SUM(AM418:AO418)&gt;0.7*AF418,1,0)</f>
      </c>
      <c r="AH418" s="5">
        <f>IF(AN418&gt;0.4*AF418,1,0)</f>
      </c>
      <c r="AI418" s="5">
        <f>IF(SUM(AP418:AQ418)&gt;0.3*AF418,1,0)</f>
      </c>
      <c r="AJ418" s="5">
        <f>IF(AQ418&gt;0.2*AF418,1,0)</f>
      </c>
      <c r="AK418" s="5">
        <f>IF(SUM(AR418:BC418)&gt;0.3*AF418,1,0)</f>
      </c>
      <c r="AL418" s="3"/>
      <c r="AM418" s="6">
        <f>(F418/100)*AM$41</f>
      </c>
      <c r="AN418" s="6">
        <f>(G418/100)*AN$41</f>
      </c>
      <c r="AO418" s="6">
        <f>(H418/1000000)*AO$41</f>
      </c>
      <c r="AP418" s="6">
        <f>(I418/100)*AP$41</f>
      </c>
      <c r="AQ418" s="6">
        <f>(J418/1000000)*AQ$41</f>
      </c>
      <c r="AR418" s="6">
        <f>(K418/100)*AR$41</f>
      </c>
      <c r="AS418" s="6">
        <f>(L418/100)*AS$41</f>
      </c>
      <c r="AT418" s="6">
        <f>(M418/100)*AT$41</f>
      </c>
      <c r="AU418" s="6">
        <f>(N418/100)*AU$41</f>
      </c>
      <c r="AV418" s="6">
        <f>(O418/1000000)*AV$41</f>
      </c>
      <c r="AW418" s="6">
        <f>(P418/100)*AW$41</f>
      </c>
      <c r="AX418" s="6">
        <f>(Q418/100)*AX$41</f>
      </c>
      <c r="AY418" s="6">
        <f>(R418/100)*AY$41</f>
      </c>
      <c r="AZ418" s="6">
        <f>(S418/100)*AZ$41</f>
      </c>
      <c r="BA418" s="6">
        <f>(T418/100)*BA$41</f>
      </c>
      <c r="BB418" s="6">
        <f>(U418/100)*BB$41</f>
      </c>
      <c r="BC418" s="6"/>
      <c r="BD418" s="3"/>
      <c r="BE418" s="3"/>
      <c r="BF418" s="7">
        <f>AF418*E418</f>
      </c>
      <c r="BG418" s="6"/>
      <c r="BH418" s="3"/>
      <c r="BI418" s="6"/>
    </row>
    <row x14ac:dyDescent="0.25" r="419" customHeight="1" ht="12.75">
      <c r="A419" s="5" t="s">
        <v>393</v>
      </c>
      <c r="B419" s="38" t="s">
        <v>859</v>
      </c>
      <c r="C419" s="43" t="s">
        <v>866</v>
      </c>
      <c r="D419" s="34" t="s">
        <v>988</v>
      </c>
      <c r="E419" s="6">
        <v>0.9</v>
      </c>
      <c r="F419" s="6">
        <v>1.5</v>
      </c>
      <c r="G419" s="6">
        <v>7.5</v>
      </c>
      <c r="H419" s="7"/>
      <c r="I419" s="6"/>
      <c r="J419" s="6"/>
      <c r="K419" s="7"/>
      <c r="L419" s="6"/>
      <c r="M419" s="6"/>
      <c r="N419" s="23"/>
      <c r="O419" s="5"/>
      <c r="P419" s="6"/>
      <c r="Q419" s="6"/>
      <c r="R419" s="6"/>
      <c r="S419" s="6"/>
      <c r="T419" s="6"/>
      <c r="U419" s="6"/>
      <c r="V419" s="5"/>
      <c r="W419" s="6"/>
      <c r="X419" s="6">
        <f>E419*F419/100</f>
      </c>
      <c r="Y419" s="6">
        <f>E419*G419/100</f>
      </c>
      <c r="Z419" s="7">
        <f>E419*H419</f>
      </c>
      <c r="AA419" s="7">
        <f>E419*J419</f>
      </c>
      <c r="AB419" s="6">
        <f>E419*I419/100</f>
      </c>
      <c r="AC419" s="15">
        <f>X419+Y419+AB419</f>
      </c>
      <c r="AD419" s="6">
        <f>F419+G419+I419</f>
      </c>
      <c r="AE419" s="3"/>
      <c r="AF419" s="6">
        <f>SUM(AM419:BC419)</f>
      </c>
      <c r="AG419" s="5">
        <f>IF(SUM(AM419:AO419)&gt;0.7*AF419,1,0)</f>
      </c>
      <c r="AH419" s="5">
        <f>IF(AN419&gt;0.4*AF419,1,0)</f>
      </c>
      <c r="AI419" s="5">
        <f>IF(SUM(AP419:AQ419)&gt;0.3*AF419,1,0)</f>
      </c>
      <c r="AJ419" s="5">
        <f>IF(AQ419&gt;0.2*AF419,1,0)</f>
      </c>
      <c r="AK419" s="5">
        <f>IF(SUM(AR419:BC419)&gt;0.3*AF419,1,0)</f>
      </c>
      <c r="AL419" s="3"/>
      <c r="AM419" s="6">
        <f>(F419/100)*AM$41</f>
      </c>
      <c r="AN419" s="6">
        <f>(G419/100)*AN$41</f>
      </c>
      <c r="AO419" s="6">
        <f>(H419/1000000)*AO$41</f>
      </c>
      <c r="AP419" s="6">
        <f>(I419/100)*AP$41</f>
      </c>
      <c r="AQ419" s="6">
        <f>(J419/1000000)*AQ$41</f>
      </c>
      <c r="AR419" s="6">
        <f>(K419/100)*AR$41</f>
      </c>
      <c r="AS419" s="6">
        <f>(L419/100)*AS$41</f>
      </c>
      <c r="AT419" s="6">
        <f>(M419/100)*AT$41</f>
      </c>
      <c r="AU419" s="6">
        <f>(N419/100)*AU$41</f>
      </c>
      <c r="AV419" s="6">
        <f>(O419/1000000)*AV$41</f>
      </c>
      <c r="AW419" s="6">
        <f>(P419/100)*AW$41</f>
      </c>
      <c r="AX419" s="6">
        <f>(Q419/100)*AX$41</f>
      </c>
      <c r="AY419" s="6">
        <f>(R419/100)*AY$41</f>
      </c>
      <c r="AZ419" s="6">
        <f>(S419/100)*AZ$41</f>
      </c>
      <c r="BA419" s="6">
        <f>(T419/100)*BA$41</f>
      </c>
      <c r="BB419" s="6">
        <f>(U419/100)*BB$41</f>
      </c>
      <c r="BC419" s="6"/>
      <c r="BD419" s="3"/>
      <c r="BE419" s="3"/>
      <c r="BF419" s="7">
        <f>AF419*E419</f>
      </c>
      <c r="BG419" s="6"/>
      <c r="BH419" s="3"/>
      <c r="BI419" s="6"/>
    </row>
    <row x14ac:dyDescent="0.25" r="420" customHeight="1" ht="12.75">
      <c r="A420" s="5" t="s">
        <v>794</v>
      </c>
      <c r="B420" s="38" t="s">
        <v>859</v>
      </c>
      <c r="C420" s="43" t="s">
        <v>866</v>
      </c>
      <c r="D420" s="34" t="s">
        <v>989</v>
      </c>
      <c r="E420" s="6">
        <v>11.8</v>
      </c>
      <c r="F420" s="6"/>
      <c r="G420" s="6">
        <v>0.99</v>
      </c>
      <c r="H420" s="7"/>
      <c r="I420" s="6"/>
      <c r="J420" s="6"/>
      <c r="K420" s="7"/>
      <c r="L420" s="6"/>
      <c r="M420" s="6"/>
      <c r="N420" s="23"/>
      <c r="O420" s="5"/>
      <c r="P420" s="6"/>
      <c r="Q420" s="6"/>
      <c r="R420" s="6"/>
      <c r="S420" s="6"/>
      <c r="T420" s="6"/>
      <c r="U420" s="6"/>
      <c r="V420" s="5"/>
      <c r="W420" s="6"/>
      <c r="X420" s="6">
        <f>E420*F420/100</f>
      </c>
      <c r="Y420" s="6">
        <f>E420*G420/100</f>
      </c>
      <c r="Z420" s="7">
        <f>E420*H420</f>
      </c>
      <c r="AA420" s="7">
        <f>E420*J420</f>
      </c>
      <c r="AB420" s="6">
        <f>E420*I420/100</f>
      </c>
      <c r="AC420" s="15">
        <f>X420+Y420+AB420</f>
      </c>
      <c r="AD420" s="6">
        <f>F420+G420+I420</f>
      </c>
      <c r="AE420" s="3"/>
      <c r="AF420" s="6">
        <f>SUM(AM420:BC420)</f>
      </c>
      <c r="AG420" s="5">
        <f>IF(SUM(AM420:AO420)&gt;0.7*AF420,1,0)</f>
      </c>
      <c r="AH420" s="5">
        <f>IF(AN420&gt;0.4*AF420,1,0)</f>
      </c>
      <c r="AI420" s="5">
        <f>IF(SUM(AP420:AQ420)&gt;0.3*AF420,1,0)</f>
      </c>
      <c r="AJ420" s="5">
        <f>IF(AQ420&gt;0.2*AF420,1,0)</f>
      </c>
      <c r="AK420" s="5">
        <f>IF(SUM(AR420:BC420)&gt;0.3*AF420,1,0)</f>
      </c>
      <c r="AL420" s="3"/>
      <c r="AM420" s="6">
        <f>(F420/100)*AM$41</f>
      </c>
      <c r="AN420" s="6">
        <f>(G420/100)*AN$41</f>
      </c>
      <c r="AO420" s="6">
        <f>(H420/1000000)*AO$41</f>
      </c>
      <c r="AP420" s="6">
        <f>(I420/100)*AP$41</f>
      </c>
      <c r="AQ420" s="6">
        <f>(J420/1000000)*AQ$41</f>
      </c>
      <c r="AR420" s="6">
        <f>(K420/100)*AR$41</f>
      </c>
      <c r="AS420" s="6">
        <f>(L420/100)*AS$41</f>
      </c>
      <c r="AT420" s="6">
        <f>(M420/100)*AT$41</f>
      </c>
      <c r="AU420" s="6">
        <f>(N420/100)*AU$41</f>
      </c>
      <c r="AV420" s="6">
        <f>(O420/1000000)*AV$41</f>
      </c>
      <c r="AW420" s="6">
        <f>(P420/100)*AW$41</f>
      </c>
      <c r="AX420" s="6">
        <f>(Q420/100)*AX$41</f>
      </c>
      <c r="AY420" s="6">
        <f>(R420/100)*AY$41</f>
      </c>
      <c r="AZ420" s="6">
        <f>(S420/100)*AZ$41</f>
      </c>
      <c r="BA420" s="6">
        <f>(T420/100)*BA$41</f>
      </c>
      <c r="BB420" s="6">
        <f>(U420/100)*BB$41</f>
      </c>
      <c r="BC420" s="6"/>
      <c r="BD420" s="3"/>
      <c r="BE420" s="3"/>
      <c r="BF420" s="7">
        <f>AF420*E420</f>
      </c>
      <c r="BG420" s="6"/>
      <c r="BH420" s="3"/>
      <c r="BI420" s="6"/>
    </row>
    <row x14ac:dyDescent="0.25" r="421" customHeight="1" ht="12.75">
      <c r="A421" s="5" t="s">
        <v>332</v>
      </c>
      <c r="B421" s="38" t="s">
        <v>859</v>
      </c>
      <c r="C421" s="43" t="s">
        <v>866</v>
      </c>
      <c r="D421" s="34" t="s">
        <v>988</v>
      </c>
      <c r="E421" s="5">
        <v>27</v>
      </c>
      <c r="F421" s="6">
        <v>1.69</v>
      </c>
      <c r="G421" s="6">
        <v>3.79</v>
      </c>
      <c r="H421" s="7"/>
      <c r="I421" s="6"/>
      <c r="J421" s="6"/>
      <c r="K421" s="7"/>
      <c r="L421" s="6"/>
      <c r="M421" s="6"/>
      <c r="N421" s="23"/>
      <c r="O421" s="5"/>
      <c r="P421" s="6"/>
      <c r="Q421" s="6"/>
      <c r="R421" s="6"/>
      <c r="S421" s="6"/>
      <c r="T421" s="6"/>
      <c r="U421" s="6"/>
      <c r="V421" s="5"/>
      <c r="W421" s="6"/>
      <c r="X421" s="6">
        <f>E421*F421/100</f>
      </c>
      <c r="Y421" s="6">
        <f>E421*G421/100</f>
      </c>
      <c r="Z421" s="7">
        <f>E421*H421</f>
      </c>
      <c r="AA421" s="7">
        <f>E421*J421</f>
      </c>
      <c r="AB421" s="6">
        <f>E421*I421/100</f>
      </c>
      <c r="AC421" s="15">
        <f>X421+Y421+AB421</f>
      </c>
      <c r="AD421" s="6">
        <f>F421+G421+I421</f>
      </c>
      <c r="AE421" s="3"/>
      <c r="AF421" s="6">
        <f>SUM(AM421:BC421)</f>
      </c>
      <c r="AG421" s="5">
        <f>IF(SUM(AM421:AO421)&gt;0.7*AF421,1,0)</f>
      </c>
      <c r="AH421" s="5">
        <f>IF(AN421&gt;0.4*AF421,1,0)</f>
      </c>
      <c r="AI421" s="5">
        <f>IF(SUM(AP421:AQ421)&gt;0.3*AF421,1,0)</f>
      </c>
      <c r="AJ421" s="5">
        <f>IF(AQ421&gt;0.2*AF421,1,0)</f>
      </c>
      <c r="AK421" s="5">
        <f>IF(SUM(AR421:BC421)&gt;0.3*AF421,1,0)</f>
      </c>
      <c r="AL421" s="3"/>
      <c r="AM421" s="6">
        <f>(F421/100)*AM$41</f>
      </c>
      <c r="AN421" s="6">
        <f>(G421/100)*AN$41</f>
      </c>
      <c r="AO421" s="6">
        <f>(H421/1000000)*AO$41</f>
      </c>
      <c r="AP421" s="6">
        <f>(I421/100)*AP$41</f>
      </c>
      <c r="AQ421" s="6">
        <f>(J421/1000000)*AQ$41</f>
      </c>
      <c r="AR421" s="6">
        <f>(K421/100)*AR$41</f>
      </c>
      <c r="AS421" s="6">
        <f>(L421/100)*AS$41</f>
      </c>
      <c r="AT421" s="6">
        <f>(M421/100)*AT$41</f>
      </c>
      <c r="AU421" s="6">
        <f>(N421/100)*AU$41</f>
      </c>
      <c r="AV421" s="6">
        <f>(O421/1000000)*AV$41</f>
      </c>
      <c r="AW421" s="6">
        <f>(P421/100)*AW$41</f>
      </c>
      <c r="AX421" s="6">
        <f>(Q421/100)*AX$41</f>
      </c>
      <c r="AY421" s="6">
        <f>(R421/100)*AY$41</f>
      </c>
      <c r="AZ421" s="6">
        <f>(S421/100)*AZ$41</f>
      </c>
      <c r="BA421" s="6">
        <f>(T421/100)*BA$41</f>
      </c>
      <c r="BB421" s="6">
        <f>(U421/100)*BB$41</f>
      </c>
      <c r="BC421" s="6"/>
      <c r="BD421" s="3"/>
      <c r="BE421" s="3"/>
      <c r="BF421" s="7">
        <f>AF421*E421</f>
      </c>
      <c r="BG421" s="6"/>
      <c r="BH421" s="3"/>
      <c r="BI421" s="6"/>
    </row>
    <row x14ac:dyDescent="0.25" r="422" customHeight="1" ht="12.75">
      <c r="A422" s="5" t="s">
        <v>371</v>
      </c>
      <c r="B422" s="38" t="s">
        <v>859</v>
      </c>
      <c r="C422" s="43" t="s">
        <v>866</v>
      </c>
      <c r="D422" s="34" t="s">
        <v>988</v>
      </c>
      <c r="E422" s="5">
        <v>40</v>
      </c>
      <c r="F422" s="6">
        <v>0.6</v>
      </c>
      <c r="G422" s="6">
        <v>2.4</v>
      </c>
      <c r="H422" s="7"/>
      <c r="I422" s="6"/>
      <c r="J422" s="6"/>
      <c r="K422" s="7"/>
      <c r="L422" s="6"/>
      <c r="M422" s="6"/>
      <c r="N422" s="23"/>
      <c r="O422" s="5"/>
      <c r="P422" s="6"/>
      <c r="Q422" s="6"/>
      <c r="R422" s="6"/>
      <c r="S422" s="6"/>
      <c r="T422" s="6"/>
      <c r="U422" s="6"/>
      <c r="V422" s="5"/>
      <c r="W422" s="6"/>
      <c r="X422" s="6">
        <f>E422*F422/100</f>
      </c>
      <c r="Y422" s="6">
        <f>E422*G422/100</f>
      </c>
      <c r="Z422" s="7">
        <f>E422*H422</f>
      </c>
      <c r="AA422" s="7">
        <f>E422*J422</f>
      </c>
      <c r="AB422" s="6">
        <f>E422*I422/100</f>
      </c>
      <c r="AC422" s="15">
        <f>X422+Y422+AB422</f>
      </c>
      <c r="AD422" s="6">
        <f>F422+G422+I422</f>
      </c>
      <c r="AE422" s="3"/>
      <c r="AF422" s="6">
        <f>SUM(AM422:BC422)</f>
      </c>
      <c r="AG422" s="5">
        <f>IF(SUM(AM422:AO422)&gt;0.7*AF422,1,0)</f>
      </c>
      <c r="AH422" s="5">
        <f>IF(AN422&gt;0.4*AF422,1,0)</f>
      </c>
      <c r="AI422" s="5">
        <f>IF(SUM(AP422:AQ422)&gt;0.3*AF422,1,0)</f>
      </c>
      <c r="AJ422" s="5">
        <f>IF(AQ422&gt;0.2*AF422,1,0)</f>
      </c>
      <c r="AK422" s="5">
        <f>IF(SUM(AR422:BC422)&gt;0.3*AF422,1,0)</f>
      </c>
      <c r="AL422" s="3"/>
      <c r="AM422" s="6">
        <f>(F422/100)*AM$41</f>
      </c>
      <c r="AN422" s="6">
        <f>(G422/100)*AN$41</f>
      </c>
      <c r="AO422" s="6">
        <f>(H422/1000000)*AO$41</f>
      </c>
      <c r="AP422" s="6">
        <f>(I422/100)*AP$41</f>
      </c>
      <c r="AQ422" s="6">
        <f>(J422/1000000)*AQ$41</f>
      </c>
      <c r="AR422" s="6">
        <f>(K422/100)*AR$41</f>
      </c>
      <c r="AS422" s="6">
        <f>(L422/100)*AS$41</f>
      </c>
      <c r="AT422" s="6">
        <f>(M422/100)*AT$41</f>
      </c>
      <c r="AU422" s="6">
        <f>(N422/100)*AU$41</f>
      </c>
      <c r="AV422" s="6">
        <f>(O422/1000000)*AV$41</f>
      </c>
      <c r="AW422" s="6">
        <f>(P422/100)*AW$41</f>
      </c>
      <c r="AX422" s="6">
        <f>(Q422/100)*AX$41</f>
      </c>
      <c r="AY422" s="6">
        <f>(R422/100)*AY$41</f>
      </c>
      <c r="AZ422" s="6">
        <f>(S422/100)*AZ$41</f>
      </c>
      <c r="BA422" s="6">
        <f>(T422/100)*BA$41</f>
      </c>
      <c r="BB422" s="6">
        <f>(U422/100)*BB$41</f>
      </c>
      <c r="BC422" s="6"/>
      <c r="BD422" s="3"/>
      <c r="BE422" s="3"/>
      <c r="BF422" s="7">
        <f>AF422*E422</f>
      </c>
      <c r="BG422" s="6"/>
      <c r="BH422" s="3"/>
      <c r="BI422" s="6"/>
    </row>
    <row x14ac:dyDescent="0.25" r="423" customHeight="1" ht="12.75">
      <c r="A423" s="5" t="s">
        <v>163</v>
      </c>
      <c r="B423" s="38" t="s">
        <v>859</v>
      </c>
      <c r="C423" s="43" t="s">
        <v>866</v>
      </c>
      <c r="D423" s="34" t="s">
        <v>988</v>
      </c>
      <c r="E423" s="6">
        <v>8.3</v>
      </c>
      <c r="F423" s="5">
        <v>6</v>
      </c>
      <c r="G423" s="5">
        <v>6</v>
      </c>
      <c r="H423" s="7"/>
      <c r="I423" s="5">
        <v>2</v>
      </c>
      <c r="J423" s="6"/>
      <c r="K423" s="7"/>
      <c r="L423" s="6"/>
      <c r="M423" s="6"/>
      <c r="N423" s="23"/>
      <c r="O423" s="5"/>
      <c r="P423" s="6"/>
      <c r="Q423" s="6"/>
      <c r="R423" s="6"/>
      <c r="S423" s="6"/>
      <c r="T423" s="6"/>
      <c r="U423" s="6"/>
      <c r="V423" s="5"/>
      <c r="W423" s="6"/>
      <c r="X423" s="6">
        <f>E423*F423/100</f>
      </c>
      <c r="Y423" s="6">
        <f>E423*G423/100</f>
      </c>
      <c r="Z423" s="7">
        <f>E423*H423</f>
      </c>
      <c r="AA423" s="7">
        <f>E423*J423</f>
      </c>
      <c r="AB423" s="6">
        <f>E423*I423/100</f>
      </c>
      <c r="AC423" s="15">
        <f>X423+Y423+AB423</f>
      </c>
      <c r="AD423" s="6">
        <f>F423+G423+I423</f>
      </c>
      <c r="AE423" s="3"/>
      <c r="AF423" s="6">
        <f>SUM(AM423:BC423)</f>
      </c>
      <c r="AG423" s="5">
        <f>IF(SUM(AM423:AO423)&gt;0.7*AF423,1,0)</f>
      </c>
      <c r="AH423" s="5">
        <f>IF(AN423&gt;0.4*AF423,1,0)</f>
      </c>
      <c r="AI423" s="5">
        <f>IF(SUM(AP423:AQ423)&gt;0.3*AF423,1,0)</f>
      </c>
      <c r="AJ423" s="5">
        <f>IF(AQ423&gt;0.2*AF423,1,0)</f>
      </c>
      <c r="AK423" s="5">
        <f>IF(SUM(AR423:BC423)&gt;0.3*AF423,1,0)</f>
      </c>
      <c r="AL423" s="3"/>
      <c r="AM423" s="6">
        <f>(F423/100)*AM$41</f>
      </c>
      <c r="AN423" s="6">
        <f>(G423/100)*AN$41</f>
      </c>
      <c r="AO423" s="6">
        <f>(H423/1000000)*AO$41</f>
      </c>
      <c r="AP423" s="6">
        <f>(I423/100)*AP$41</f>
      </c>
      <c r="AQ423" s="6">
        <f>(J423/1000000)*AQ$41</f>
      </c>
      <c r="AR423" s="6">
        <f>(K423/100)*AR$41</f>
      </c>
      <c r="AS423" s="6">
        <f>(L423/100)*AS$41</f>
      </c>
      <c r="AT423" s="6">
        <f>(M423/100)*AT$41</f>
      </c>
      <c r="AU423" s="6">
        <f>(N423/100)*AU$41</f>
      </c>
      <c r="AV423" s="6">
        <f>(O423/1000000)*AV$41</f>
      </c>
      <c r="AW423" s="6">
        <f>(P423/100)*AW$41</f>
      </c>
      <c r="AX423" s="6">
        <f>(Q423/100)*AX$41</f>
      </c>
      <c r="AY423" s="6">
        <f>(R423/100)*AY$41</f>
      </c>
      <c r="AZ423" s="6">
        <f>(S423/100)*AZ$41</f>
      </c>
      <c r="BA423" s="6">
        <f>(T423/100)*BA$41</f>
      </c>
      <c r="BB423" s="6">
        <f>(U423/100)*BB$41</f>
      </c>
      <c r="BC423" s="6"/>
      <c r="BD423" s="3"/>
      <c r="BE423" s="3"/>
      <c r="BF423" s="7">
        <f>AF423*E423</f>
      </c>
      <c r="BG423" s="6"/>
      <c r="BH423" s="3"/>
      <c r="BI423" s="6"/>
    </row>
    <row x14ac:dyDescent="0.25" r="424" customHeight="1" ht="12.75">
      <c r="A424" s="5" t="s">
        <v>67</v>
      </c>
      <c r="B424" s="38" t="s">
        <v>859</v>
      </c>
      <c r="C424" s="43" t="s">
        <v>866</v>
      </c>
      <c r="D424" s="34" t="s">
        <v>989</v>
      </c>
      <c r="E424" s="6">
        <v>5.899999999999999</v>
      </c>
      <c r="F424" s="7">
        <v>4.040677966101694</v>
      </c>
      <c r="G424" s="7">
        <v>15.603389830508478</v>
      </c>
      <c r="H424" s="7"/>
      <c r="I424" s="6"/>
      <c r="J424" s="6"/>
      <c r="K424" s="7"/>
      <c r="L424" s="6"/>
      <c r="M424" s="6"/>
      <c r="N424" s="23"/>
      <c r="O424" s="5"/>
      <c r="P424" s="6"/>
      <c r="Q424" s="6"/>
      <c r="R424" s="6"/>
      <c r="S424" s="6"/>
      <c r="T424" s="6"/>
      <c r="U424" s="6"/>
      <c r="V424" s="5"/>
      <c r="W424" s="6"/>
      <c r="X424" s="6">
        <f>E424*F424/100</f>
      </c>
      <c r="Y424" s="6">
        <f>E424*G424/100</f>
      </c>
      <c r="Z424" s="7">
        <f>E424*H424</f>
      </c>
      <c r="AA424" s="7">
        <f>E424*J424</f>
      </c>
      <c r="AB424" s="6">
        <f>E424*I424/100</f>
      </c>
      <c r="AC424" s="15">
        <f>X424+Y424+AB424</f>
      </c>
      <c r="AD424" s="6">
        <f>F424+G424+I424</f>
      </c>
      <c r="AE424" s="3"/>
      <c r="AF424" s="6">
        <f>SUM(AM424:BC424)</f>
      </c>
      <c r="AG424" s="5">
        <f>IF(SUM(AM424:AO424)&gt;0.7*AF424,1,0)</f>
      </c>
      <c r="AH424" s="5">
        <f>IF(AN424&gt;0.4*AF424,1,0)</f>
      </c>
      <c r="AI424" s="5">
        <f>IF(SUM(AP424:AQ424)&gt;0.3*AF424,1,0)</f>
      </c>
      <c r="AJ424" s="5">
        <f>IF(AQ424&gt;0.2*AF424,1,0)</f>
      </c>
      <c r="AK424" s="5">
        <f>IF(SUM(AR424:BC424)&gt;0.3*AF424,1,0)</f>
      </c>
      <c r="AL424" s="3"/>
      <c r="AM424" s="6">
        <f>(F424/100)*AM$41</f>
      </c>
      <c r="AN424" s="6">
        <f>(G424/100)*AN$41</f>
      </c>
      <c r="AO424" s="6">
        <f>(H424/1000000)*AO$41</f>
      </c>
      <c r="AP424" s="6">
        <f>(I424/100)*AP$41</f>
      </c>
      <c r="AQ424" s="6">
        <f>(J424/1000000)*AQ$41</f>
      </c>
      <c r="AR424" s="6">
        <f>(K424/100)*AR$41</f>
      </c>
      <c r="AS424" s="6">
        <f>(L424/100)*AS$41</f>
      </c>
      <c r="AT424" s="6">
        <f>(M424/100)*AT$41</f>
      </c>
      <c r="AU424" s="6">
        <f>(N424/100)*AU$41</f>
      </c>
      <c r="AV424" s="6">
        <f>(O424/1000000)*AV$41</f>
      </c>
      <c r="AW424" s="6">
        <f>(P424/100)*AW$41</f>
      </c>
      <c r="AX424" s="6">
        <f>(Q424/100)*AX$41</f>
      </c>
      <c r="AY424" s="6">
        <f>(R424/100)*AY$41</f>
      </c>
      <c r="AZ424" s="6">
        <f>(S424/100)*AZ$41</f>
      </c>
      <c r="BA424" s="6">
        <f>(T424/100)*BA$41</f>
      </c>
      <c r="BB424" s="6">
        <f>(U424/100)*BB$41</f>
      </c>
      <c r="BC424" s="6"/>
      <c r="BD424" s="3"/>
      <c r="BE424" s="3"/>
      <c r="BF424" s="7">
        <f>AF424*E424</f>
      </c>
      <c r="BG424" s="6"/>
      <c r="BH424" s="3"/>
      <c r="BI424" s="6"/>
    </row>
    <row x14ac:dyDescent="0.25" r="425" customHeight="1" ht="12.75">
      <c r="A425" s="5" t="s">
        <v>426</v>
      </c>
      <c r="B425" s="38" t="s">
        <v>859</v>
      </c>
      <c r="C425" s="43" t="s">
        <v>866</v>
      </c>
      <c r="D425" s="34"/>
      <c r="E425" s="5">
        <v>46</v>
      </c>
      <c r="F425" s="6">
        <v>1.3</v>
      </c>
      <c r="G425" s="6">
        <v>0.9</v>
      </c>
      <c r="H425" s="5">
        <v>12</v>
      </c>
      <c r="I425" s="6"/>
      <c r="J425" s="6"/>
      <c r="K425" s="7"/>
      <c r="L425" s="6"/>
      <c r="M425" s="6"/>
      <c r="N425" s="23"/>
      <c r="O425" s="5"/>
      <c r="P425" s="6"/>
      <c r="Q425" s="6"/>
      <c r="R425" s="6"/>
      <c r="S425" s="6"/>
      <c r="T425" s="6"/>
      <c r="U425" s="6"/>
      <c r="V425" s="5"/>
      <c r="W425" s="6"/>
      <c r="X425" s="6">
        <f>E425*F425/100</f>
      </c>
      <c r="Y425" s="6">
        <f>E425*G425/100</f>
      </c>
      <c r="Z425" s="7">
        <f>E425*H425</f>
      </c>
      <c r="AA425" s="7">
        <f>E425*J425</f>
      </c>
      <c r="AB425" s="6">
        <f>E425*I425/100</f>
      </c>
      <c r="AC425" s="15">
        <f>X425+Y425+AB425</f>
      </c>
      <c r="AD425" s="6">
        <f>F425+G425+I425</f>
      </c>
      <c r="AE425" s="3"/>
      <c r="AF425" s="6">
        <f>SUM(AM425:BC425)</f>
      </c>
      <c r="AG425" s="5">
        <f>IF(SUM(AM425:AO425)&gt;0.7*AF425,1,0)</f>
      </c>
      <c r="AH425" s="5">
        <f>IF(AN425&gt;0.4*AF425,1,0)</f>
      </c>
      <c r="AI425" s="5">
        <f>IF(SUM(AP425:AQ425)&gt;0.3*AF425,1,0)</f>
      </c>
      <c r="AJ425" s="5">
        <f>IF(AQ425&gt;0.2*AF425,1,0)</f>
      </c>
      <c r="AK425" s="5">
        <f>IF(SUM(AR425:BC425)&gt;0.3*AF425,1,0)</f>
      </c>
      <c r="AL425" s="3"/>
      <c r="AM425" s="6">
        <f>(F425/100)*AM$41</f>
      </c>
      <c r="AN425" s="6">
        <f>(G425/100)*AN$41</f>
      </c>
      <c r="AO425" s="6">
        <f>(H425/1000000)*AO$41</f>
      </c>
      <c r="AP425" s="6">
        <f>(I425/100)*AP$41</f>
      </c>
      <c r="AQ425" s="6">
        <f>(J425/1000000)*AQ$41</f>
      </c>
      <c r="AR425" s="6">
        <f>(K425/100)*AR$41</f>
      </c>
      <c r="AS425" s="6">
        <f>(L425/100)*AS$41</f>
      </c>
      <c r="AT425" s="6">
        <f>(M425/100)*AT$41</f>
      </c>
      <c r="AU425" s="6">
        <f>(N425/100)*AU$41</f>
      </c>
      <c r="AV425" s="6">
        <f>(O425/1000000)*AV$41</f>
      </c>
      <c r="AW425" s="6">
        <f>(P425/100)*AW$41</f>
      </c>
      <c r="AX425" s="6">
        <f>(Q425/100)*AX$41</f>
      </c>
      <c r="AY425" s="6">
        <f>(R425/100)*AY$41</f>
      </c>
      <c r="AZ425" s="6">
        <f>(S425/100)*AZ$41</f>
      </c>
      <c r="BA425" s="6">
        <f>(T425/100)*BA$41</f>
      </c>
      <c r="BB425" s="6">
        <f>(U425/100)*BB$41</f>
      </c>
      <c r="BC425" s="6"/>
      <c r="BD425" s="3"/>
      <c r="BE425" s="3"/>
      <c r="BF425" s="7">
        <f>AF425*E425</f>
      </c>
      <c r="BG425" s="6"/>
      <c r="BH425" s="3"/>
      <c r="BI425" s="6"/>
    </row>
    <row x14ac:dyDescent="0.25" r="426" customHeight="1" ht="12.75">
      <c r="A426" s="5" t="s">
        <v>431</v>
      </c>
      <c r="B426" s="38" t="s">
        <v>859</v>
      </c>
      <c r="C426" s="43" t="s">
        <v>866</v>
      </c>
      <c r="D426" s="34" t="s">
        <v>989</v>
      </c>
      <c r="E426" s="6">
        <v>20.13762</v>
      </c>
      <c r="F426" s="7">
        <v>1.6666666666666667</v>
      </c>
      <c r="G426" s="7">
        <v>3.333333333333333</v>
      </c>
      <c r="H426" s="7"/>
      <c r="I426" s="6"/>
      <c r="J426" s="6"/>
      <c r="K426" s="7"/>
      <c r="L426" s="6"/>
      <c r="M426" s="6"/>
      <c r="N426" s="23"/>
      <c r="O426" s="5"/>
      <c r="P426" s="6"/>
      <c r="Q426" s="6"/>
      <c r="R426" s="6"/>
      <c r="S426" s="6"/>
      <c r="T426" s="6"/>
      <c r="U426" s="6"/>
      <c r="V426" s="5"/>
      <c r="W426" s="6"/>
      <c r="X426" s="6">
        <f>E426*F426/100</f>
      </c>
      <c r="Y426" s="6">
        <f>E426*G426/100</f>
      </c>
      <c r="Z426" s="7">
        <f>E426*H426</f>
      </c>
      <c r="AA426" s="7">
        <f>E426*J426</f>
      </c>
      <c r="AB426" s="6">
        <f>E426*I426/100</f>
      </c>
      <c r="AC426" s="15">
        <f>X426+Y426+AB426</f>
      </c>
      <c r="AD426" s="6">
        <f>F426+G426+I426</f>
      </c>
      <c r="AE426" s="3"/>
      <c r="AF426" s="6">
        <f>SUM(AM426:BC426)</f>
      </c>
      <c r="AG426" s="5">
        <f>IF(SUM(AM426:AO426)&gt;0.7*AF426,1,0)</f>
      </c>
      <c r="AH426" s="5">
        <f>IF(AN426&gt;0.4*AF426,1,0)</f>
      </c>
      <c r="AI426" s="5">
        <f>IF(SUM(AP426:AQ426)&gt;0.3*AF426,1,0)</f>
      </c>
      <c r="AJ426" s="5">
        <f>IF(AQ426&gt;0.2*AF426,1,0)</f>
      </c>
      <c r="AK426" s="5">
        <f>IF(SUM(AR426:BC426)&gt;0.3*AF426,1,0)</f>
      </c>
      <c r="AL426" s="3"/>
      <c r="AM426" s="6">
        <f>(F426/100)*AM$41</f>
      </c>
      <c r="AN426" s="6">
        <f>(G426/100)*AN$41</f>
      </c>
      <c r="AO426" s="6">
        <f>(H426/1000000)*AO$41</f>
      </c>
      <c r="AP426" s="6">
        <f>(I426/100)*AP$41</f>
      </c>
      <c r="AQ426" s="6">
        <f>(J426/1000000)*AQ$41</f>
      </c>
      <c r="AR426" s="6">
        <f>(K426/100)*AR$41</f>
      </c>
      <c r="AS426" s="6">
        <f>(L426/100)*AS$41</f>
      </c>
      <c r="AT426" s="6">
        <f>(M426/100)*AT$41</f>
      </c>
      <c r="AU426" s="6">
        <f>(N426/100)*AU$41</f>
      </c>
      <c r="AV426" s="6">
        <f>(O426/1000000)*AV$41</f>
      </c>
      <c r="AW426" s="6">
        <f>(P426/100)*AW$41</f>
      </c>
      <c r="AX426" s="6">
        <f>(Q426/100)*AX$41</f>
      </c>
      <c r="AY426" s="6">
        <f>(R426/100)*AY$41</f>
      </c>
      <c r="AZ426" s="6">
        <f>(S426/100)*AZ$41</f>
      </c>
      <c r="BA426" s="6">
        <f>(T426/100)*BA$41</f>
      </c>
      <c r="BB426" s="6">
        <f>(U426/100)*BB$41</f>
      </c>
      <c r="BC426" s="6"/>
      <c r="BD426" s="3"/>
      <c r="BE426" s="3"/>
      <c r="BF426" s="7">
        <f>AF426*E426</f>
      </c>
      <c r="BG426" s="6"/>
      <c r="BH426" s="3"/>
      <c r="BI426" s="6"/>
    </row>
    <row x14ac:dyDescent="0.25" r="427" customHeight="1" ht="12.75">
      <c r="A427" s="5" t="s">
        <v>217</v>
      </c>
      <c r="B427" s="38" t="s">
        <v>859</v>
      </c>
      <c r="C427" s="43" t="s">
        <v>866</v>
      </c>
      <c r="D427" s="34" t="s">
        <v>989</v>
      </c>
      <c r="E427" s="6">
        <v>6.89</v>
      </c>
      <c r="F427" s="7">
        <v>3.8333333333333335</v>
      </c>
      <c r="G427" s="7">
        <v>7.666666666666666</v>
      </c>
      <c r="H427" s="5">
        <v>70</v>
      </c>
      <c r="I427" s="6">
        <v>0.6</v>
      </c>
      <c r="J427" s="6"/>
      <c r="K427" s="7"/>
      <c r="L427" s="6"/>
      <c r="M427" s="6"/>
      <c r="N427" s="23"/>
      <c r="O427" s="5"/>
      <c r="P427" s="6"/>
      <c r="Q427" s="6"/>
      <c r="R427" s="6"/>
      <c r="S427" s="6"/>
      <c r="T427" s="6"/>
      <c r="U427" s="6"/>
      <c r="V427" s="5"/>
      <c r="W427" s="6"/>
      <c r="X427" s="6">
        <f>E427*F427/100</f>
      </c>
      <c r="Y427" s="6">
        <f>E427*G427/100</f>
      </c>
      <c r="Z427" s="7">
        <f>E427*H427</f>
      </c>
      <c r="AA427" s="7">
        <f>E427*J427</f>
      </c>
      <c r="AB427" s="6">
        <f>E427*I427/100</f>
      </c>
      <c r="AC427" s="15">
        <f>X427+Y427+AB427</f>
      </c>
      <c r="AD427" s="6">
        <f>F427+G427+I427</f>
      </c>
      <c r="AE427" s="3"/>
      <c r="AF427" s="6">
        <f>SUM(AM427:BC427)</f>
      </c>
      <c r="AG427" s="5">
        <f>IF(SUM(AM427:AO427)&gt;0.7*AF427,1,0)</f>
      </c>
      <c r="AH427" s="5">
        <f>IF(AN427&gt;0.4*AF427,1,0)</f>
      </c>
      <c r="AI427" s="5">
        <f>IF(SUM(AP427:AQ427)&gt;0.3*AF427,1,0)</f>
      </c>
      <c r="AJ427" s="5">
        <f>IF(AQ427&gt;0.2*AF427,1,0)</f>
      </c>
      <c r="AK427" s="5">
        <f>IF(SUM(AR427:BC427)&gt;0.3*AF427,1,0)</f>
      </c>
      <c r="AL427" s="3"/>
      <c r="AM427" s="6">
        <f>(F427/100)*AM$41</f>
      </c>
      <c r="AN427" s="6">
        <f>(G427/100)*AN$41</f>
      </c>
      <c r="AO427" s="6">
        <f>(H427/1000000)*AO$41</f>
      </c>
      <c r="AP427" s="6">
        <f>(I427/100)*AP$41</f>
      </c>
      <c r="AQ427" s="6">
        <f>(J427/1000000)*AQ$41</f>
      </c>
      <c r="AR427" s="6">
        <f>(K427/100)*AR$41</f>
      </c>
      <c r="AS427" s="6">
        <f>(L427/100)*AS$41</f>
      </c>
      <c r="AT427" s="6">
        <f>(M427/100)*AT$41</f>
      </c>
      <c r="AU427" s="6">
        <f>(N427/100)*AU$41</f>
      </c>
      <c r="AV427" s="6">
        <f>(O427/1000000)*AV$41</f>
      </c>
      <c r="AW427" s="6">
        <f>(P427/100)*AW$41</f>
      </c>
      <c r="AX427" s="6">
        <f>(Q427/100)*AX$41</f>
      </c>
      <c r="AY427" s="6">
        <f>(R427/100)*AY$41</f>
      </c>
      <c r="AZ427" s="6">
        <f>(S427/100)*AZ$41</f>
      </c>
      <c r="BA427" s="6">
        <f>(T427/100)*BA$41</f>
      </c>
      <c r="BB427" s="6">
        <f>(U427/100)*BB$41</f>
      </c>
      <c r="BC427" s="6"/>
      <c r="BD427" s="3"/>
      <c r="BE427" s="3"/>
      <c r="BF427" s="7">
        <f>AF427*E427</f>
      </c>
      <c r="BG427" s="6"/>
      <c r="BH427" s="3"/>
      <c r="BI427" s="6"/>
    </row>
    <row x14ac:dyDescent="0.25" r="428" customHeight="1" ht="12.75">
      <c r="A428" s="5" t="s">
        <v>452</v>
      </c>
      <c r="B428" s="38" t="s">
        <v>859</v>
      </c>
      <c r="C428" s="43" t="s">
        <v>866</v>
      </c>
      <c r="D428" s="34" t="s">
        <v>989</v>
      </c>
      <c r="E428" s="5">
        <v>10</v>
      </c>
      <c r="F428" s="6">
        <v>2.26</v>
      </c>
      <c r="G428" s="5">
        <v>6</v>
      </c>
      <c r="H428" s="7"/>
      <c r="I428" s="6"/>
      <c r="J428" s="6"/>
      <c r="K428" s="7"/>
      <c r="L428" s="6"/>
      <c r="M428" s="6"/>
      <c r="N428" s="23"/>
      <c r="O428" s="5"/>
      <c r="P428" s="6"/>
      <c r="Q428" s="6"/>
      <c r="R428" s="6"/>
      <c r="S428" s="6"/>
      <c r="T428" s="6"/>
      <c r="U428" s="6"/>
      <c r="V428" s="5"/>
      <c r="W428" s="6"/>
      <c r="X428" s="6">
        <f>E428*F428/100</f>
      </c>
      <c r="Y428" s="6">
        <f>E428*G428/100</f>
      </c>
      <c r="Z428" s="7">
        <f>E428*H428</f>
      </c>
      <c r="AA428" s="7">
        <f>E428*J428</f>
      </c>
      <c r="AB428" s="6">
        <f>E428*I428/100</f>
      </c>
      <c r="AC428" s="15">
        <f>X428+Y428+AB428</f>
      </c>
      <c r="AD428" s="6">
        <f>F428+G428+I428</f>
      </c>
      <c r="AE428" s="3"/>
      <c r="AF428" s="6">
        <f>SUM(AM428:BC428)</f>
      </c>
      <c r="AG428" s="5">
        <f>IF(SUM(AM428:AO428)&gt;0.7*AF428,1,0)</f>
      </c>
      <c r="AH428" s="5">
        <f>IF(AN428&gt;0.4*AF428,1,0)</f>
      </c>
      <c r="AI428" s="5">
        <f>IF(SUM(AP428:AQ428)&gt;0.3*AF428,1,0)</f>
      </c>
      <c r="AJ428" s="5">
        <f>IF(AQ428&gt;0.2*AF428,1,0)</f>
      </c>
      <c r="AK428" s="5">
        <f>IF(SUM(AR428:BC428)&gt;0.3*AF428,1,0)</f>
      </c>
      <c r="AL428" s="3"/>
      <c r="AM428" s="6">
        <f>(F428/100)*AM$41</f>
      </c>
      <c r="AN428" s="6">
        <f>(G428/100)*AN$41</f>
      </c>
      <c r="AO428" s="6">
        <f>(H428/1000000)*AO$41</f>
      </c>
      <c r="AP428" s="6">
        <f>(I428/100)*AP$41</f>
      </c>
      <c r="AQ428" s="6">
        <f>(J428/1000000)*AQ$41</f>
      </c>
      <c r="AR428" s="6">
        <f>(K428/100)*AR$41</f>
      </c>
      <c r="AS428" s="6">
        <f>(L428/100)*AS$41</f>
      </c>
      <c r="AT428" s="6">
        <f>(M428/100)*AT$41</f>
      </c>
      <c r="AU428" s="6">
        <f>(N428/100)*AU$41</f>
      </c>
      <c r="AV428" s="6">
        <f>(O428/1000000)*AV$41</f>
      </c>
      <c r="AW428" s="6">
        <f>(P428/100)*AW$41</f>
      </c>
      <c r="AX428" s="6">
        <f>(Q428/100)*AX$41</f>
      </c>
      <c r="AY428" s="6">
        <f>(R428/100)*AY$41</f>
      </c>
      <c r="AZ428" s="6">
        <f>(S428/100)*AZ$41</f>
      </c>
      <c r="BA428" s="6">
        <f>(T428/100)*BA$41</f>
      </c>
      <c r="BB428" s="6">
        <f>(U428/100)*BB$41</f>
      </c>
      <c r="BC428" s="6"/>
      <c r="BD428" s="3"/>
      <c r="BE428" s="3"/>
      <c r="BF428" s="7">
        <f>AF428*E428</f>
      </c>
      <c r="BG428" s="6"/>
      <c r="BH428" s="3"/>
      <c r="BI428" s="6"/>
    </row>
    <row x14ac:dyDescent="0.25" r="429" customHeight="1" ht="12.75">
      <c r="A429" s="5" t="s">
        <v>110</v>
      </c>
      <c r="B429" s="38" t="s">
        <v>859</v>
      </c>
      <c r="C429" s="43" t="s">
        <v>866</v>
      </c>
      <c r="D429" s="34" t="s">
        <v>988</v>
      </c>
      <c r="E429" s="7">
        <v>5</v>
      </c>
      <c r="F429" s="6">
        <v>7.6</v>
      </c>
      <c r="G429" s="6">
        <v>8.9</v>
      </c>
      <c r="H429" s="5">
        <v>51</v>
      </c>
      <c r="I429" s="6"/>
      <c r="J429" s="6"/>
      <c r="K429" s="7"/>
      <c r="L429" s="6"/>
      <c r="M429" s="6"/>
      <c r="N429" s="23"/>
      <c r="O429" s="5"/>
      <c r="P429" s="6"/>
      <c r="Q429" s="6"/>
      <c r="R429" s="6"/>
      <c r="S429" s="6"/>
      <c r="T429" s="6"/>
      <c r="U429" s="6"/>
      <c r="V429" s="5"/>
      <c r="W429" s="6"/>
      <c r="X429" s="6">
        <f>E429*F429/100</f>
      </c>
      <c r="Y429" s="6">
        <f>E429*G429/100</f>
      </c>
      <c r="Z429" s="7">
        <f>E429*H429</f>
      </c>
      <c r="AA429" s="7">
        <f>E429*J429</f>
      </c>
      <c r="AB429" s="6">
        <f>E429*I429/100</f>
      </c>
      <c r="AC429" s="15">
        <f>X429+Y429+AB429</f>
      </c>
      <c r="AD429" s="6">
        <f>F429+G429+I429</f>
      </c>
      <c r="AE429" s="3"/>
      <c r="AF429" s="6">
        <f>SUM(AM429:BC429)</f>
      </c>
      <c r="AG429" s="5">
        <f>IF(SUM(AM429:AO429)&gt;0.7*AF429,1,0)</f>
      </c>
      <c r="AH429" s="5">
        <f>IF(AN429&gt;0.4*AF429,1,0)</f>
      </c>
      <c r="AI429" s="5">
        <f>IF(SUM(AP429:AQ429)&gt;0.3*AF429,1,0)</f>
      </c>
      <c r="AJ429" s="5">
        <f>IF(AQ429&gt;0.2*AF429,1,0)</f>
      </c>
      <c r="AK429" s="5">
        <f>IF(SUM(AR429:BC429)&gt;0.3*AF429,1,0)</f>
      </c>
      <c r="AL429" s="3"/>
      <c r="AM429" s="6">
        <f>(F429/100)*AM$41</f>
      </c>
      <c r="AN429" s="6">
        <f>(G429/100)*AN$41</f>
      </c>
      <c r="AO429" s="6">
        <f>(H429/1000000)*AO$41</f>
      </c>
      <c r="AP429" s="6">
        <f>(I429/100)*AP$41</f>
      </c>
      <c r="AQ429" s="6">
        <f>(J429/1000000)*AQ$41</f>
      </c>
      <c r="AR429" s="6">
        <f>(K429/100)*AR$41</f>
      </c>
      <c r="AS429" s="6">
        <f>(L429/100)*AS$41</f>
      </c>
      <c r="AT429" s="6">
        <f>(M429/100)*AT$41</f>
      </c>
      <c r="AU429" s="6">
        <f>(N429/100)*AU$41</f>
      </c>
      <c r="AV429" s="6">
        <f>(O429/1000000)*AV$41</f>
      </c>
      <c r="AW429" s="6">
        <f>(P429/100)*AW$41</f>
      </c>
      <c r="AX429" s="6">
        <f>(Q429/100)*AX$41</f>
      </c>
      <c r="AY429" s="6">
        <f>(R429/100)*AY$41</f>
      </c>
      <c r="AZ429" s="6">
        <f>(S429/100)*AZ$41</f>
      </c>
      <c r="BA429" s="6">
        <f>(T429/100)*BA$41</f>
      </c>
      <c r="BB429" s="6">
        <f>(U429/100)*BB$41</f>
      </c>
      <c r="BC429" s="6"/>
      <c r="BD429" s="3"/>
      <c r="BE429" s="3"/>
      <c r="BF429" s="7">
        <f>AF429*E429</f>
      </c>
      <c r="BG429" s="6"/>
      <c r="BH429" s="3"/>
      <c r="BI429" s="6"/>
    </row>
    <row x14ac:dyDescent="0.25" r="430" customHeight="1" ht="12.75">
      <c r="A430" s="5" t="s">
        <v>400</v>
      </c>
      <c r="B430" s="38" t="s">
        <v>859</v>
      </c>
      <c r="C430" s="43" t="s">
        <v>866</v>
      </c>
      <c r="D430" s="34" t="s">
        <v>989</v>
      </c>
      <c r="E430" s="6">
        <v>8.8</v>
      </c>
      <c r="F430" s="6">
        <v>3.1</v>
      </c>
      <c r="G430" s="6">
        <v>4.2</v>
      </c>
      <c r="H430" s="7"/>
      <c r="I430" s="6">
        <v>1.6</v>
      </c>
      <c r="J430" s="6"/>
      <c r="K430" s="7"/>
      <c r="L430" s="6"/>
      <c r="M430" s="6"/>
      <c r="N430" s="23"/>
      <c r="O430" s="5"/>
      <c r="P430" s="6"/>
      <c r="Q430" s="6"/>
      <c r="R430" s="6"/>
      <c r="S430" s="6"/>
      <c r="T430" s="6"/>
      <c r="U430" s="6"/>
      <c r="V430" s="5"/>
      <c r="W430" s="6"/>
      <c r="X430" s="6">
        <f>E430*F430/100</f>
      </c>
      <c r="Y430" s="6">
        <f>E430*G430/100</f>
      </c>
      <c r="Z430" s="7">
        <f>E430*H430</f>
      </c>
      <c r="AA430" s="7">
        <f>E430*J430</f>
      </c>
      <c r="AB430" s="6">
        <f>E430*I430/100</f>
      </c>
      <c r="AC430" s="15">
        <f>X430+Y430+AB430</f>
      </c>
      <c r="AD430" s="6">
        <f>F430+G430+I430</f>
      </c>
      <c r="AE430" s="3"/>
      <c r="AF430" s="6">
        <f>SUM(AM430:BC430)</f>
      </c>
      <c r="AG430" s="5">
        <f>IF(SUM(AM430:AO430)&gt;0.7*AF430,1,0)</f>
      </c>
      <c r="AH430" s="5">
        <f>IF(AN430&gt;0.4*AF430,1,0)</f>
      </c>
      <c r="AI430" s="5">
        <f>IF(SUM(AP430:AQ430)&gt;0.3*AF430,1,0)</f>
      </c>
      <c r="AJ430" s="5">
        <f>IF(AQ430&gt;0.2*AF430,1,0)</f>
      </c>
      <c r="AK430" s="5">
        <f>IF(SUM(AR430:BC430)&gt;0.3*AF430,1,0)</f>
      </c>
      <c r="AL430" s="3"/>
      <c r="AM430" s="6">
        <f>(F430/100)*AM$41</f>
      </c>
      <c r="AN430" s="6">
        <f>(G430/100)*AN$41</f>
      </c>
      <c r="AO430" s="6">
        <f>(H430/1000000)*AO$41</f>
      </c>
      <c r="AP430" s="6">
        <f>(I430/100)*AP$41</f>
      </c>
      <c r="AQ430" s="6">
        <f>(J430/1000000)*AQ$41</f>
      </c>
      <c r="AR430" s="6">
        <f>(K430/100)*AR$41</f>
      </c>
      <c r="AS430" s="6">
        <f>(L430/100)*AS$41</f>
      </c>
      <c r="AT430" s="6">
        <f>(M430/100)*AT$41</f>
      </c>
      <c r="AU430" s="6">
        <f>(N430/100)*AU$41</f>
      </c>
      <c r="AV430" s="6">
        <f>(O430/1000000)*AV$41</f>
      </c>
      <c r="AW430" s="6">
        <f>(P430/100)*AW$41</f>
      </c>
      <c r="AX430" s="6">
        <f>(Q430/100)*AX$41</f>
      </c>
      <c r="AY430" s="6">
        <f>(R430/100)*AY$41</f>
      </c>
      <c r="AZ430" s="6">
        <f>(S430/100)*AZ$41</f>
      </c>
      <c r="BA430" s="6">
        <f>(T430/100)*BA$41</f>
      </c>
      <c r="BB430" s="6">
        <f>(U430/100)*BB$41</f>
      </c>
      <c r="BC430" s="6"/>
      <c r="BD430" s="3"/>
      <c r="BE430" s="3"/>
      <c r="BF430" s="7">
        <f>AF430*E430</f>
      </c>
      <c r="BG430" s="6"/>
      <c r="BH430" s="3"/>
      <c r="BI430" s="6"/>
    </row>
    <row x14ac:dyDescent="0.25" r="431" customHeight="1" ht="12.75">
      <c r="A431" s="5" t="s">
        <v>95</v>
      </c>
      <c r="B431" s="38" t="s">
        <v>859</v>
      </c>
      <c r="C431" s="43" t="s">
        <v>866</v>
      </c>
      <c r="D431" s="34" t="s">
        <v>988</v>
      </c>
      <c r="E431" s="6">
        <v>4.417000000000002</v>
      </c>
      <c r="F431" s="7">
        <v>3.400000000000004</v>
      </c>
      <c r="G431" s="7">
        <v>14.12836767036449</v>
      </c>
      <c r="H431" s="31">
        <v>72.12157573013353</v>
      </c>
      <c r="I431" s="6"/>
      <c r="J431" s="6"/>
      <c r="K431" s="7"/>
      <c r="L431" s="6"/>
      <c r="M431" s="6"/>
      <c r="N431" s="23"/>
      <c r="O431" s="5"/>
      <c r="P431" s="6"/>
      <c r="Q431" s="6"/>
      <c r="R431" s="6"/>
      <c r="S431" s="6"/>
      <c r="T431" s="6"/>
      <c r="U431" s="6"/>
      <c r="V431" s="5"/>
      <c r="W431" s="6"/>
      <c r="X431" s="6">
        <f>E431*F431/100</f>
      </c>
      <c r="Y431" s="6">
        <f>E431*G431/100</f>
      </c>
      <c r="Z431" s="7">
        <f>E431*H431</f>
      </c>
      <c r="AA431" s="7">
        <f>E431*J431</f>
      </c>
      <c r="AB431" s="6">
        <f>E431*I431/100</f>
      </c>
      <c r="AC431" s="15">
        <f>X431+Y431+AB431</f>
      </c>
      <c r="AD431" s="6">
        <f>F431+G431+I431</f>
      </c>
      <c r="AE431" s="3"/>
      <c r="AF431" s="6">
        <f>SUM(AM431:BC431)</f>
      </c>
      <c r="AG431" s="5">
        <f>IF(SUM(AM431:AO431)&gt;0.7*AF431,1,0)</f>
      </c>
      <c r="AH431" s="5">
        <f>IF(AN431&gt;0.4*AF431,1,0)</f>
      </c>
      <c r="AI431" s="5">
        <f>IF(SUM(AP431:AQ431)&gt;0.3*AF431,1,0)</f>
      </c>
      <c r="AJ431" s="5">
        <f>IF(AQ431&gt;0.2*AF431,1,0)</f>
      </c>
      <c r="AK431" s="5">
        <f>IF(SUM(AR431:BC431)&gt;0.3*AF431,1,0)</f>
      </c>
      <c r="AL431" s="3"/>
      <c r="AM431" s="6">
        <f>(F431/100)*AM$41</f>
      </c>
      <c r="AN431" s="6">
        <f>(G431/100)*AN$41</f>
      </c>
      <c r="AO431" s="6">
        <f>(H431/1000000)*AO$41</f>
      </c>
      <c r="AP431" s="6">
        <f>(I431/100)*AP$41</f>
      </c>
      <c r="AQ431" s="6">
        <f>(J431/1000000)*AQ$41</f>
      </c>
      <c r="AR431" s="6">
        <f>(K431/100)*AR$41</f>
      </c>
      <c r="AS431" s="6">
        <f>(L431/100)*AS$41</f>
      </c>
      <c r="AT431" s="6">
        <f>(M431/100)*AT$41</f>
      </c>
      <c r="AU431" s="6">
        <f>(N431/100)*AU$41</f>
      </c>
      <c r="AV431" s="6">
        <f>(O431/1000000)*AV$41</f>
      </c>
      <c r="AW431" s="6">
        <f>(P431/100)*AW$41</f>
      </c>
      <c r="AX431" s="6">
        <f>(Q431/100)*AX$41</f>
      </c>
      <c r="AY431" s="6">
        <f>(R431/100)*AY$41</f>
      </c>
      <c r="AZ431" s="6">
        <f>(S431/100)*AZ$41</f>
      </c>
      <c r="BA431" s="6">
        <f>(T431/100)*BA$41</f>
      </c>
      <c r="BB431" s="6">
        <f>(U431/100)*BB$41</f>
      </c>
      <c r="BC431" s="6"/>
      <c r="BD431" s="3"/>
      <c r="BE431" s="3"/>
      <c r="BF431" s="7">
        <f>AF431*E431</f>
      </c>
      <c r="BG431" s="6"/>
      <c r="BH431" s="3"/>
      <c r="BI431" s="6"/>
    </row>
    <row x14ac:dyDescent="0.25" r="432" customHeight="1" ht="12.75">
      <c r="A432" s="5" t="s">
        <v>455</v>
      </c>
      <c r="B432" s="38" t="s">
        <v>859</v>
      </c>
      <c r="C432" s="43" t="s">
        <v>866</v>
      </c>
      <c r="D432" s="34" t="s">
        <v>988</v>
      </c>
      <c r="E432" s="6">
        <v>9.47</v>
      </c>
      <c r="F432" s="5">
        <v>2</v>
      </c>
      <c r="G432" s="6">
        <v>6.13</v>
      </c>
      <c r="H432" s="7"/>
      <c r="I432" s="6"/>
      <c r="J432" s="6"/>
      <c r="K432" s="7"/>
      <c r="L432" s="6"/>
      <c r="M432" s="6"/>
      <c r="N432" s="23"/>
      <c r="O432" s="5"/>
      <c r="P432" s="6"/>
      <c r="Q432" s="6"/>
      <c r="R432" s="6"/>
      <c r="S432" s="6"/>
      <c r="T432" s="6"/>
      <c r="U432" s="6"/>
      <c r="V432" s="5"/>
      <c r="W432" s="6"/>
      <c r="X432" s="6">
        <f>E432*F432/100</f>
      </c>
      <c r="Y432" s="6">
        <f>E432*G432/100</f>
      </c>
      <c r="Z432" s="7">
        <f>E432*H432</f>
      </c>
      <c r="AA432" s="7">
        <f>E432*J432</f>
      </c>
      <c r="AB432" s="6">
        <f>E432*I432/100</f>
      </c>
      <c r="AC432" s="15">
        <f>X432+Y432+AB432</f>
      </c>
      <c r="AD432" s="6">
        <f>F432+G432+I432</f>
      </c>
      <c r="AE432" s="3"/>
      <c r="AF432" s="6">
        <f>SUM(AM432:BC432)</f>
      </c>
      <c r="AG432" s="5">
        <f>IF(SUM(AM432:AO432)&gt;0.7*AF432,1,0)</f>
      </c>
      <c r="AH432" s="5">
        <f>IF(AN432&gt;0.4*AF432,1,0)</f>
      </c>
      <c r="AI432" s="5">
        <f>IF(SUM(AP432:AQ432)&gt;0.3*AF432,1,0)</f>
      </c>
      <c r="AJ432" s="5">
        <f>IF(AQ432&gt;0.2*AF432,1,0)</f>
      </c>
      <c r="AK432" s="5">
        <f>IF(SUM(AR432:BC432)&gt;0.3*AF432,1,0)</f>
      </c>
      <c r="AL432" s="3"/>
      <c r="AM432" s="6">
        <f>(F432/100)*AM$41</f>
      </c>
      <c r="AN432" s="6">
        <f>(G432/100)*AN$41</f>
      </c>
      <c r="AO432" s="6">
        <f>(H432/1000000)*AO$41</f>
      </c>
      <c r="AP432" s="6">
        <f>(I432/100)*AP$41</f>
      </c>
      <c r="AQ432" s="6">
        <f>(J432/1000000)*AQ$41</f>
      </c>
      <c r="AR432" s="6">
        <f>(K432/100)*AR$41</f>
      </c>
      <c r="AS432" s="6">
        <f>(L432/100)*AS$41</f>
      </c>
      <c r="AT432" s="6">
        <f>(M432/100)*AT$41</f>
      </c>
      <c r="AU432" s="6">
        <f>(N432/100)*AU$41</f>
      </c>
      <c r="AV432" s="6">
        <f>(O432/1000000)*AV$41</f>
      </c>
      <c r="AW432" s="6">
        <f>(P432/100)*AW$41</f>
      </c>
      <c r="AX432" s="6">
        <f>(Q432/100)*AX$41</f>
      </c>
      <c r="AY432" s="6">
        <f>(R432/100)*AY$41</f>
      </c>
      <c r="AZ432" s="6">
        <f>(S432/100)*AZ$41</f>
      </c>
      <c r="BA432" s="6">
        <f>(T432/100)*BA$41</f>
      </c>
      <c r="BB432" s="6">
        <f>(U432/100)*BB$41</f>
      </c>
      <c r="BC432" s="6"/>
      <c r="BD432" s="3"/>
      <c r="BE432" s="3"/>
      <c r="BF432" s="7">
        <f>AF432*E432</f>
      </c>
      <c r="BG432" s="6"/>
      <c r="BH432" s="3"/>
      <c r="BI432" s="6"/>
    </row>
    <row x14ac:dyDescent="0.25" r="433" customHeight="1" ht="12.75">
      <c r="A433" s="5" t="s">
        <v>465</v>
      </c>
      <c r="B433" s="38" t="s">
        <v>859</v>
      </c>
      <c r="C433" s="43" t="s">
        <v>866</v>
      </c>
      <c r="D433" s="34" t="s">
        <v>989</v>
      </c>
      <c r="E433" s="6">
        <v>9.07</v>
      </c>
      <c r="F433" s="6">
        <v>2.6</v>
      </c>
      <c r="G433" s="6">
        <v>5.4</v>
      </c>
      <c r="H433" s="6">
        <v>17.1</v>
      </c>
      <c r="I433" s="6"/>
      <c r="J433" s="6"/>
      <c r="K433" s="7"/>
      <c r="L433" s="6"/>
      <c r="M433" s="6"/>
      <c r="N433" s="23"/>
      <c r="O433" s="5"/>
      <c r="P433" s="6"/>
      <c r="Q433" s="6"/>
      <c r="R433" s="6"/>
      <c r="S433" s="6"/>
      <c r="T433" s="6"/>
      <c r="U433" s="6"/>
      <c r="V433" s="5"/>
      <c r="W433" s="6"/>
      <c r="X433" s="6">
        <f>E433*F433/100</f>
      </c>
      <c r="Y433" s="6">
        <f>E433*G433/100</f>
      </c>
      <c r="Z433" s="7">
        <f>E433*H433</f>
      </c>
      <c r="AA433" s="7">
        <f>E433*J433</f>
      </c>
      <c r="AB433" s="6">
        <f>E433*I433/100</f>
      </c>
      <c r="AC433" s="15">
        <f>X433+Y433+AB433</f>
      </c>
      <c r="AD433" s="6">
        <f>F433+G433+I433</f>
      </c>
      <c r="AE433" s="3"/>
      <c r="AF433" s="6">
        <f>SUM(AM433:BC433)</f>
      </c>
      <c r="AG433" s="5">
        <f>IF(SUM(AM433:AO433)&gt;0.7*AF433,1,0)</f>
      </c>
      <c r="AH433" s="5">
        <f>IF(AN433&gt;0.4*AF433,1,0)</f>
      </c>
      <c r="AI433" s="5">
        <f>IF(SUM(AP433:AQ433)&gt;0.3*AF433,1,0)</f>
      </c>
      <c r="AJ433" s="5">
        <f>IF(AQ433&gt;0.2*AF433,1,0)</f>
      </c>
      <c r="AK433" s="5">
        <f>IF(SUM(AR433:BC433)&gt;0.3*AF433,1,0)</f>
      </c>
      <c r="AL433" s="3"/>
      <c r="AM433" s="6">
        <f>(F433/100)*AM$41</f>
      </c>
      <c r="AN433" s="6">
        <f>(G433/100)*AN$41</f>
      </c>
      <c r="AO433" s="6">
        <f>(H433/1000000)*AO$41</f>
      </c>
      <c r="AP433" s="6">
        <f>(I433/100)*AP$41</f>
      </c>
      <c r="AQ433" s="6">
        <f>(J433/1000000)*AQ$41</f>
      </c>
      <c r="AR433" s="6">
        <f>(K433/100)*AR$41</f>
      </c>
      <c r="AS433" s="6">
        <f>(L433/100)*AS$41</f>
      </c>
      <c r="AT433" s="6">
        <f>(M433/100)*AT$41</f>
      </c>
      <c r="AU433" s="6">
        <f>(N433/100)*AU$41</f>
      </c>
      <c r="AV433" s="6">
        <f>(O433/1000000)*AV$41</f>
      </c>
      <c r="AW433" s="6">
        <f>(P433/100)*AW$41</f>
      </c>
      <c r="AX433" s="6">
        <f>(Q433/100)*AX$41</f>
      </c>
      <c r="AY433" s="6">
        <f>(R433/100)*AY$41</f>
      </c>
      <c r="AZ433" s="6">
        <f>(S433/100)*AZ$41</f>
      </c>
      <c r="BA433" s="6">
        <f>(T433/100)*BA$41</f>
      </c>
      <c r="BB433" s="6">
        <f>(U433/100)*BB$41</f>
      </c>
      <c r="BC433" s="6"/>
      <c r="BD433" s="3"/>
      <c r="BE433" s="3"/>
      <c r="BF433" s="7">
        <f>AF433*E433</f>
      </c>
      <c r="BG433" s="6"/>
      <c r="BH433" s="3"/>
      <c r="BI433" s="6"/>
    </row>
    <row x14ac:dyDescent="0.25" r="434" customHeight="1" ht="12.75">
      <c r="A434" s="5" t="s">
        <v>512</v>
      </c>
      <c r="B434" s="38" t="s">
        <v>859</v>
      </c>
      <c r="C434" s="43" t="s">
        <v>866</v>
      </c>
      <c r="D434" s="34" t="s">
        <v>988</v>
      </c>
      <c r="E434" s="6">
        <v>9.9</v>
      </c>
      <c r="F434" s="6">
        <v>1.4</v>
      </c>
      <c r="G434" s="6">
        <v>5.4</v>
      </c>
      <c r="H434" s="7"/>
      <c r="I434" s="6"/>
      <c r="J434" s="6"/>
      <c r="K434" s="7"/>
      <c r="L434" s="6"/>
      <c r="M434" s="6"/>
      <c r="N434" s="23"/>
      <c r="O434" s="5"/>
      <c r="P434" s="6"/>
      <c r="Q434" s="6"/>
      <c r="R434" s="6"/>
      <c r="S434" s="6"/>
      <c r="T434" s="6"/>
      <c r="U434" s="6"/>
      <c r="V434" s="5"/>
      <c r="W434" s="6"/>
      <c r="X434" s="6">
        <f>E434*F434/100</f>
      </c>
      <c r="Y434" s="6">
        <f>E434*G434/100</f>
      </c>
      <c r="Z434" s="7">
        <f>E434*H434</f>
      </c>
      <c r="AA434" s="7">
        <f>E434*J434</f>
      </c>
      <c r="AB434" s="6">
        <f>E434*I434/100</f>
      </c>
      <c r="AC434" s="15">
        <f>X434+Y434+AB434</f>
      </c>
      <c r="AD434" s="6">
        <f>F434+G434+I434</f>
      </c>
      <c r="AE434" s="3"/>
      <c r="AF434" s="6">
        <f>SUM(AM434:BC434)</f>
      </c>
      <c r="AG434" s="5">
        <f>IF(SUM(AM434:AO434)&gt;0.7*AF434,1,0)</f>
      </c>
      <c r="AH434" s="5">
        <f>IF(AN434&gt;0.4*AF434,1,0)</f>
      </c>
      <c r="AI434" s="5">
        <f>IF(SUM(AP434:AQ434)&gt;0.3*AF434,1,0)</f>
      </c>
      <c r="AJ434" s="5">
        <f>IF(AQ434&gt;0.2*AF434,1,0)</f>
      </c>
      <c r="AK434" s="5">
        <f>IF(SUM(AR434:BC434)&gt;0.3*AF434,1,0)</f>
      </c>
      <c r="AL434" s="3"/>
      <c r="AM434" s="6">
        <f>(F434/100)*AM$41</f>
      </c>
      <c r="AN434" s="6">
        <f>(G434/100)*AN$41</f>
      </c>
      <c r="AO434" s="6">
        <f>(H434/1000000)*AO$41</f>
      </c>
      <c r="AP434" s="6">
        <f>(I434/100)*AP$41</f>
      </c>
      <c r="AQ434" s="6">
        <f>(J434/1000000)*AQ$41</f>
      </c>
      <c r="AR434" s="6">
        <f>(K434/100)*AR$41</f>
      </c>
      <c r="AS434" s="6">
        <f>(L434/100)*AS$41</f>
      </c>
      <c r="AT434" s="6">
        <f>(M434/100)*AT$41</f>
      </c>
      <c r="AU434" s="6">
        <f>(N434/100)*AU$41</f>
      </c>
      <c r="AV434" s="6">
        <f>(O434/1000000)*AV$41</f>
      </c>
      <c r="AW434" s="6">
        <f>(P434/100)*AW$41</f>
      </c>
      <c r="AX434" s="6">
        <f>(Q434/100)*AX$41</f>
      </c>
      <c r="AY434" s="6">
        <f>(R434/100)*AY$41</f>
      </c>
      <c r="AZ434" s="6">
        <f>(S434/100)*AZ$41</f>
      </c>
      <c r="BA434" s="6">
        <f>(T434/100)*BA$41</f>
      </c>
      <c r="BB434" s="6">
        <f>(U434/100)*BB$41</f>
      </c>
      <c r="BC434" s="6"/>
      <c r="BD434" s="3"/>
      <c r="BE434" s="3"/>
      <c r="BF434" s="7">
        <f>AF434*E434</f>
      </c>
      <c r="BG434" s="6"/>
      <c r="BH434" s="3"/>
      <c r="BI434" s="6"/>
    </row>
    <row x14ac:dyDescent="0.25" r="435" customHeight="1" ht="12.75">
      <c r="A435" s="5" t="s">
        <v>513</v>
      </c>
      <c r="B435" s="38" t="s">
        <v>859</v>
      </c>
      <c r="C435" s="43" t="s">
        <v>866</v>
      </c>
      <c r="D435" s="34" t="s">
        <v>988</v>
      </c>
      <c r="E435" s="5">
        <v>12</v>
      </c>
      <c r="F435" s="6">
        <v>3.2</v>
      </c>
      <c r="G435" s="6">
        <v>2.4</v>
      </c>
      <c r="H435" s="5">
        <v>43</v>
      </c>
      <c r="I435" s="6"/>
      <c r="J435" s="6"/>
      <c r="K435" s="7"/>
      <c r="L435" s="6"/>
      <c r="M435" s="6"/>
      <c r="N435" s="23"/>
      <c r="O435" s="5"/>
      <c r="P435" s="6"/>
      <c r="Q435" s="6"/>
      <c r="R435" s="6"/>
      <c r="S435" s="6"/>
      <c r="T435" s="6"/>
      <c r="U435" s="6"/>
      <c r="V435" s="5"/>
      <c r="W435" s="6"/>
      <c r="X435" s="6">
        <f>E435*F435/100</f>
      </c>
      <c r="Y435" s="6">
        <f>E435*G435/100</f>
      </c>
      <c r="Z435" s="7">
        <f>E435*H435</f>
      </c>
      <c r="AA435" s="7">
        <f>E435*J435</f>
      </c>
      <c r="AB435" s="6">
        <f>E435*I435/100</f>
      </c>
      <c r="AC435" s="15">
        <f>X435+Y435+AB435</f>
      </c>
      <c r="AD435" s="6">
        <f>F435+G435+I435</f>
      </c>
      <c r="AE435" s="3"/>
      <c r="AF435" s="6">
        <f>SUM(AM435:BC435)</f>
      </c>
      <c r="AG435" s="5">
        <f>IF(SUM(AM435:AO435)&gt;0.7*AF435,1,0)</f>
      </c>
      <c r="AH435" s="5">
        <f>IF(AN435&gt;0.4*AF435,1,0)</f>
      </c>
      <c r="AI435" s="5">
        <f>IF(SUM(AP435:AQ435)&gt;0.3*AF435,1,0)</f>
      </c>
      <c r="AJ435" s="5">
        <f>IF(AQ435&gt;0.2*AF435,1,0)</f>
      </c>
      <c r="AK435" s="5">
        <f>IF(SUM(AR435:BC435)&gt;0.3*AF435,1,0)</f>
      </c>
      <c r="AL435" s="3"/>
      <c r="AM435" s="6">
        <f>(F435/100)*AM$41</f>
      </c>
      <c r="AN435" s="6">
        <f>(G435/100)*AN$41</f>
      </c>
      <c r="AO435" s="6">
        <f>(H435/1000000)*AO$41</f>
      </c>
      <c r="AP435" s="6">
        <f>(I435/100)*AP$41</f>
      </c>
      <c r="AQ435" s="6">
        <f>(J435/1000000)*AQ$41</f>
      </c>
      <c r="AR435" s="6">
        <f>(K435/100)*AR$41</f>
      </c>
      <c r="AS435" s="6">
        <f>(L435/100)*AS$41</f>
      </c>
      <c r="AT435" s="6">
        <f>(M435/100)*AT$41</f>
      </c>
      <c r="AU435" s="6">
        <f>(N435/100)*AU$41</f>
      </c>
      <c r="AV435" s="6">
        <f>(O435/1000000)*AV$41</f>
      </c>
      <c r="AW435" s="6">
        <f>(P435/100)*AW$41</f>
      </c>
      <c r="AX435" s="6">
        <f>(Q435/100)*AX$41</f>
      </c>
      <c r="AY435" s="6">
        <f>(R435/100)*AY$41</f>
      </c>
      <c r="AZ435" s="6">
        <f>(S435/100)*AZ$41</f>
      </c>
      <c r="BA435" s="6">
        <f>(T435/100)*BA$41</f>
      </c>
      <c r="BB435" s="6">
        <f>(U435/100)*BB$41</f>
      </c>
      <c r="BC435" s="6"/>
      <c r="BD435" s="3"/>
      <c r="BE435" s="3"/>
      <c r="BF435" s="7">
        <f>AF435*E435</f>
      </c>
      <c r="BG435" s="6"/>
      <c r="BH435" s="3"/>
      <c r="BI435" s="6"/>
    </row>
    <row x14ac:dyDescent="0.25" r="436" customHeight="1" ht="12.75">
      <c r="A436" s="5" t="s">
        <v>414</v>
      </c>
      <c r="B436" s="38" t="s">
        <v>859</v>
      </c>
      <c r="C436" s="43" t="s">
        <v>866</v>
      </c>
      <c r="D436" s="34" t="s">
        <v>989</v>
      </c>
      <c r="E436" s="5">
        <v>7</v>
      </c>
      <c r="F436" s="6">
        <v>8.33</v>
      </c>
      <c r="G436" s="6">
        <v>0.38</v>
      </c>
      <c r="H436" s="5">
        <v>72</v>
      </c>
      <c r="I436" s="6"/>
      <c r="J436" s="6"/>
      <c r="K436" s="7"/>
      <c r="L436" s="6"/>
      <c r="M436" s="6"/>
      <c r="N436" s="23"/>
      <c r="O436" s="5"/>
      <c r="P436" s="6"/>
      <c r="Q436" s="6"/>
      <c r="R436" s="6"/>
      <c r="S436" s="6"/>
      <c r="T436" s="6"/>
      <c r="U436" s="6"/>
      <c r="V436" s="5"/>
      <c r="W436" s="6"/>
      <c r="X436" s="6">
        <f>E436*F436/100</f>
      </c>
      <c r="Y436" s="6">
        <f>E436*G436/100</f>
      </c>
      <c r="Z436" s="7">
        <f>E436*H436</f>
      </c>
      <c r="AA436" s="7">
        <f>E436*J436</f>
      </c>
      <c r="AB436" s="6">
        <f>E436*I436/100</f>
      </c>
      <c r="AC436" s="15">
        <f>X436+Y436+AB436</f>
      </c>
      <c r="AD436" s="6">
        <f>F436+G436+I436</f>
      </c>
      <c r="AE436" s="3"/>
      <c r="AF436" s="6">
        <f>SUM(AM436:BC436)</f>
      </c>
      <c r="AG436" s="5">
        <f>IF(SUM(AM436:AO436)&gt;0.7*AF436,1,0)</f>
      </c>
      <c r="AH436" s="5">
        <f>IF(AN436&gt;0.4*AF436,1,0)</f>
      </c>
      <c r="AI436" s="5">
        <f>IF(SUM(AP436:AQ436)&gt;0.3*AF436,1,0)</f>
      </c>
      <c r="AJ436" s="5">
        <f>IF(AQ436&gt;0.2*AF436,1,0)</f>
      </c>
      <c r="AK436" s="5">
        <f>IF(SUM(AR436:BC436)&gt;0.3*AF436,1,0)</f>
      </c>
      <c r="AL436" s="3"/>
      <c r="AM436" s="6">
        <f>(F436/100)*AM$41</f>
      </c>
      <c r="AN436" s="6">
        <f>(G436/100)*AN$41</f>
      </c>
      <c r="AO436" s="6">
        <f>(H436/1000000)*AO$41</f>
      </c>
      <c r="AP436" s="6">
        <f>(I436/100)*AP$41</f>
      </c>
      <c r="AQ436" s="6">
        <f>(J436/1000000)*AQ$41</f>
      </c>
      <c r="AR436" s="6">
        <f>(K436/100)*AR$41</f>
      </c>
      <c r="AS436" s="6">
        <f>(L436/100)*AS$41</f>
      </c>
      <c r="AT436" s="6">
        <f>(M436/100)*AT$41</f>
      </c>
      <c r="AU436" s="6">
        <f>(N436/100)*AU$41</f>
      </c>
      <c r="AV436" s="6">
        <f>(O436/1000000)*AV$41</f>
      </c>
      <c r="AW436" s="6">
        <f>(P436/100)*AW$41</f>
      </c>
      <c r="AX436" s="6">
        <f>(Q436/100)*AX$41</f>
      </c>
      <c r="AY436" s="6">
        <f>(R436/100)*AY$41</f>
      </c>
      <c r="AZ436" s="6">
        <f>(S436/100)*AZ$41</f>
      </c>
      <c r="BA436" s="6">
        <f>(T436/100)*BA$41</f>
      </c>
      <c r="BB436" s="6">
        <f>(U436/100)*BB$41</f>
      </c>
      <c r="BC436" s="6"/>
      <c r="BD436" s="3"/>
      <c r="BE436" s="3"/>
      <c r="BF436" s="7">
        <f>AF436*E436</f>
      </c>
      <c r="BG436" s="6"/>
      <c r="BH436" s="3"/>
      <c r="BI436" s="6"/>
    </row>
    <row x14ac:dyDescent="0.25" r="437" customHeight="1" ht="12.75">
      <c r="A437" s="5" t="s">
        <v>457</v>
      </c>
      <c r="B437" s="38" t="s">
        <v>859</v>
      </c>
      <c r="C437" s="43" t="s">
        <v>866</v>
      </c>
      <c r="D437" s="34" t="s">
        <v>988</v>
      </c>
      <c r="E437" s="6">
        <v>5.62</v>
      </c>
      <c r="F437" s="6">
        <v>1.82</v>
      </c>
      <c r="G437" s="6">
        <v>6.31</v>
      </c>
      <c r="H437" s="7"/>
      <c r="I437" s="6"/>
      <c r="J437" s="6"/>
      <c r="K437" s="6">
        <f>44.21*(137.327/(137.327+96.06))</f>
      </c>
      <c r="L437" s="6"/>
      <c r="M437" s="6"/>
      <c r="N437" s="23"/>
      <c r="O437" s="5"/>
      <c r="P437" s="6"/>
      <c r="Q437" s="6"/>
      <c r="R437" s="6"/>
      <c r="S437" s="6"/>
      <c r="T437" s="6"/>
      <c r="U437" s="6"/>
      <c r="V437" s="5"/>
      <c r="W437" s="6"/>
      <c r="X437" s="6">
        <f>E437*F437/100</f>
      </c>
      <c r="Y437" s="6">
        <f>E437*G437/100</f>
      </c>
      <c r="Z437" s="7">
        <f>E437*H437</f>
      </c>
      <c r="AA437" s="7">
        <f>E437*J437</f>
      </c>
      <c r="AB437" s="6">
        <f>E437*I437/100</f>
      </c>
      <c r="AC437" s="15">
        <f>X437+Y437+AB437</f>
      </c>
      <c r="AD437" s="6">
        <f>F437+G437+I437</f>
      </c>
      <c r="AE437" s="3"/>
      <c r="AF437" s="6">
        <f>SUM(AM437:BC437)</f>
      </c>
      <c r="AG437" s="5">
        <f>IF(SUM(AM437:AO437)&gt;0.7*AF437,1,0)</f>
      </c>
      <c r="AH437" s="5">
        <f>IF(AN437&gt;0.4*AF437,1,0)</f>
      </c>
      <c r="AI437" s="5">
        <f>IF(SUM(AP437:AQ437)&gt;0.3*AF437,1,0)</f>
      </c>
      <c r="AJ437" s="5">
        <f>IF(AQ437&gt;0.2*AF437,1,0)</f>
      </c>
      <c r="AK437" s="5">
        <f>IF(SUM(AR437:BC437)&gt;0.3*AF437,1,0)</f>
      </c>
      <c r="AL437" s="3"/>
      <c r="AM437" s="6">
        <f>(F437/100)*AM$41</f>
      </c>
      <c r="AN437" s="6">
        <f>(G437/100)*AN$41</f>
      </c>
      <c r="AO437" s="6">
        <f>(H437/1000000)*AO$41</f>
      </c>
      <c r="AP437" s="6">
        <f>(I437/100)*AP$41</f>
      </c>
      <c r="AQ437" s="6">
        <f>(J437/1000000)*AQ$41</f>
      </c>
      <c r="AR437" s="6">
        <f>(K437/100)*AR$41</f>
      </c>
      <c r="AS437" s="6">
        <f>(L437/100)*AS$41</f>
      </c>
      <c r="AT437" s="6">
        <f>(M437/100)*AT$41</f>
      </c>
      <c r="AU437" s="6">
        <f>(N437/100)*AU$41</f>
      </c>
      <c r="AV437" s="6">
        <f>(O437/1000000)*AV$41</f>
      </c>
      <c r="AW437" s="6">
        <f>(P437/100)*AW$41</f>
      </c>
      <c r="AX437" s="6">
        <f>(Q437/100)*AX$41</f>
      </c>
      <c r="AY437" s="6">
        <f>(R437/100)*AY$41</f>
      </c>
      <c r="AZ437" s="6">
        <f>(S437/100)*AZ$41</f>
      </c>
      <c r="BA437" s="6">
        <f>(T437/100)*BA$41</f>
      </c>
      <c r="BB437" s="6">
        <f>(U437/100)*BB$41</f>
      </c>
      <c r="BC437" s="6"/>
      <c r="BD437" s="3"/>
      <c r="BE437" s="3"/>
      <c r="BF437" s="7">
        <f>AF437*E437</f>
      </c>
      <c r="BG437" s="6"/>
      <c r="BH437" s="3"/>
      <c r="BI437" s="6"/>
    </row>
    <row x14ac:dyDescent="0.25" r="438" customHeight="1" ht="12.75">
      <c r="A438" s="5" t="s">
        <v>483</v>
      </c>
      <c r="B438" s="38" t="s">
        <v>859</v>
      </c>
      <c r="C438" s="43" t="s">
        <v>866</v>
      </c>
      <c r="D438" s="34" t="s">
        <v>989</v>
      </c>
      <c r="E438" s="6">
        <v>7.83</v>
      </c>
      <c r="F438" s="6">
        <v>1.1</v>
      </c>
      <c r="G438" s="6">
        <v>6.8</v>
      </c>
      <c r="H438" s="5">
        <v>27</v>
      </c>
      <c r="I438" s="6"/>
      <c r="J438" s="6"/>
      <c r="K438" s="7"/>
      <c r="L438" s="6"/>
      <c r="M438" s="6"/>
      <c r="N438" s="23"/>
      <c r="O438" s="5"/>
      <c r="P438" s="6"/>
      <c r="Q438" s="6"/>
      <c r="R438" s="6"/>
      <c r="S438" s="6"/>
      <c r="T438" s="6"/>
      <c r="U438" s="6"/>
      <c r="V438" s="5"/>
      <c r="W438" s="6"/>
      <c r="X438" s="6">
        <f>E438*F438/100</f>
      </c>
      <c r="Y438" s="6">
        <f>E438*G438/100</f>
      </c>
      <c r="Z438" s="7">
        <f>E438*H438</f>
      </c>
      <c r="AA438" s="7">
        <f>E438*J438</f>
      </c>
      <c r="AB438" s="6">
        <f>E438*I438/100</f>
      </c>
      <c r="AC438" s="15">
        <f>X438+Y438+AB438</f>
      </c>
      <c r="AD438" s="6">
        <f>F438+G438+I438</f>
      </c>
      <c r="AE438" s="3"/>
      <c r="AF438" s="6">
        <f>SUM(AM438:BC438)</f>
      </c>
      <c r="AG438" s="5">
        <f>IF(SUM(AM438:AO438)&gt;0.7*AF438,1,0)</f>
      </c>
      <c r="AH438" s="5">
        <f>IF(AN438&gt;0.4*AF438,1,0)</f>
      </c>
      <c r="AI438" s="5">
        <f>IF(SUM(AP438:AQ438)&gt;0.3*AF438,1,0)</f>
      </c>
      <c r="AJ438" s="5">
        <f>IF(AQ438&gt;0.2*AF438,1,0)</f>
      </c>
      <c r="AK438" s="5">
        <f>IF(SUM(AR438:BC438)&gt;0.3*AF438,1,0)</f>
      </c>
      <c r="AL438" s="3"/>
      <c r="AM438" s="6">
        <f>(F438/100)*AM$41</f>
      </c>
      <c r="AN438" s="6">
        <f>(G438/100)*AN$41</f>
      </c>
      <c r="AO438" s="6">
        <f>(H438/1000000)*AO$41</f>
      </c>
      <c r="AP438" s="6">
        <f>(I438/100)*AP$41</f>
      </c>
      <c r="AQ438" s="6">
        <f>(J438/1000000)*AQ$41</f>
      </c>
      <c r="AR438" s="6">
        <f>(K438/100)*AR$41</f>
      </c>
      <c r="AS438" s="6">
        <f>(L438/100)*AS$41</f>
      </c>
      <c r="AT438" s="6">
        <f>(M438/100)*AT$41</f>
      </c>
      <c r="AU438" s="6">
        <f>(N438/100)*AU$41</f>
      </c>
      <c r="AV438" s="6">
        <f>(O438/1000000)*AV$41</f>
      </c>
      <c r="AW438" s="6">
        <f>(P438/100)*AW$41</f>
      </c>
      <c r="AX438" s="6">
        <f>(Q438/100)*AX$41</f>
      </c>
      <c r="AY438" s="6">
        <f>(R438/100)*AY$41</f>
      </c>
      <c r="AZ438" s="6">
        <f>(S438/100)*AZ$41</f>
      </c>
      <c r="BA438" s="6">
        <f>(T438/100)*BA$41</f>
      </c>
      <c r="BB438" s="6">
        <f>(U438/100)*BB$41</f>
      </c>
      <c r="BC438" s="6"/>
      <c r="BD438" s="3"/>
      <c r="BE438" s="3"/>
      <c r="BF438" s="7">
        <f>AF438*E438</f>
      </c>
      <c r="BG438" s="6"/>
      <c r="BH438" s="3"/>
      <c r="BI438" s="6"/>
    </row>
    <row x14ac:dyDescent="0.25" r="439" customHeight="1" ht="12.75">
      <c r="A439" s="5" t="s">
        <v>495</v>
      </c>
      <c r="B439" s="38" t="s">
        <v>859</v>
      </c>
      <c r="C439" s="43" t="s">
        <v>866</v>
      </c>
      <c r="D439" s="34" t="s">
        <v>988</v>
      </c>
      <c r="E439" s="6">
        <v>7.1</v>
      </c>
      <c r="F439" s="6">
        <v>3.4</v>
      </c>
      <c r="G439" s="6">
        <v>4.3</v>
      </c>
      <c r="H439" s="5">
        <v>48</v>
      </c>
      <c r="I439" s="6"/>
      <c r="J439" s="6">
        <v>0.75</v>
      </c>
      <c r="K439" s="7"/>
      <c r="L439" s="6"/>
      <c r="M439" s="6"/>
      <c r="N439" s="23"/>
      <c r="O439" s="5"/>
      <c r="P439" s="6"/>
      <c r="Q439" s="6"/>
      <c r="R439" s="6"/>
      <c r="S439" s="6"/>
      <c r="T439" s="6"/>
      <c r="U439" s="6"/>
      <c r="V439" s="5"/>
      <c r="W439" s="6"/>
      <c r="X439" s="6">
        <f>E439*F439/100</f>
      </c>
      <c r="Y439" s="6">
        <f>E439*G439/100</f>
      </c>
      <c r="Z439" s="7">
        <f>E439*H439</f>
      </c>
      <c r="AA439" s="7">
        <f>E439*J439</f>
      </c>
      <c r="AB439" s="6">
        <f>E439*I439/100</f>
      </c>
      <c r="AC439" s="15">
        <f>X439+Y439+AB439</f>
      </c>
      <c r="AD439" s="6">
        <f>F439+G439+I439</f>
      </c>
      <c r="AE439" s="3"/>
      <c r="AF439" s="6">
        <f>SUM(AM439:BC439)</f>
      </c>
      <c r="AG439" s="5">
        <f>IF(SUM(AM439:AO439)&gt;0.7*AF439,1,0)</f>
      </c>
      <c r="AH439" s="5">
        <f>IF(AN439&gt;0.4*AF439,1,0)</f>
      </c>
      <c r="AI439" s="5">
        <f>IF(SUM(AP439:AQ439)&gt;0.3*AF439,1,0)</f>
      </c>
      <c r="AJ439" s="5">
        <f>IF(AQ439&gt;0.2*AF439,1,0)</f>
      </c>
      <c r="AK439" s="5">
        <f>IF(SUM(AR439:BC439)&gt;0.3*AF439,1,0)</f>
      </c>
      <c r="AL439" s="3"/>
      <c r="AM439" s="6">
        <f>(F439/100)*AM$41</f>
      </c>
      <c r="AN439" s="6">
        <f>(G439/100)*AN$41</f>
      </c>
      <c r="AO439" s="6">
        <f>(H439/1000000)*AO$41</f>
      </c>
      <c r="AP439" s="6">
        <f>(I439/100)*AP$41</f>
      </c>
      <c r="AQ439" s="6">
        <f>(J439/1000000)*AQ$41</f>
      </c>
      <c r="AR439" s="6">
        <f>(K439/100)*AR$41</f>
      </c>
      <c r="AS439" s="6">
        <f>(L439/100)*AS$41</f>
      </c>
      <c r="AT439" s="6">
        <f>(M439/100)*AT$41</f>
      </c>
      <c r="AU439" s="6">
        <f>(N439/100)*AU$41</f>
      </c>
      <c r="AV439" s="6">
        <f>(O439/1000000)*AV$41</f>
      </c>
      <c r="AW439" s="6">
        <f>(P439/100)*AW$41</f>
      </c>
      <c r="AX439" s="6">
        <f>(Q439/100)*AX$41</f>
      </c>
      <c r="AY439" s="6">
        <f>(R439/100)*AY$41</f>
      </c>
      <c r="AZ439" s="6">
        <f>(S439/100)*AZ$41</f>
      </c>
      <c r="BA439" s="6">
        <f>(T439/100)*BA$41</f>
      </c>
      <c r="BB439" s="6">
        <f>(U439/100)*BB$41</f>
      </c>
      <c r="BC439" s="6"/>
      <c r="BD439" s="3"/>
      <c r="BE439" s="3"/>
      <c r="BF439" s="7">
        <f>AF439*E439</f>
      </c>
      <c r="BG439" s="6"/>
      <c r="BH439" s="3"/>
      <c r="BI439" s="6"/>
    </row>
    <row x14ac:dyDescent="0.25" r="440" customHeight="1" ht="12.75">
      <c r="A440" s="5" t="s">
        <v>416</v>
      </c>
      <c r="B440" s="38" t="s">
        <v>859</v>
      </c>
      <c r="C440" s="43" t="s">
        <v>866</v>
      </c>
      <c r="D440" s="34" t="s">
        <v>989</v>
      </c>
      <c r="E440" s="5">
        <v>12</v>
      </c>
      <c r="F440" s="6">
        <v>2.07</v>
      </c>
      <c r="G440" s="6">
        <v>6.5</v>
      </c>
      <c r="H440" s="7"/>
      <c r="I440" s="6"/>
      <c r="J440" s="6"/>
      <c r="K440" s="7"/>
      <c r="L440" s="6"/>
      <c r="M440" s="6"/>
      <c r="N440" s="23"/>
      <c r="O440" s="5"/>
      <c r="P440" s="6"/>
      <c r="Q440" s="6"/>
      <c r="R440" s="6"/>
      <c r="S440" s="6"/>
      <c r="T440" s="6"/>
      <c r="U440" s="6"/>
      <c r="V440" s="5"/>
      <c r="W440" s="6"/>
      <c r="X440" s="6">
        <f>E440*F440/100</f>
      </c>
      <c r="Y440" s="6">
        <f>E440*G440/100</f>
      </c>
      <c r="Z440" s="7">
        <f>E440*H440</f>
      </c>
      <c r="AA440" s="7">
        <f>E440*J440</f>
      </c>
      <c r="AB440" s="6">
        <f>E440*I440/100</f>
      </c>
      <c r="AC440" s="15">
        <f>X440+Y440+AB440</f>
      </c>
      <c r="AD440" s="6">
        <f>F440+G440+I440</f>
      </c>
      <c r="AE440" s="3"/>
      <c r="AF440" s="6">
        <f>SUM(AM440:BC440)</f>
      </c>
      <c r="AG440" s="5">
        <f>IF(SUM(AM440:AO440)&gt;0.7*AF440,1,0)</f>
      </c>
      <c r="AH440" s="5">
        <f>IF(AN440&gt;0.4*AF440,1,0)</f>
      </c>
      <c r="AI440" s="5">
        <f>IF(SUM(AP440:AQ440)&gt;0.3*AF440,1,0)</f>
      </c>
      <c r="AJ440" s="5">
        <f>IF(AQ440&gt;0.2*AF440,1,0)</f>
      </c>
      <c r="AK440" s="5">
        <f>IF(SUM(AR440:BC440)&gt;0.3*AF440,1,0)</f>
      </c>
      <c r="AL440" s="3"/>
      <c r="AM440" s="6">
        <f>(F440/100)*AM$41</f>
      </c>
      <c r="AN440" s="6">
        <f>(G440/100)*AN$41</f>
      </c>
      <c r="AO440" s="6">
        <f>(H440/1000000)*AO$41</f>
      </c>
      <c r="AP440" s="6">
        <f>(I440/100)*AP$41</f>
      </c>
      <c r="AQ440" s="6">
        <f>(J440/1000000)*AQ$41</f>
      </c>
      <c r="AR440" s="6">
        <f>(K440/100)*AR$41</f>
      </c>
      <c r="AS440" s="6">
        <f>(L440/100)*AS$41</f>
      </c>
      <c r="AT440" s="6">
        <f>(M440/100)*AT$41</f>
      </c>
      <c r="AU440" s="6">
        <f>(N440/100)*AU$41</f>
      </c>
      <c r="AV440" s="6">
        <f>(O440/1000000)*AV$41</f>
      </c>
      <c r="AW440" s="6">
        <f>(P440/100)*AW$41</f>
      </c>
      <c r="AX440" s="6">
        <f>(Q440/100)*AX$41</f>
      </c>
      <c r="AY440" s="6">
        <f>(R440/100)*AY$41</f>
      </c>
      <c r="AZ440" s="6">
        <f>(S440/100)*AZ$41</f>
      </c>
      <c r="BA440" s="6">
        <f>(T440/100)*BA$41</f>
      </c>
      <c r="BB440" s="6">
        <f>(U440/100)*BB$41</f>
      </c>
      <c r="BC440" s="6"/>
      <c r="BD440" s="3"/>
      <c r="BE440" s="3"/>
      <c r="BF440" s="7">
        <f>AF440*E440</f>
      </c>
      <c r="BG440" s="6"/>
      <c r="BH440" s="3"/>
      <c r="BI440" s="6"/>
    </row>
    <row x14ac:dyDescent="0.25" r="441" customHeight="1" ht="12.75">
      <c r="A441" s="5" t="s">
        <v>674</v>
      </c>
      <c r="B441" s="38" t="s">
        <v>859</v>
      </c>
      <c r="C441" s="43" t="s">
        <v>866</v>
      </c>
      <c r="D441" s="34" t="s">
        <v>988</v>
      </c>
      <c r="E441" s="6">
        <v>6.45</v>
      </c>
      <c r="F441" s="6">
        <v>0.77</v>
      </c>
      <c r="G441" s="6">
        <v>4.1</v>
      </c>
      <c r="H441" s="6">
        <v>4.8</v>
      </c>
      <c r="I441" s="6"/>
      <c r="J441" s="6"/>
      <c r="K441" s="7"/>
      <c r="L441" s="6"/>
      <c r="M441" s="6"/>
      <c r="N441" s="23"/>
      <c r="O441" s="5"/>
      <c r="P441" s="6"/>
      <c r="Q441" s="6"/>
      <c r="R441" s="6"/>
      <c r="S441" s="6"/>
      <c r="T441" s="6"/>
      <c r="U441" s="6"/>
      <c r="V441" s="5"/>
      <c r="W441" s="6"/>
      <c r="X441" s="6">
        <f>E441*F441/100</f>
      </c>
      <c r="Y441" s="6">
        <f>E441*G441/100</f>
      </c>
      <c r="Z441" s="7">
        <f>E441*H441</f>
      </c>
      <c r="AA441" s="7">
        <f>E441*J441</f>
      </c>
      <c r="AB441" s="6">
        <f>E441*I441/100</f>
      </c>
      <c r="AC441" s="15">
        <f>X441+Y441+AB441</f>
      </c>
      <c r="AD441" s="6">
        <f>F441+G441+I441</f>
      </c>
      <c r="AE441" s="3"/>
      <c r="AF441" s="6">
        <f>SUM(AM441:BC441)</f>
      </c>
      <c r="AG441" s="5">
        <f>IF(SUM(AM441:AO441)&gt;0.7*AF441,1,0)</f>
      </c>
      <c r="AH441" s="5">
        <f>IF(AN441&gt;0.4*AF441,1,0)</f>
      </c>
      <c r="AI441" s="5">
        <f>IF(SUM(AP441:AQ441)&gt;0.3*AF441,1,0)</f>
      </c>
      <c r="AJ441" s="5">
        <f>IF(AQ441&gt;0.2*AF441,1,0)</f>
      </c>
      <c r="AK441" s="5">
        <f>IF(SUM(AR441:BC441)&gt;0.3*AF441,1,0)</f>
      </c>
      <c r="AL441" s="3"/>
      <c r="AM441" s="6">
        <f>(F441/100)*AM$41</f>
      </c>
      <c r="AN441" s="6">
        <f>(G441/100)*AN$41</f>
      </c>
      <c r="AO441" s="6">
        <f>(H441/1000000)*AO$41</f>
      </c>
      <c r="AP441" s="6">
        <f>(I441/100)*AP$41</f>
      </c>
      <c r="AQ441" s="6">
        <f>(J441/1000000)*AQ$41</f>
      </c>
      <c r="AR441" s="6">
        <f>(K441/100)*AR$41</f>
      </c>
      <c r="AS441" s="6">
        <f>(L441/100)*AS$41</f>
      </c>
      <c r="AT441" s="6">
        <f>(M441/100)*AT$41</f>
      </c>
      <c r="AU441" s="6">
        <f>(N441/100)*AU$41</f>
      </c>
      <c r="AV441" s="6">
        <f>(O441/1000000)*AV$41</f>
      </c>
      <c r="AW441" s="6">
        <f>(P441/100)*AW$41</f>
      </c>
      <c r="AX441" s="6">
        <f>(Q441/100)*AX$41</f>
      </c>
      <c r="AY441" s="6">
        <f>(R441/100)*AY$41</f>
      </c>
      <c r="AZ441" s="6">
        <f>(S441/100)*AZ$41</f>
      </c>
      <c r="BA441" s="6">
        <f>(T441/100)*BA$41</f>
      </c>
      <c r="BB441" s="6">
        <f>(U441/100)*BB$41</f>
      </c>
      <c r="BC441" s="6"/>
      <c r="BD441" s="3"/>
      <c r="BE441" s="3"/>
      <c r="BF441" s="7">
        <f>AF441*E441</f>
      </c>
      <c r="BG441" s="6"/>
      <c r="BH441" s="3"/>
      <c r="BI441" s="6"/>
    </row>
    <row x14ac:dyDescent="0.25" r="442" customHeight="1" ht="12.75">
      <c r="A442" s="5" t="s">
        <v>635</v>
      </c>
      <c r="B442" s="38" t="s">
        <v>859</v>
      </c>
      <c r="C442" s="43" t="s">
        <v>866</v>
      </c>
      <c r="D442" s="34" t="s">
        <v>988</v>
      </c>
      <c r="E442" s="6">
        <v>7.88</v>
      </c>
      <c r="F442" s="6">
        <v>1.63</v>
      </c>
      <c r="G442" s="6">
        <v>3.49</v>
      </c>
      <c r="H442" s="7">
        <v>3</v>
      </c>
      <c r="I442" s="6"/>
      <c r="J442" s="6"/>
      <c r="K442" s="7"/>
      <c r="L442" s="6"/>
      <c r="M442" s="6"/>
      <c r="N442" s="23"/>
      <c r="O442" s="5"/>
      <c r="P442" s="6"/>
      <c r="Q442" s="6"/>
      <c r="R442" s="6"/>
      <c r="S442" s="6"/>
      <c r="T442" s="6"/>
      <c r="U442" s="6"/>
      <c r="V442" s="5"/>
      <c r="W442" s="6"/>
      <c r="X442" s="6">
        <f>E442*F442/100</f>
      </c>
      <c r="Y442" s="6">
        <f>E442*G442/100</f>
      </c>
      <c r="Z442" s="7">
        <f>E442*H442</f>
      </c>
      <c r="AA442" s="7">
        <f>E442*J442</f>
      </c>
      <c r="AB442" s="6">
        <f>E442*I442/100</f>
      </c>
      <c r="AC442" s="15">
        <f>X442+Y442+AB442</f>
      </c>
      <c r="AD442" s="6">
        <f>F442+G442+I442</f>
      </c>
      <c r="AE442" s="3"/>
      <c r="AF442" s="6">
        <f>SUM(AM442:BC442)</f>
      </c>
      <c r="AG442" s="5">
        <f>IF(SUM(AM442:AO442)&gt;0.7*AF442,1,0)</f>
      </c>
      <c r="AH442" s="5">
        <f>IF(AN442&gt;0.4*AF442,1,0)</f>
      </c>
      <c r="AI442" s="5">
        <f>IF(SUM(AP442:AQ442)&gt;0.3*AF442,1,0)</f>
      </c>
      <c r="AJ442" s="5">
        <f>IF(AQ442&gt;0.2*AF442,1,0)</f>
      </c>
      <c r="AK442" s="5">
        <f>IF(SUM(AR442:BC442)&gt;0.3*AF442,1,0)</f>
      </c>
      <c r="AL442" s="3"/>
      <c r="AM442" s="6">
        <f>(F442/100)*AM$41</f>
      </c>
      <c r="AN442" s="6">
        <f>(G442/100)*AN$41</f>
      </c>
      <c r="AO442" s="6">
        <f>(H442/1000000)*AO$41</f>
      </c>
      <c r="AP442" s="6">
        <f>(I442/100)*AP$41</f>
      </c>
      <c r="AQ442" s="6">
        <f>(J442/1000000)*AQ$41</f>
      </c>
      <c r="AR442" s="6">
        <f>(K442/100)*AR$41</f>
      </c>
      <c r="AS442" s="6">
        <f>(L442/100)*AS$41</f>
      </c>
      <c r="AT442" s="6">
        <f>(M442/100)*AT$41</f>
      </c>
      <c r="AU442" s="6">
        <f>(N442/100)*AU$41</f>
      </c>
      <c r="AV442" s="6">
        <f>(O442/1000000)*AV$41</f>
      </c>
      <c r="AW442" s="6">
        <f>(P442/100)*AW$41</f>
      </c>
      <c r="AX442" s="6">
        <f>(Q442/100)*AX$41</f>
      </c>
      <c r="AY442" s="6">
        <f>(R442/100)*AY$41</f>
      </c>
      <c r="AZ442" s="6">
        <f>(S442/100)*AZ$41</f>
      </c>
      <c r="BA442" s="6">
        <f>(T442/100)*BA$41</f>
      </c>
      <c r="BB442" s="6">
        <f>(U442/100)*BB$41</f>
      </c>
      <c r="BC442" s="6"/>
      <c r="BD442" s="3"/>
      <c r="BE442" s="3"/>
      <c r="BF442" s="7">
        <f>AF442*E442</f>
      </c>
      <c r="BG442" s="6"/>
      <c r="BH442" s="3"/>
      <c r="BI442" s="6"/>
    </row>
    <row x14ac:dyDescent="0.25" r="443" customHeight="1" ht="12.75">
      <c r="A443" s="5" t="s">
        <v>59</v>
      </c>
      <c r="B443" s="38" t="s">
        <v>859</v>
      </c>
      <c r="C443" s="43" t="s">
        <v>866</v>
      </c>
      <c r="D443" s="34" t="s">
        <v>988</v>
      </c>
      <c r="E443" s="6">
        <v>0.01</v>
      </c>
      <c r="F443" s="6">
        <v>5.36</v>
      </c>
      <c r="G443" s="6">
        <v>15.6</v>
      </c>
      <c r="H443" s="6">
        <v>66.5</v>
      </c>
      <c r="I443" s="6"/>
      <c r="J443" s="6"/>
      <c r="K443" s="7"/>
      <c r="L443" s="6"/>
      <c r="M443" s="6"/>
      <c r="N443" s="23"/>
      <c r="O443" s="5"/>
      <c r="P443" s="6"/>
      <c r="Q443" s="6"/>
      <c r="R443" s="6"/>
      <c r="S443" s="6"/>
      <c r="T443" s="6"/>
      <c r="U443" s="6"/>
      <c r="V443" s="5"/>
      <c r="W443" s="6"/>
      <c r="X443" s="6">
        <f>E443*F443/100</f>
      </c>
      <c r="Y443" s="6">
        <f>E443*G443/100</f>
      </c>
      <c r="Z443" s="7">
        <f>E443*H443</f>
      </c>
      <c r="AA443" s="7">
        <f>E443*J443</f>
      </c>
      <c r="AB443" s="6">
        <f>E443*I443/100</f>
      </c>
      <c r="AC443" s="15">
        <f>X443+Y443+AB443</f>
      </c>
      <c r="AD443" s="6">
        <f>F443+G443+I443</f>
      </c>
      <c r="AE443" s="3"/>
      <c r="AF443" s="6">
        <f>SUM(AM443:BC443)</f>
      </c>
      <c r="AG443" s="5">
        <f>IF(SUM(AM443:AO443)&gt;0.7*AF443,1,0)</f>
      </c>
      <c r="AH443" s="5">
        <f>IF(AN443&gt;0.4*AF443,1,0)</f>
      </c>
      <c r="AI443" s="5">
        <f>IF(SUM(AP443:AQ443)&gt;0.3*AF443,1,0)</f>
      </c>
      <c r="AJ443" s="5">
        <f>IF(AQ443&gt;0.2*AF443,1,0)</f>
      </c>
      <c r="AK443" s="5">
        <f>IF(SUM(AR443:BC443)&gt;0.3*AF443,1,0)</f>
      </c>
      <c r="AL443" s="3"/>
      <c r="AM443" s="6">
        <f>(F443/100)*AM$41</f>
      </c>
      <c r="AN443" s="6">
        <f>(G443/100)*AN$41</f>
      </c>
      <c r="AO443" s="6">
        <f>(H443/1000000)*AO$41</f>
      </c>
      <c r="AP443" s="6">
        <f>(I443/100)*AP$41</f>
      </c>
      <c r="AQ443" s="6">
        <f>(J443/1000000)*AQ$41</f>
      </c>
      <c r="AR443" s="6">
        <f>(K443/100)*AR$41</f>
      </c>
      <c r="AS443" s="6">
        <f>(L443/100)*AS$41</f>
      </c>
      <c r="AT443" s="6">
        <f>(M443/100)*AT$41</f>
      </c>
      <c r="AU443" s="6">
        <f>(N443/100)*AU$41</f>
      </c>
      <c r="AV443" s="6">
        <f>(O443/1000000)*AV$41</f>
      </c>
      <c r="AW443" s="6">
        <f>(P443/100)*AW$41</f>
      </c>
      <c r="AX443" s="6">
        <f>(Q443/100)*AX$41</f>
      </c>
      <c r="AY443" s="6">
        <f>(R443/100)*AY$41</f>
      </c>
      <c r="AZ443" s="6">
        <f>(S443/100)*AZ$41</f>
      </c>
      <c r="BA443" s="6">
        <f>(T443/100)*BA$41</f>
      </c>
      <c r="BB443" s="6">
        <f>(U443/100)*BB$41</f>
      </c>
      <c r="BC443" s="6"/>
      <c r="BD443" s="3"/>
      <c r="BE443" s="3"/>
      <c r="BF443" s="7">
        <f>AF443*E443</f>
      </c>
      <c r="BG443" s="6"/>
      <c r="BH443" s="3"/>
      <c r="BI443" s="6"/>
    </row>
    <row x14ac:dyDescent="0.25" r="444" customHeight="1" ht="12.75">
      <c r="A444" s="5" t="s">
        <v>652</v>
      </c>
      <c r="B444" s="38" t="s">
        <v>859</v>
      </c>
      <c r="C444" s="43" t="s">
        <v>866</v>
      </c>
      <c r="D444" s="34" t="s">
        <v>988</v>
      </c>
      <c r="E444" s="6">
        <v>2.1</v>
      </c>
      <c r="F444" s="6">
        <v>1.76</v>
      </c>
      <c r="G444" s="6">
        <v>4.12</v>
      </c>
      <c r="H444" s="6">
        <v>24.8</v>
      </c>
      <c r="I444" s="6"/>
      <c r="J444" s="6"/>
      <c r="K444" s="7"/>
      <c r="L444" s="6"/>
      <c r="M444" s="6"/>
      <c r="N444" s="23"/>
      <c r="O444" s="5"/>
      <c r="P444" s="6"/>
      <c r="Q444" s="6"/>
      <c r="R444" s="6"/>
      <c r="S444" s="6"/>
      <c r="T444" s="6"/>
      <c r="U444" s="6"/>
      <c r="V444" s="5"/>
      <c r="W444" s="6"/>
      <c r="X444" s="6">
        <f>E444*F444/100</f>
      </c>
      <c r="Y444" s="6">
        <f>E444*G444/100</f>
      </c>
      <c r="Z444" s="7">
        <f>E444*H444</f>
      </c>
      <c r="AA444" s="7">
        <f>E444*J444</f>
      </c>
      <c r="AB444" s="6">
        <f>E444*I444/100</f>
      </c>
      <c r="AC444" s="15">
        <f>X444+Y444+AB444</f>
      </c>
      <c r="AD444" s="6">
        <f>F444+G444+I444</f>
      </c>
      <c r="AE444" s="3"/>
      <c r="AF444" s="6">
        <f>SUM(AM444:BC444)</f>
      </c>
      <c r="AG444" s="5">
        <f>IF(SUM(AM444:AO444)&gt;0.7*AF444,1,0)</f>
      </c>
      <c r="AH444" s="5">
        <f>IF(AN444&gt;0.4*AF444,1,0)</f>
      </c>
      <c r="AI444" s="5">
        <f>IF(SUM(AP444:AQ444)&gt;0.3*AF444,1,0)</f>
      </c>
      <c r="AJ444" s="5">
        <f>IF(AQ444&gt;0.2*AF444,1,0)</f>
      </c>
      <c r="AK444" s="5">
        <f>IF(SUM(AR444:BC444)&gt;0.3*AF444,1,0)</f>
      </c>
      <c r="AL444" s="3"/>
      <c r="AM444" s="6">
        <f>(F444/100)*AM$41</f>
      </c>
      <c r="AN444" s="6">
        <f>(G444/100)*AN$41</f>
      </c>
      <c r="AO444" s="6">
        <f>(H444/1000000)*AO$41</f>
      </c>
      <c r="AP444" s="6">
        <f>(I444/100)*AP$41</f>
      </c>
      <c r="AQ444" s="6">
        <f>(J444/1000000)*AQ$41</f>
      </c>
      <c r="AR444" s="6">
        <f>(K444/100)*AR$41</f>
      </c>
      <c r="AS444" s="6">
        <f>(L444/100)*AS$41</f>
      </c>
      <c r="AT444" s="6">
        <f>(M444/100)*AT$41</f>
      </c>
      <c r="AU444" s="6">
        <f>(N444/100)*AU$41</f>
      </c>
      <c r="AV444" s="6">
        <f>(O444/1000000)*AV$41</f>
      </c>
      <c r="AW444" s="6">
        <f>(P444/100)*AW$41</f>
      </c>
      <c r="AX444" s="6">
        <f>(Q444/100)*AX$41</f>
      </c>
      <c r="AY444" s="6">
        <f>(R444/100)*AY$41</f>
      </c>
      <c r="AZ444" s="6">
        <f>(S444/100)*AZ$41</f>
      </c>
      <c r="BA444" s="6">
        <f>(T444/100)*BA$41</f>
      </c>
      <c r="BB444" s="6">
        <f>(U444/100)*BB$41</f>
      </c>
      <c r="BC444" s="6"/>
      <c r="BD444" s="3"/>
      <c r="BE444" s="3"/>
      <c r="BF444" s="7">
        <f>AF444*E444</f>
      </c>
      <c r="BG444" s="6"/>
      <c r="BH444" s="3"/>
      <c r="BI444" s="6"/>
    </row>
    <row x14ac:dyDescent="0.25" r="445" customHeight="1" ht="12.75">
      <c r="A445" s="5" t="s">
        <v>106</v>
      </c>
      <c r="B445" s="38" t="s">
        <v>859</v>
      </c>
      <c r="C445" s="43" t="s">
        <v>866</v>
      </c>
      <c r="D445" s="34" t="s">
        <v>989</v>
      </c>
      <c r="E445" s="6">
        <v>0.76</v>
      </c>
      <c r="F445" s="5">
        <v>10</v>
      </c>
      <c r="G445" s="5">
        <v>7</v>
      </c>
      <c r="H445" s="6">
        <v>1.2</v>
      </c>
      <c r="I445" s="6"/>
      <c r="J445" s="6"/>
      <c r="K445" s="7"/>
      <c r="L445" s="6"/>
      <c r="M445" s="6"/>
      <c r="N445" s="23"/>
      <c r="O445" s="5"/>
      <c r="P445" s="6"/>
      <c r="Q445" s="6"/>
      <c r="R445" s="6"/>
      <c r="S445" s="6"/>
      <c r="T445" s="6"/>
      <c r="U445" s="6"/>
      <c r="V445" s="5"/>
      <c r="W445" s="6"/>
      <c r="X445" s="6">
        <f>E445*F445/100</f>
      </c>
      <c r="Y445" s="6">
        <f>E445*G445/100</f>
      </c>
      <c r="Z445" s="7">
        <f>E445*H445</f>
      </c>
      <c r="AA445" s="7">
        <f>E445*J445</f>
      </c>
      <c r="AB445" s="6">
        <f>E445*I445/100</f>
      </c>
      <c r="AC445" s="15">
        <f>X445+Y445+AB445</f>
      </c>
      <c r="AD445" s="6">
        <f>F445+G445+I445</f>
      </c>
      <c r="AE445" s="3"/>
      <c r="AF445" s="6">
        <f>SUM(AM445:BC445)</f>
      </c>
      <c r="AG445" s="5">
        <f>IF(SUM(AM445:AO445)&gt;0.7*AF445,1,0)</f>
      </c>
      <c r="AH445" s="5">
        <f>IF(AN445&gt;0.4*AF445,1,0)</f>
      </c>
      <c r="AI445" s="5">
        <f>IF(SUM(AP445:AQ445)&gt;0.3*AF445,1,0)</f>
      </c>
      <c r="AJ445" s="5">
        <f>IF(AQ445&gt;0.2*AF445,1,0)</f>
      </c>
      <c r="AK445" s="5">
        <f>IF(SUM(AR445:BC445)&gt;0.3*AF445,1,0)</f>
      </c>
      <c r="AL445" s="3"/>
      <c r="AM445" s="6">
        <f>(F445/100)*AM$41</f>
      </c>
      <c r="AN445" s="6">
        <f>(G445/100)*AN$41</f>
      </c>
      <c r="AO445" s="6">
        <f>(H445/1000000)*AO$41</f>
      </c>
      <c r="AP445" s="6">
        <f>(I445/100)*AP$41</f>
      </c>
      <c r="AQ445" s="6">
        <f>(J445/1000000)*AQ$41</f>
      </c>
      <c r="AR445" s="6">
        <f>(K445/100)*AR$41</f>
      </c>
      <c r="AS445" s="6">
        <f>(L445/100)*AS$41</f>
      </c>
      <c r="AT445" s="6">
        <f>(M445/100)*AT$41</f>
      </c>
      <c r="AU445" s="6">
        <f>(N445/100)*AU$41</f>
      </c>
      <c r="AV445" s="6">
        <f>(O445/1000000)*AV$41</f>
      </c>
      <c r="AW445" s="6">
        <f>(P445/100)*AW$41</f>
      </c>
      <c r="AX445" s="6">
        <f>(Q445/100)*AX$41</f>
      </c>
      <c r="AY445" s="6">
        <f>(R445/100)*AY$41</f>
      </c>
      <c r="AZ445" s="6">
        <f>(S445/100)*AZ$41</f>
      </c>
      <c r="BA445" s="6">
        <f>(T445/100)*BA$41</f>
      </c>
      <c r="BB445" s="6">
        <f>(U445/100)*BB$41</f>
      </c>
      <c r="BC445" s="6"/>
      <c r="BD445" s="3"/>
      <c r="BE445" s="3"/>
      <c r="BF445" s="7">
        <f>AF445*E445</f>
      </c>
      <c r="BG445" s="6"/>
      <c r="BH445" s="3"/>
      <c r="BI445" s="6"/>
    </row>
    <row x14ac:dyDescent="0.25" r="446" customHeight="1" ht="12.75">
      <c r="A446" s="5" t="s">
        <v>752</v>
      </c>
      <c r="B446" s="38" t="s">
        <v>859</v>
      </c>
      <c r="C446" s="43" t="s">
        <v>866</v>
      </c>
      <c r="D446" s="34" t="s">
        <v>989</v>
      </c>
      <c r="E446" s="5">
        <v>3</v>
      </c>
      <c r="F446" s="6"/>
      <c r="G446" s="6">
        <v>4.5</v>
      </c>
      <c r="H446" s="7"/>
      <c r="I446" s="6"/>
      <c r="J446" s="6"/>
      <c r="K446" s="7"/>
      <c r="L446" s="6"/>
      <c r="M446" s="6"/>
      <c r="N446" s="23"/>
      <c r="O446" s="5"/>
      <c r="P446" s="6"/>
      <c r="Q446" s="6"/>
      <c r="R446" s="6"/>
      <c r="S446" s="6"/>
      <c r="T446" s="6"/>
      <c r="U446" s="6"/>
      <c r="V446" s="5"/>
      <c r="W446" s="6"/>
      <c r="X446" s="6">
        <f>E446*F446/100</f>
      </c>
      <c r="Y446" s="6">
        <f>E446*G446/100</f>
      </c>
      <c r="Z446" s="7">
        <f>E446*H446</f>
      </c>
      <c r="AA446" s="7">
        <f>E446*J446</f>
      </c>
      <c r="AB446" s="6">
        <f>E446*I446/100</f>
      </c>
      <c r="AC446" s="15">
        <f>X446+Y446+AB446</f>
      </c>
      <c r="AD446" s="6">
        <f>F446+G446+I446</f>
      </c>
      <c r="AE446" s="3"/>
      <c r="AF446" s="6">
        <f>SUM(AM446:BC446)</f>
      </c>
      <c r="AG446" s="5">
        <f>IF(SUM(AM446:AO446)&gt;0.7*AF446,1,0)</f>
      </c>
      <c r="AH446" s="5">
        <f>IF(AN446&gt;0.4*AF446,1,0)</f>
      </c>
      <c r="AI446" s="5">
        <f>IF(SUM(AP446:AQ446)&gt;0.3*AF446,1,0)</f>
      </c>
      <c r="AJ446" s="5">
        <f>IF(AQ446&gt;0.2*AF446,1,0)</f>
      </c>
      <c r="AK446" s="5">
        <f>IF(SUM(AR446:BC446)&gt;0.3*AF446,1,0)</f>
      </c>
      <c r="AL446" s="3"/>
      <c r="AM446" s="6">
        <f>(F446/100)*AM$41</f>
      </c>
      <c r="AN446" s="6">
        <f>(G446/100)*AN$41</f>
      </c>
      <c r="AO446" s="6">
        <f>(H446/1000000)*AO$41</f>
      </c>
      <c r="AP446" s="6">
        <f>(I446/100)*AP$41</f>
      </c>
      <c r="AQ446" s="6">
        <f>(J446/1000000)*AQ$41</f>
      </c>
      <c r="AR446" s="6">
        <f>(K446/100)*AR$41</f>
      </c>
      <c r="AS446" s="6">
        <f>(L446/100)*AS$41</f>
      </c>
      <c r="AT446" s="6">
        <f>(M446/100)*AT$41</f>
      </c>
      <c r="AU446" s="6">
        <f>(N446/100)*AU$41</f>
      </c>
      <c r="AV446" s="6">
        <f>(O446/1000000)*AV$41</f>
      </c>
      <c r="AW446" s="6">
        <f>(P446/100)*AW$41</f>
      </c>
      <c r="AX446" s="6">
        <f>(Q446/100)*AX$41</f>
      </c>
      <c r="AY446" s="6">
        <f>(R446/100)*AY$41</f>
      </c>
      <c r="AZ446" s="6">
        <f>(S446/100)*AZ$41</f>
      </c>
      <c r="BA446" s="6">
        <f>(T446/100)*BA$41</f>
      </c>
      <c r="BB446" s="6">
        <f>(U446/100)*BB$41</f>
      </c>
      <c r="BC446" s="6"/>
      <c r="BD446" s="3"/>
      <c r="BE446" s="3"/>
      <c r="BF446" s="7">
        <f>AF446*E446</f>
      </c>
      <c r="BG446" s="6"/>
      <c r="BH446" s="3"/>
      <c r="BI446" s="6"/>
    </row>
    <row x14ac:dyDescent="0.25" r="447" customHeight="1" ht="12.75">
      <c r="A447" s="5" t="s">
        <v>705</v>
      </c>
      <c r="B447" s="38" t="s">
        <v>859</v>
      </c>
      <c r="C447" s="43" t="s">
        <v>866</v>
      </c>
      <c r="D447" s="34" t="s">
        <v>988</v>
      </c>
      <c r="E447" s="6">
        <v>5.8</v>
      </c>
      <c r="F447" s="6">
        <v>0.98</v>
      </c>
      <c r="G447" s="6">
        <v>3.42</v>
      </c>
      <c r="H447" s="6">
        <v>3.4</v>
      </c>
      <c r="I447" s="6"/>
      <c r="J447" s="6"/>
      <c r="K447" s="7"/>
      <c r="L447" s="6"/>
      <c r="M447" s="6"/>
      <c r="N447" s="23"/>
      <c r="O447" s="5"/>
      <c r="P447" s="6"/>
      <c r="Q447" s="6"/>
      <c r="R447" s="6"/>
      <c r="S447" s="6"/>
      <c r="T447" s="6"/>
      <c r="U447" s="6"/>
      <c r="V447" s="5"/>
      <c r="W447" s="6"/>
      <c r="X447" s="6">
        <f>E447*F447/100</f>
      </c>
      <c r="Y447" s="6">
        <f>E447*G447/100</f>
      </c>
      <c r="Z447" s="7">
        <f>E447*H447</f>
      </c>
      <c r="AA447" s="7">
        <f>E447*J447</f>
      </c>
      <c r="AB447" s="6">
        <f>E447*I447/100</f>
      </c>
      <c r="AC447" s="15">
        <f>X447+Y447+AB447</f>
      </c>
      <c r="AD447" s="6">
        <f>F447+G447+I447</f>
      </c>
      <c r="AE447" s="3"/>
      <c r="AF447" s="6">
        <f>SUM(AM447:BC447)</f>
      </c>
      <c r="AG447" s="5">
        <f>IF(SUM(AM447:AO447)&gt;0.7*AF447,1,0)</f>
      </c>
      <c r="AH447" s="5">
        <f>IF(AN447&gt;0.4*AF447,1,0)</f>
      </c>
      <c r="AI447" s="5">
        <f>IF(SUM(AP447:AQ447)&gt;0.3*AF447,1,0)</f>
      </c>
      <c r="AJ447" s="5">
        <f>IF(AQ447&gt;0.2*AF447,1,0)</f>
      </c>
      <c r="AK447" s="5">
        <f>IF(SUM(AR447:BC447)&gt;0.3*AF447,1,0)</f>
      </c>
      <c r="AL447" s="3"/>
      <c r="AM447" s="6">
        <f>(F447/100)*AM$41</f>
      </c>
      <c r="AN447" s="6">
        <f>(G447/100)*AN$41</f>
      </c>
      <c r="AO447" s="6">
        <f>(H447/1000000)*AO$41</f>
      </c>
      <c r="AP447" s="6">
        <f>(I447/100)*AP$41</f>
      </c>
      <c r="AQ447" s="6">
        <f>(J447/1000000)*AQ$41</f>
      </c>
      <c r="AR447" s="6">
        <f>(K447/100)*AR$41</f>
      </c>
      <c r="AS447" s="6">
        <f>(L447/100)*AS$41</f>
      </c>
      <c r="AT447" s="6">
        <f>(M447/100)*AT$41</f>
      </c>
      <c r="AU447" s="6">
        <f>(N447/100)*AU$41</f>
      </c>
      <c r="AV447" s="6">
        <f>(O447/1000000)*AV$41</f>
      </c>
      <c r="AW447" s="6">
        <f>(P447/100)*AW$41</f>
      </c>
      <c r="AX447" s="6">
        <f>(Q447/100)*AX$41</f>
      </c>
      <c r="AY447" s="6">
        <f>(R447/100)*AY$41</f>
      </c>
      <c r="AZ447" s="6">
        <f>(S447/100)*AZ$41</f>
      </c>
      <c r="BA447" s="6">
        <f>(T447/100)*BA$41</f>
      </c>
      <c r="BB447" s="6">
        <f>(U447/100)*BB$41</f>
      </c>
      <c r="BC447" s="6"/>
      <c r="BD447" s="3"/>
      <c r="BE447" s="3"/>
      <c r="BF447" s="7">
        <f>AF447*E447</f>
      </c>
      <c r="BG447" s="6"/>
      <c r="BH447" s="3"/>
      <c r="BI447" s="6"/>
    </row>
    <row x14ac:dyDescent="0.25" r="448" customHeight="1" ht="12.75">
      <c r="A448" s="5" t="s">
        <v>255</v>
      </c>
      <c r="B448" s="38" t="s">
        <v>859</v>
      </c>
      <c r="C448" s="43" t="s">
        <v>866</v>
      </c>
      <c r="D448" s="34" t="s">
        <v>989</v>
      </c>
      <c r="E448" s="6">
        <v>0.1</v>
      </c>
      <c r="F448" s="6">
        <v>7.5</v>
      </c>
      <c r="G448" s="7">
        <v>4</v>
      </c>
      <c r="H448" s="7"/>
      <c r="I448" s="6"/>
      <c r="J448" s="6"/>
      <c r="K448" s="7"/>
      <c r="L448" s="6"/>
      <c r="M448" s="6"/>
      <c r="N448" s="23"/>
      <c r="O448" s="5"/>
      <c r="P448" s="6"/>
      <c r="Q448" s="6"/>
      <c r="R448" s="6"/>
      <c r="S448" s="6"/>
      <c r="T448" s="6"/>
      <c r="U448" s="6"/>
      <c r="V448" s="5"/>
      <c r="W448" s="6"/>
      <c r="X448" s="6">
        <f>E448*F448/100</f>
      </c>
      <c r="Y448" s="6">
        <f>E448*G448/100</f>
      </c>
      <c r="Z448" s="7">
        <f>E448*H448</f>
      </c>
      <c r="AA448" s="7">
        <f>E448*J448</f>
      </c>
      <c r="AB448" s="6">
        <f>E448*I448/100</f>
      </c>
      <c r="AC448" s="15">
        <f>X448+Y448+AB448</f>
      </c>
      <c r="AD448" s="6">
        <f>F448+G448+I448</f>
      </c>
      <c r="AE448" s="3"/>
      <c r="AF448" s="6">
        <f>SUM(AM448:BC448)</f>
      </c>
      <c r="AG448" s="5">
        <f>IF(SUM(AM448:AO448)&gt;0.7*AF448,1,0)</f>
      </c>
      <c r="AH448" s="5">
        <f>IF(AN448&gt;0.4*AF448,1,0)</f>
      </c>
      <c r="AI448" s="5">
        <f>IF(SUM(AP448:AQ448)&gt;0.3*AF448,1,0)</f>
      </c>
      <c r="AJ448" s="5">
        <f>IF(AQ448&gt;0.2*AF448,1,0)</f>
      </c>
      <c r="AK448" s="5">
        <f>IF(SUM(AR448:BC448)&gt;0.3*AF448,1,0)</f>
      </c>
      <c r="AL448" s="3"/>
      <c r="AM448" s="6">
        <f>(F448/100)*AM$41</f>
      </c>
      <c r="AN448" s="6">
        <f>(G448/100)*AN$41</f>
      </c>
      <c r="AO448" s="6">
        <f>(H448/1000000)*AO$41</f>
      </c>
      <c r="AP448" s="6">
        <f>(I448/100)*AP$41</f>
      </c>
      <c r="AQ448" s="6">
        <f>(J448/1000000)*AQ$41</f>
      </c>
      <c r="AR448" s="6">
        <f>(K448/100)*AR$41</f>
      </c>
      <c r="AS448" s="6">
        <f>(L448/100)*AS$41</f>
      </c>
      <c r="AT448" s="6">
        <f>(M448/100)*AT$41</f>
      </c>
      <c r="AU448" s="6">
        <f>(N448/100)*AU$41</f>
      </c>
      <c r="AV448" s="6">
        <f>(O448/1000000)*AV$41</f>
      </c>
      <c r="AW448" s="6">
        <f>(P448/100)*AW$41</f>
      </c>
      <c r="AX448" s="6">
        <f>(Q448/100)*AX$41</f>
      </c>
      <c r="AY448" s="6">
        <f>(R448/100)*AY$41</f>
      </c>
      <c r="AZ448" s="6">
        <f>(S448/100)*AZ$41</f>
      </c>
      <c r="BA448" s="6">
        <f>(T448/100)*BA$41</f>
      </c>
      <c r="BB448" s="6">
        <f>(U448/100)*BB$41</f>
      </c>
      <c r="BC448" s="6"/>
      <c r="BD448" s="3"/>
      <c r="BE448" s="3"/>
      <c r="BF448" s="7">
        <f>AF448*E448</f>
      </c>
      <c r="BG448" s="6"/>
      <c r="BH448" s="3"/>
      <c r="BI448" s="6"/>
    </row>
    <row x14ac:dyDescent="0.25" r="449" customHeight="1" ht="12.75">
      <c r="A449" s="5" t="s">
        <v>637</v>
      </c>
      <c r="B449" s="38" t="s">
        <v>859</v>
      </c>
      <c r="C449" s="43" t="s">
        <v>866</v>
      </c>
      <c r="D449" s="34" t="s">
        <v>989</v>
      </c>
      <c r="E449" s="6">
        <v>3.3</v>
      </c>
      <c r="F449" s="6">
        <v>4.13</v>
      </c>
      <c r="G449" s="6">
        <v>1.88</v>
      </c>
      <c r="H449" s="7"/>
      <c r="I449" s="6"/>
      <c r="J449" s="6"/>
      <c r="K449" s="7"/>
      <c r="L449" s="6"/>
      <c r="M449" s="6"/>
      <c r="N449" s="23"/>
      <c r="O449" s="5"/>
      <c r="P449" s="6"/>
      <c r="Q449" s="6"/>
      <c r="R449" s="6"/>
      <c r="S449" s="6"/>
      <c r="T449" s="6"/>
      <c r="U449" s="6"/>
      <c r="V449" s="5"/>
      <c r="W449" s="6"/>
      <c r="X449" s="6">
        <f>E449*F449/100</f>
      </c>
      <c r="Y449" s="6">
        <f>E449*G449/100</f>
      </c>
      <c r="Z449" s="7">
        <f>E449*H449</f>
      </c>
      <c r="AA449" s="7">
        <f>E449*J449</f>
      </c>
      <c r="AB449" s="6">
        <f>E449*I449/100</f>
      </c>
      <c r="AC449" s="15">
        <f>X449+Y449+AB449</f>
      </c>
      <c r="AD449" s="6">
        <f>F449+G449+I449</f>
      </c>
      <c r="AE449" s="3"/>
      <c r="AF449" s="6">
        <f>SUM(AM449:BC449)</f>
      </c>
      <c r="AG449" s="5">
        <f>IF(SUM(AM449:AO449)&gt;0.7*AF449,1,0)</f>
      </c>
      <c r="AH449" s="5">
        <f>IF(AN449&gt;0.4*AF449,1,0)</f>
      </c>
      <c r="AI449" s="5">
        <f>IF(SUM(AP449:AQ449)&gt;0.3*AF449,1,0)</f>
      </c>
      <c r="AJ449" s="5">
        <f>IF(AQ449&gt;0.2*AF449,1,0)</f>
      </c>
      <c r="AK449" s="5">
        <f>IF(SUM(AR449:BC449)&gt;0.3*AF449,1,0)</f>
      </c>
      <c r="AL449" s="3"/>
      <c r="AM449" s="6">
        <f>(F449/100)*AM$41</f>
      </c>
      <c r="AN449" s="6">
        <f>(G449/100)*AN$41</f>
      </c>
      <c r="AO449" s="6">
        <f>(H449/1000000)*AO$41</f>
      </c>
      <c r="AP449" s="6">
        <f>(I449/100)*AP$41</f>
      </c>
      <c r="AQ449" s="6">
        <f>(J449/1000000)*AQ$41</f>
      </c>
      <c r="AR449" s="6">
        <f>(K449/100)*AR$41</f>
      </c>
      <c r="AS449" s="6">
        <f>(L449/100)*AS$41</f>
      </c>
      <c r="AT449" s="6">
        <f>(M449/100)*AT$41</f>
      </c>
      <c r="AU449" s="6">
        <f>(N449/100)*AU$41</f>
      </c>
      <c r="AV449" s="6">
        <f>(O449/1000000)*AV$41</f>
      </c>
      <c r="AW449" s="6">
        <f>(P449/100)*AW$41</f>
      </c>
      <c r="AX449" s="6">
        <f>(Q449/100)*AX$41</f>
      </c>
      <c r="AY449" s="6">
        <f>(R449/100)*AY$41</f>
      </c>
      <c r="AZ449" s="6">
        <f>(S449/100)*AZ$41</f>
      </c>
      <c r="BA449" s="6">
        <f>(T449/100)*BA$41</f>
      </c>
      <c r="BB449" s="6">
        <f>(U449/100)*BB$41</f>
      </c>
      <c r="BC449" s="6"/>
      <c r="BD449" s="3"/>
      <c r="BE449" s="3"/>
      <c r="BF449" s="7">
        <f>AF449*E449</f>
      </c>
      <c r="BG449" s="6"/>
      <c r="BH449" s="3"/>
      <c r="BI449" s="6"/>
    </row>
    <row x14ac:dyDescent="0.25" r="450" customHeight="1" ht="12.75">
      <c r="A450" s="5" t="s">
        <v>391</v>
      </c>
      <c r="B450" s="38" t="s">
        <v>859</v>
      </c>
      <c r="C450" s="43" t="s">
        <v>866</v>
      </c>
      <c r="D450" s="34" t="s">
        <v>989</v>
      </c>
      <c r="E450" s="7">
        <v>7</v>
      </c>
      <c r="F450" s="6">
        <v>1.4</v>
      </c>
      <c r="G450" s="6">
        <v>7.6</v>
      </c>
      <c r="H450" s="7"/>
      <c r="I450" s="6"/>
      <c r="J450" s="6"/>
      <c r="K450" s="7"/>
      <c r="L450" s="6"/>
      <c r="M450" s="6"/>
      <c r="N450" s="23"/>
      <c r="O450" s="5"/>
      <c r="P450" s="6"/>
      <c r="Q450" s="6"/>
      <c r="R450" s="6"/>
      <c r="S450" s="6"/>
      <c r="T450" s="6"/>
      <c r="U450" s="6"/>
      <c r="V450" s="5"/>
      <c r="W450" s="6"/>
      <c r="X450" s="6">
        <f>E450*F450/100</f>
      </c>
      <c r="Y450" s="6">
        <f>E450*G450/100</f>
      </c>
      <c r="Z450" s="7">
        <f>E450*H450</f>
      </c>
      <c r="AA450" s="7">
        <f>E450*J450</f>
      </c>
      <c r="AB450" s="6">
        <f>E450*I450/100</f>
      </c>
      <c r="AC450" s="15">
        <f>X450+Y450+AB450</f>
      </c>
      <c r="AD450" s="6">
        <f>F450+G450+I450</f>
      </c>
      <c r="AE450" s="3"/>
      <c r="AF450" s="6">
        <f>SUM(AM450:BC450)</f>
      </c>
      <c r="AG450" s="5">
        <f>IF(SUM(AM450:AO450)&gt;0.7*AF450,1,0)</f>
      </c>
      <c r="AH450" s="5">
        <f>IF(AN450&gt;0.4*AF450,1,0)</f>
      </c>
      <c r="AI450" s="5">
        <f>IF(SUM(AP450:AQ450)&gt;0.3*AF450,1,0)</f>
      </c>
      <c r="AJ450" s="5">
        <f>IF(AQ450&gt;0.2*AF450,1,0)</f>
      </c>
      <c r="AK450" s="5">
        <f>IF(SUM(AR450:BC450)&gt;0.3*AF450,1,0)</f>
      </c>
      <c r="AL450" s="3"/>
      <c r="AM450" s="6">
        <f>(F450/100)*AM$41</f>
      </c>
      <c r="AN450" s="6">
        <f>(G450/100)*AN$41</f>
      </c>
      <c r="AO450" s="6">
        <f>(H450/1000000)*AO$41</f>
      </c>
      <c r="AP450" s="6">
        <f>(I450/100)*AP$41</f>
      </c>
      <c r="AQ450" s="6">
        <f>(J450/1000000)*AQ$41</f>
      </c>
      <c r="AR450" s="6">
        <f>(K450/100)*AR$41</f>
      </c>
      <c r="AS450" s="6">
        <f>(L450/100)*AS$41</f>
      </c>
      <c r="AT450" s="6">
        <f>(M450/100)*AT$41</f>
      </c>
      <c r="AU450" s="6">
        <f>(N450/100)*AU$41</f>
      </c>
      <c r="AV450" s="6">
        <f>(O450/1000000)*AV$41</f>
      </c>
      <c r="AW450" s="6">
        <f>(P450/100)*AW$41</f>
      </c>
      <c r="AX450" s="6">
        <f>(Q450/100)*AX$41</f>
      </c>
      <c r="AY450" s="6">
        <f>(R450/100)*AY$41</f>
      </c>
      <c r="AZ450" s="6">
        <f>(S450/100)*AZ$41</f>
      </c>
      <c r="BA450" s="6">
        <f>(T450/100)*BA$41</f>
      </c>
      <c r="BB450" s="6">
        <f>(U450/100)*BB$41</f>
      </c>
      <c r="BC450" s="6"/>
      <c r="BD450" s="3"/>
      <c r="BE450" s="3"/>
      <c r="BF450" s="7">
        <f>AF450*E450</f>
      </c>
      <c r="BG450" s="6"/>
      <c r="BH450" s="3"/>
      <c r="BI450" s="6"/>
    </row>
    <row x14ac:dyDescent="0.25" r="451" customHeight="1" ht="12.75">
      <c r="A451" s="5" t="s">
        <v>239</v>
      </c>
      <c r="B451" s="38" t="s">
        <v>859</v>
      </c>
      <c r="C451" s="43" t="s">
        <v>866</v>
      </c>
      <c r="D451" s="34" t="s">
        <v>989</v>
      </c>
      <c r="E451" s="5">
        <v>38</v>
      </c>
      <c r="F451" s="6">
        <v>2.33</v>
      </c>
      <c r="G451" s="6">
        <v>3.52</v>
      </c>
      <c r="H451" s="7"/>
      <c r="I451" s="6"/>
      <c r="J451" s="6"/>
      <c r="K451" s="7"/>
      <c r="L451" s="6"/>
      <c r="M451" s="6"/>
      <c r="N451" s="23"/>
      <c r="O451" s="5"/>
      <c r="P451" s="6"/>
      <c r="Q451" s="6"/>
      <c r="R451" s="6"/>
      <c r="S451" s="6"/>
      <c r="T451" s="6"/>
      <c r="U451" s="6"/>
      <c r="V451" s="5"/>
      <c r="W451" s="6"/>
      <c r="X451" s="6">
        <f>E451*F451/100</f>
      </c>
      <c r="Y451" s="6">
        <f>E451*G451/100</f>
      </c>
      <c r="Z451" s="7">
        <f>E451*H451</f>
      </c>
      <c r="AA451" s="7">
        <f>E451*J451</f>
      </c>
      <c r="AB451" s="6">
        <f>E451*I451/100</f>
      </c>
      <c r="AC451" s="15">
        <f>X451+Y451+AB451</f>
      </c>
      <c r="AD451" s="6">
        <f>F451+G451+I451</f>
      </c>
      <c r="AE451" s="3"/>
      <c r="AF451" s="6">
        <f>SUM(AM451:BC451)</f>
      </c>
      <c r="AG451" s="5">
        <f>IF(SUM(AM451:AO451)&gt;0.7*AF451,1,0)</f>
      </c>
      <c r="AH451" s="5">
        <f>IF(AN451&gt;0.4*AF451,1,0)</f>
      </c>
      <c r="AI451" s="5">
        <f>IF(SUM(AP451:AQ451)&gt;0.3*AF451,1,0)</f>
      </c>
      <c r="AJ451" s="5">
        <f>IF(AQ451&gt;0.2*AF451,1,0)</f>
      </c>
      <c r="AK451" s="5">
        <f>IF(SUM(AR451:BC451)&gt;0.3*AF451,1,0)</f>
      </c>
      <c r="AL451" s="3"/>
      <c r="AM451" s="6">
        <f>(F451/100)*AM$41</f>
      </c>
      <c r="AN451" s="6">
        <f>(G451/100)*AN$41</f>
      </c>
      <c r="AO451" s="6">
        <f>(H451/1000000)*AO$41</f>
      </c>
      <c r="AP451" s="6">
        <f>(I451/100)*AP$41</f>
      </c>
      <c r="AQ451" s="6">
        <f>(J451/1000000)*AQ$41</f>
      </c>
      <c r="AR451" s="6">
        <f>(K451/100)*AR$41</f>
      </c>
      <c r="AS451" s="6">
        <f>(L451/100)*AS$41</f>
      </c>
      <c r="AT451" s="6">
        <f>(M451/100)*AT$41</f>
      </c>
      <c r="AU451" s="6">
        <f>(N451/100)*AU$41</f>
      </c>
      <c r="AV451" s="6">
        <f>(O451/1000000)*AV$41</f>
      </c>
      <c r="AW451" s="6">
        <f>(P451/100)*AW$41</f>
      </c>
      <c r="AX451" s="6">
        <f>(Q451/100)*AX$41</f>
      </c>
      <c r="AY451" s="6">
        <f>(R451/100)*AY$41</f>
      </c>
      <c r="AZ451" s="6">
        <f>(S451/100)*AZ$41</f>
      </c>
      <c r="BA451" s="6">
        <f>(T451/100)*BA$41</f>
      </c>
      <c r="BB451" s="6">
        <f>(U451/100)*BB$41</f>
      </c>
      <c r="BC451" s="6"/>
      <c r="BD451" s="3"/>
      <c r="BE451" s="3"/>
      <c r="BF451" s="7">
        <f>AF451*E451</f>
      </c>
      <c r="BG451" s="6"/>
      <c r="BH451" s="3"/>
      <c r="BI451" s="6"/>
    </row>
    <row x14ac:dyDescent="0.25" r="452" customHeight="1" ht="12.75">
      <c r="A452" s="5" t="s">
        <v>21</v>
      </c>
      <c r="B452" s="38" t="s">
        <v>859</v>
      </c>
      <c r="C452" s="43" t="s">
        <v>866</v>
      </c>
      <c r="D452" s="34" t="s">
        <v>989</v>
      </c>
      <c r="E452" s="23">
        <v>2.17704</v>
      </c>
      <c r="F452" s="6">
        <v>6.5</v>
      </c>
      <c r="G452" s="7">
        <v>18.5</v>
      </c>
      <c r="H452" s="6">
        <v>68.5</v>
      </c>
      <c r="I452" s="6"/>
      <c r="J452" s="6"/>
      <c r="K452" s="7"/>
      <c r="L452" s="6"/>
      <c r="M452" s="6"/>
      <c r="N452" s="23"/>
      <c r="O452" s="5"/>
      <c r="P452" s="6"/>
      <c r="Q452" s="6"/>
      <c r="R452" s="6"/>
      <c r="S452" s="6"/>
      <c r="T452" s="6"/>
      <c r="U452" s="6"/>
      <c r="V452" s="5"/>
      <c r="W452" s="6"/>
      <c r="X452" s="6">
        <f>E452*F452/100</f>
      </c>
      <c r="Y452" s="6">
        <f>E452*G452/100</f>
      </c>
      <c r="Z452" s="7">
        <f>E452*H452</f>
      </c>
      <c r="AA452" s="7">
        <f>E452*J452</f>
      </c>
      <c r="AB452" s="6">
        <f>E452*I452/100</f>
      </c>
      <c r="AC452" s="15">
        <f>X452+Y452+AB452</f>
      </c>
      <c r="AD452" s="6">
        <f>F452+G452+I452</f>
      </c>
      <c r="AE452" s="3"/>
      <c r="AF452" s="6">
        <f>SUM(AM452:BC452)</f>
      </c>
      <c r="AG452" s="5">
        <f>IF(SUM(AM452:AO452)&gt;0.7*AF452,1,0)</f>
      </c>
      <c r="AH452" s="5">
        <f>IF(AN452&gt;0.4*AF452,1,0)</f>
      </c>
      <c r="AI452" s="5">
        <f>IF(SUM(AP452:AQ452)&gt;0.3*AF452,1,0)</f>
      </c>
      <c r="AJ452" s="5">
        <f>IF(AQ452&gt;0.2*AF452,1,0)</f>
      </c>
      <c r="AK452" s="5">
        <f>IF(SUM(AR452:BC452)&gt;0.3*AF452,1,0)</f>
      </c>
      <c r="AL452" s="3"/>
      <c r="AM452" s="6">
        <f>(F452/100)*AM$41</f>
      </c>
      <c r="AN452" s="6">
        <f>(G452/100)*AN$41</f>
      </c>
      <c r="AO452" s="6">
        <f>(H452/1000000)*AO$41</f>
      </c>
      <c r="AP452" s="6">
        <f>(I452/100)*AP$41</f>
      </c>
      <c r="AQ452" s="6">
        <f>(J452/1000000)*AQ$41</f>
      </c>
      <c r="AR452" s="6">
        <f>(K452/100)*AR$41</f>
      </c>
      <c r="AS452" s="6">
        <f>(L452/100)*AS$41</f>
      </c>
      <c r="AT452" s="6">
        <f>(M452/100)*AT$41</f>
      </c>
      <c r="AU452" s="6">
        <f>(N452/100)*AU$41</f>
      </c>
      <c r="AV452" s="6">
        <f>(O452/1000000)*AV$41</f>
      </c>
      <c r="AW452" s="6">
        <f>(P452/100)*AW$41</f>
      </c>
      <c r="AX452" s="6">
        <f>(Q452/100)*AX$41</f>
      </c>
      <c r="AY452" s="6">
        <f>(R452/100)*AY$41</f>
      </c>
      <c r="AZ452" s="6">
        <f>(S452/100)*AZ$41</f>
      </c>
      <c r="BA452" s="6">
        <f>(T452/100)*BA$41</f>
      </c>
      <c r="BB452" s="6">
        <f>(U452/100)*BB$41</f>
      </c>
      <c r="BC452" s="6"/>
      <c r="BD452" s="3"/>
      <c r="BE452" s="3"/>
      <c r="BF452" s="7">
        <f>AF452*E452</f>
      </c>
      <c r="BG452" s="6"/>
      <c r="BH452" s="3"/>
      <c r="BI452" s="6"/>
    </row>
    <row x14ac:dyDescent="0.25" r="453" customHeight="1" ht="12.75">
      <c r="A453" s="5" t="s">
        <v>407</v>
      </c>
      <c r="B453" s="38" t="s">
        <v>859</v>
      </c>
      <c r="C453" s="43" t="s">
        <v>866</v>
      </c>
      <c r="D453" s="34"/>
      <c r="E453" s="6">
        <v>4.3</v>
      </c>
      <c r="F453" s="6">
        <v>3.8</v>
      </c>
      <c r="G453" s="6">
        <v>4.7</v>
      </c>
      <c r="H453" s="5">
        <v>42</v>
      </c>
      <c r="I453" s="6">
        <v>0.27</v>
      </c>
      <c r="J453" s="6">
        <v>0.7</v>
      </c>
      <c r="K453" s="7"/>
      <c r="L453" s="6"/>
      <c r="M453" s="6"/>
      <c r="N453" s="23"/>
      <c r="O453" s="5"/>
      <c r="P453" s="6"/>
      <c r="Q453" s="6"/>
      <c r="R453" s="6"/>
      <c r="S453" s="6"/>
      <c r="T453" s="6"/>
      <c r="U453" s="6"/>
      <c r="V453" s="5"/>
      <c r="W453" s="6"/>
      <c r="X453" s="6">
        <f>E453*F453/100</f>
      </c>
      <c r="Y453" s="6">
        <f>E453*G453/100</f>
      </c>
      <c r="Z453" s="7">
        <f>E453*H453</f>
      </c>
      <c r="AA453" s="7">
        <f>E453*J453</f>
      </c>
      <c r="AB453" s="6">
        <f>E453*I453/100</f>
      </c>
      <c r="AC453" s="15">
        <f>X453+Y453+AB453</f>
      </c>
      <c r="AD453" s="6">
        <f>F453+G453+I453</f>
      </c>
      <c r="AE453" s="3"/>
      <c r="AF453" s="6">
        <f>SUM(AM453:BC453)</f>
      </c>
      <c r="AG453" s="5">
        <f>IF(SUM(AM453:AO453)&gt;0.7*AF453,1,0)</f>
      </c>
      <c r="AH453" s="5">
        <f>IF(AN453&gt;0.4*AF453,1,0)</f>
      </c>
      <c r="AI453" s="5">
        <f>IF(SUM(AP453:AQ453)&gt;0.3*AF453,1,0)</f>
      </c>
      <c r="AJ453" s="5">
        <f>IF(AQ453&gt;0.2*AF453,1,0)</f>
      </c>
      <c r="AK453" s="5">
        <f>IF(SUM(AR453:BC453)&gt;0.3*AF453,1,0)</f>
      </c>
      <c r="AL453" s="3"/>
      <c r="AM453" s="6">
        <f>(F453/100)*AM$41</f>
      </c>
      <c r="AN453" s="6">
        <f>(G453/100)*AN$41</f>
      </c>
      <c r="AO453" s="6">
        <f>(H453/1000000)*AO$41</f>
      </c>
      <c r="AP453" s="6">
        <f>(I453/100)*AP$41</f>
      </c>
      <c r="AQ453" s="6">
        <f>(J453/1000000)*AQ$41</f>
      </c>
      <c r="AR453" s="6">
        <f>(K453/100)*AR$41</f>
      </c>
      <c r="AS453" s="6">
        <f>(L453/100)*AS$41</f>
      </c>
      <c r="AT453" s="6">
        <f>(M453/100)*AT$41</f>
      </c>
      <c r="AU453" s="6">
        <f>(N453/100)*AU$41</f>
      </c>
      <c r="AV453" s="6">
        <f>(O453/1000000)*AV$41</f>
      </c>
      <c r="AW453" s="6">
        <f>(P453/100)*AW$41</f>
      </c>
      <c r="AX453" s="6">
        <f>(Q453/100)*AX$41</f>
      </c>
      <c r="AY453" s="6">
        <f>(R453/100)*AY$41</f>
      </c>
      <c r="AZ453" s="6">
        <f>(S453/100)*AZ$41</f>
      </c>
      <c r="BA453" s="6">
        <f>(T453/100)*BA$41</f>
      </c>
      <c r="BB453" s="6">
        <f>(U453/100)*BB$41</f>
      </c>
      <c r="BC453" s="6"/>
      <c r="BD453" s="3"/>
      <c r="BE453" s="3"/>
      <c r="BF453" s="7">
        <f>AF453*E453</f>
      </c>
      <c r="BG453" s="6"/>
      <c r="BH453" s="3"/>
      <c r="BI453" s="6"/>
    </row>
    <row x14ac:dyDescent="0.25" r="454" customHeight="1" ht="12.75">
      <c r="A454" s="5" t="s">
        <v>651</v>
      </c>
      <c r="B454" s="38" t="s">
        <v>859</v>
      </c>
      <c r="C454" s="43" t="s">
        <v>866</v>
      </c>
      <c r="D454" s="34"/>
      <c r="E454" s="5">
        <v>7</v>
      </c>
      <c r="F454" s="6">
        <v>4.7</v>
      </c>
      <c r="G454" s="6">
        <v>0.6</v>
      </c>
      <c r="H454" s="5">
        <v>30</v>
      </c>
      <c r="I454" s="6"/>
      <c r="J454" s="6"/>
      <c r="K454" s="7"/>
      <c r="L454" s="6"/>
      <c r="M454" s="6"/>
      <c r="N454" s="23"/>
      <c r="O454" s="5"/>
      <c r="P454" s="6"/>
      <c r="Q454" s="6"/>
      <c r="R454" s="6"/>
      <c r="S454" s="6"/>
      <c r="T454" s="6"/>
      <c r="U454" s="6"/>
      <c r="V454" s="5"/>
      <c r="W454" s="6"/>
      <c r="X454" s="6">
        <f>E454*F454/100</f>
      </c>
      <c r="Y454" s="6">
        <f>E454*G454/100</f>
      </c>
      <c r="Z454" s="7">
        <f>E454*H454</f>
      </c>
      <c r="AA454" s="7">
        <f>E454*J454</f>
      </c>
      <c r="AB454" s="6">
        <f>E454*I454/100</f>
      </c>
      <c r="AC454" s="15">
        <f>X454+Y454+AB454</f>
      </c>
      <c r="AD454" s="6">
        <f>F454+G454+I454</f>
      </c>
      <c r="AE454" s="3"/>
      <c r="AF454" s="6">
        <f>SUM(AM454:BC454)</f>
      </c>
      <c r="AG454" s="5">
        <f>IF(SUM(AM454:AO454)&gt;0.7*AF454,1,0)</f>
      </c>
      <c r="AH454" s="5">
        <f>IF(AN454&gt;0.4*AF454,1,0)</f>
      </c>
      <c r="AI454" s="5">
        <f>IF(SUM(AP454:AQ454)&gt;0.3*AF454,1,0)</f>
      </c>
      <c r="AJ454" s="5">
        <f>IF(AQ454&gt;0.2*AF454,1,0)</f>
      </c>
      <c r="AK454" s="5">
        <f>IF(SUM(AR454:BC454)&gt;0.3*AF454,1,0)</f>
      </c>
      <c r="AL454" s="3"/>
      <c r="AM454" s="6">
        <f>(F454/100)*AM$41</f>
      </c>
      <c r="AN454" s="6">
        <f>(G454/100)*AN$41</f>
      </c>
      <c r="AO454" s="6">
        <f>(H454/1000000)*AO$41</f>
      </c>
      <c r="AP454" s="6">
        <f>(I454/100)*AP$41</f>
      </c>
      <c r="AQ454" s="6">
        <f>(J454/1000000)*AQ$41</f>
      </c>
      <c r="AR454" s="6">
        <f>(K454/100)*AR$41</f>
      </c>
      <c r="AS454" s="6">
        <f>(L454/100)*AS$41</f>
      </c>
      <c r="AT454" s="6">
        <f>(M454/100)*AT$41</f>
      </c>
      <c r="AU454" s="6">
        <f>(N454/100)*AU$41</f>
      </c>
      <c r="AV454" s="6">
        <f>(O454/1000000)*AV$41</f>
      </c>
      <c r="AW454" s="6">
        <f>(P454/100)*AW$41</f>
      </c>
      <c r="AX454" s="6">
        <f>(Q454/100)*AX$41</f>
      </c>
      <c r="AY454" s="6">
        <f>(R454/100)*AY$41</f>
      </c>
      <c r="AZ454" s="6">
        <f>(S454/100)*AZ$41</f>
      </c>
      <c r="BA454" s="6">
        <f>(T454/100)*BA$41</f>
      </c>
      <c r="BB454" s="6">
        <f>(U454/100)*BB$41</f>
      </c>
      <c r="BC454" s="6"/>
      <c r="BD454" s="3"/>
      <c r="BE454" s="3"/>
      <c r="BF454" s="7">
        <f>AF454*E454</f>
      </c>
      <c r="BG454" s="6"/>
      <c r="BH454" s="3"/>
      <c r="BI454" s="6"/>
    </row>
    <row x14ac:dyDescent="0.25" r="455" customHeight="1" ht="12.75">
      <c r="A455" s="5" t="s">
        <v>353</v>
      </c>
      <c r="B455" s="38" t="s">
        <v>859</v>
      </c>
      <c r="C455" s="43" t="s">
        <v>866</v>
      </c>
      <c r="D455" s="34" t="s">
        <v>989</v>
      </c>
      <c r="E455" s="6">
        <v>3.7</v>
      </c>
      <c r="F455" s="6">
        <v>1.1</v>
      </c>
      <c r="G455" s="6">
        <v>8.8</v>
      </c>
      <c r="H455" s="5">
        <v>10</v>
      </c>
      <c r="I455" s="6"/>
      <c r="J455" s="6"/>
      <c r="K455" s="7"/>
      <c r="L455" s="6"/>
      <c r="M455" s="6"/>
      <c r="N455" s="23"/>
      <c r="O455" s="5"/>
      <c r="P455" s="6"/>
      <c r="Q455" s="6"/>
      <c r="R455" s="6"/>
      <c r="S455" s="6"/>
      <c r="T455" s="6"/>
      <c r="U455" s="6"/>
      <c r="V455" s="5"/>
      <c r="W455" s="6"/>
      <c r="X455" s="6">
        <f>E455*F455/100</f>
      </c>
      <c r="Y455" s="6">
        <f>E455*G455/100</f>
      </c>
      <c r="Z455" s="7">
        <f>E455*H455</f>
      </c>
      <c r="AA455" s="7">
        <f>E455*J455</f>
      </c>
      <c r="AB455" s="6">
        <f>E455*I455/100</f>
      </c>
      <c r="AC455" s="15">
        <f>X455+Y455+AB455</f>
      </c>
      <c r="AD455" s="6">
        <f>F455+G455+I455</f>
      </c>
      <c r="AE455" s="3"/>
      <c r="AF455" s="6">
        <f>SUM(AM455:BC455)</f>
      </c>
      <c r="AG455" s="5">
        <f>IF(SUM(AM455:AO455)&gt;0.7*AF455,1,0)</f>
      </c>
      <c r="AH455" s="5">
        <f>IF(AN455&gt;0.4*AF455,1,0)</f>
      </c>
      <c r="AI455" s="5">
        <f>IF(SUM(AP455:AQ455)&gt;0.3*AF455,1,0)</f>
      </c>
      <c r="AJ455" s="5">
        <f>IF(AQ455&gt;0.2*AF455,1,0)</f>
      </c>
      <c r="AK455" s="5">
        <f>IF(SUM(AR455:BC455)&gt;0.3*AF455,1,0)</f>
      </c>
      <c r="AL455" s="3"/>
      <c r="AM455" s="6">
        <f>(F455/100)*AM$41</f>
      </c>
      <c r="AN455" s="6">
        <f>(G455/100)*AN$41</f>
      </c>
      <c r="AO455" s="6">
        <f>(H455/1000000)*AO$41</f>
      </c>
      <c r="AP455" s="6">
        <f>(I455/100)*AP$41</f>
      </c>
      <c r="AQ455" s="6">
        <f>(J455/1000000)*AQ$41</f>
      </c>
      <c r="AR455" s="6">
        <f>(K455/100)*AR$41</f>
      </c>
      <c r="AS455" s="6">
        <f>(L455/100)*AS$41</f>
      </c>
      <c r="AT455" s="6">
        <f>(M455/100)*AT$41</f>
      </c>
      <c r="AU455" s="6">
        <f>(N455/100)*AU$41</f>
      </c>
      <c r="AV455" s="6">
        <f>(O455/1000000)*AV$41</f>
      </c>
      <c r="AW455" s="6">
        <f>(P455/100)*AW$41</f>
      </c>
      <c r="AX455" s="6">
        <f>(Q455/100)*AX$41</f>
      </c>
      <c r="AY455" s="6">
        <f>(R455/100)*AY$41</f>
      </c>
      <c r="AZ455" s="6">
        <f>(S455/100)*AZ$41</f>
      </c>
      <c r="BA455" s="6">
        <f>(T455/100)*BA$41</f>
      </c>
      <c r="BB455" s="6">
        <f>(U455/100)*BB$41</f>
      </c>
      <c r="BC455" s="6"/>
      <c r="BD455" s="3"/>
      <c r="BE455" s="3"/>
      <c r="BF455" s="7">
        <f>AF455*E455</f>
      </c>
      <c r="BG455" s="6"/>
      <c r="BH455" s="3"/>
      <c r="BI455" s="6"/>
    </row>
    <row x14ac:dyDescent="0.25" r="456" customHeight="1" ht="12.75">
      <c r="A456" s="5" t="s">
        <v>144</v>
      </c>
      <c r="B456" s="38" t="s">
        <v>859</v>
      </c>
      <c r="C456" s="43" t="s">
        <v>866</v>
      </c>
      <c r="D456" s="34" t="s">
        <v>988</v>
      </c>
      <c r="E456" s="6">
        <v>2.44</v>
      </c>
      <c r="F456" s="7">
        <v>3.1</v>
      </c>
      <c r="G456" s="6">
        <v>11.9</v>
      </c>
      <c r="H456" s="7"/>
      <c r="I456" s="6"/>
      <c r="J456" s="6"/>
      <c r="K456" s="7"/>
      <c r="L456" s="6"/>
      <c r="M456" s="6"/>
      <c r="N456" s="23"/>
      <c r="O456" s="5"/>
      <c r="P456" s="6"/>
      <c r="Q456" s="6"/>
      <c r="R456" s="6"/>
      <c r="S456" s="6"/>
      <c r="T456" s="6"/>
      <c r="U456" s="6"/>
      <c r="V456" s="5"/>
      <c r="W456" s="6"/>
      <c r="X456" s="6">
        <f>E456*F456/100</f>
      </c>
      <c r="Y456" s="6">
        <f>E456*G456/100</f>
      </c>
      <c r="Z456" s="7">
        <f>E456*H456</f>
      </c>
      <c r="AA456" s="7">
        <f>E456*J456</f>
      </c>
      <c r="AB456" s="6">
        <f>E456*I456/100</f>
      </c>
      <c r="AC456" s="15">
        <f>X456+Y456+AB456</f>
      </c>
      <c r="AD456" s="6">
        <f>F456+G456+I456</f>
      </c>
      <c r="AE456" s="3"/>
      <c r="AF456" s="6">
        <f>SUM(AM456:BC456)</f>
      </c>
      <c r="AG456" s="5">
        <f>IF(SUM(AM456:AO456)&gt;0.7*AF456,1,0)</f>
      </c>
      <c r="AH456" s="5">
        <f>IF(AN456&gt;0.4*AF456,1,0)</f>
      </c>
      <c r="AI456" s="5">
        <f>IF(SUM(AP456:AQ456)&gt;0.3*AF456,1,0)</f>
      </c>
      <c r="AJ456" s="5">
        <f>IF(AQ456&gt;0.2*AF456,1,0)</f>
      </c>
      <c r="AK456" s="5">
        <f>IF(SUM(AR456:BC456)&gt;0.3*AF456,1,0)</f>
      </c>
      <c r="AL456" s="3"/>
      <c r="AM456" s="6">
        <f>(F456/100)*AM$41</f>
      </c>
      <c r="AN456" s="6">
        <f>(G456/100)*AN$41</f>
      </c>
      <c r="AO456" s="6">
        <f>(H456/1000000)*AO$41</f>
      </c>
      <c r="AP456" s="6">
        <f>(I456/100)*AP$41</f>
      </c>
      <c r="AQ456" s="6">
        <f>(J456/1000000)*AQ$41</f>
      </c>
      <c r="AR456" s="6">
        <f>(K456/100)*AR$41</f>
      </c>
      <c r="AS456" s="6">
        <f>(L456/100)*AS$41</f>
      </c>
      <c r="AT456" s="6">
        <f>(M456/100)*AT$41</f>
      </c>
      <c r="AU456" s="6">
        <f>(N456/100)*AU$41</f>
      </c>
      <c r="AV456" s="6">
        <f>(O456/1000000)*AV$41</f>
      </c>
      <c r="AW456" s="6">
        <f>(P456/100)*AW$41</f>
      </c>
      <c r="AX456" s="6">
        <f>(Q456/100)*AX$41</f>
      </c>
      <c r="AY456" s="6">
        <f>(R456/100)*AY$41</f>
      </c>
      <c r="AZ456" s="6">
        <f>(S456/100)*AZ$41</f>
      </c>
      <c r="BA456" s="6">
        <f>(T456/100)*BA$41</f>
      </c>
      <c r="BB456" s="6">
        <f>(U456/100)*BB$41</f>
      </c>
      <c r="BC456" s="6"/>
      <c r="BD456" s="3"/>
      <c r="BE456" s="3"/>
      <c r="BF456" s="7">
        <f>AF456*E456</f>
      </c>
      <c r="BG456" s="6"/>
      <c r="BH456" s="3"/>
      <c r="BI456" s="6"/>
    </row>
    <row x14ac:dyDescent="0.25" r="457" customHeight="1" ht="12.75">
      <c r="A457" s="5" t="s">
        <v>577</v>
      </c>
      <c r="B457" s="38" t="s">
        <v>859</v>
      </c>
      <c r="C457" s="43" t="s">
        <v>866</v>
      </c>
      <c r="D457" s="34"/>
      <c r="E457" s="6">
        <v>5.2</v>
      </c>
      <c r="F457" s="6">
        <v>6.3</v>
      </c>
      <c r="G457" s="6">
        <v>0.5</v>
      </c>
      <c r="H457" s="5">
        <v>33</v>
      </c>
      <c r="I457" s="6"/>
      <c r="J457" s="6"/>
      <c r="K457" s="7"/>
      <c r="L457" s="6"/>
      <c r="M457" s="6"/>
      <c r="N457" s="23"/>
      <c r="O457" s="5"/>
      <c r="P457" s="6"/>
      <c r="Q457" s="6"/>
      <c r="R457" s="6"/>
      <c r="S457" s="6"/>
      <c r="T457" s="6"/>
      <c r="U457" s="6"/>
      <c r="V457" s="6">
        <v>0.001</v>
      </c>
      <c r="W457" s="6" t="s">
        <v>932</v>
      </c>
      <c r="X457" s="6">
        <f>E457*F457/100</f>
      </c>
      <c r="Y457" s="6">
        <f>E457*G457/100</f>
      </c>
      <c r="Z457" s="7">
        <f>E457*H457</f>
      </c>
      <c r="AA457" s="7">
        <f>E457*J457</f>
      </c>
      <c r="AB457" s="6">
        <f>E457*I457/100</f>
      </c>
      <c r="AC457" s="15">
        <f>X457+Y457+AB457</f>
      </c>
      <c r="AD457" s="6">
        <f>F457+G457+I457</f>
      </c>
      <c r="AE457" s="3"/>
      <c r="AF457" s="6">
        <f>SUM(AM457:BC457)</f>
      </c>
      <c r="AG457" s="5">
        <f>IF(SUM(AM457:AO457)&gt;0.7*AF457,1,0)</f>
      </c>
      <c r="AH457" s="5">
        <f>IF(AN457&gt;0.4*AF457,1,0)</f>
      </c>
      <c r="AI457" s="5">
        <f>IF(SUM(AP457:AQ457)&gt;0.3*AF457,1,0)</f>
      </c>
      <c r="AJ457" s="5">
        <f>IF(AQ457&gt;0.2*AF457,1,0)</f>
      </c>
      <c r="AK457" s="5">
        <f>IF(SUM(AR457:BC457)&gt;0.3*AF457,1,0)</f>
      </c>
      <c r="AL457" s="3"/>
      <c r="AM457" s="6">
        <f>(F457/100)*AM$41</f>
      </c>
      <c r="AN457" s="6">
        <f>(G457/100)*AN$41</f>
      </c>
      <c r="AO457" s="6">
        <f>(H457/1000000)*AO$41</f>
      </c>
      <c r="AP457" s="6">
        <f>(I457/100)*AP$41</f>
      </c>
      <c r="AQ457" s="6">
        <f>(J457/1000000)*AQ$41</f>
      </c>
      <c r="AR457" s="6">
        <f>(K457/100)*AR$41</f>
      </c>
      <c r="AS457" s="6">
        <f>(L457/100)*AS$41</f>
      </c>
      <c r="AT457" s="6">
        <f>(M457/100)*AT$41</f>
      </c>
      <c r="AU457" s="6">
        <f>(N457/100)*AU$41</f>
      </c>
      <c r="AV457" s="6">
        <f>(O457/1000000)*AV$41</f>
      </c>
      <c r="AW457" s="6">
        <f>(P457/100)*AW$41</f>
      </c>
      <c r="AX457" s="6">
        <f>(Q457/100)*AX$41</f>
      </c>
      <c r="AY457" s="6">
        <f>(R457/100)*AY$41</f>
      </c>
      <c r="AZ457" s="6">
        <f>(S457/100)*AZ$41</f>
      </c>
      <c r="BA457" s="6">
        <f>(T457/100)*BA$41</f>
      </c>
      <c r="BB457" s="6">
        <f>(U457/100)*BB$41</f>
      </c>
      <c r="BC457" s="6">
        <f>(V457/100)*1940</f>
      </c>
      <c r="BD457" s="3" t="s">
        <v>933</v>
      </c>
      <c r="BE457" s="3"/>
      <c r="BF457" s="7">
        <f>AF457*E457</f>
      </c>
      <c r="BG457" s="6"/>
      <c r="BH457" s="3"/>
      <c r="BI457" s="6"/>
    </row>
    <row x14ac:dyDescent="0.25" r="458" customHeight="1" ht="12.75">
      <c r="A458" s="5" t="s">
        <v>43</v>
      </c>
      <c r="B458" s="38" t="s">
        <v>859</v>
      </c>
      <c r="C458" s="43" t="s">
        <v>866</v>
      </c>
      <c r="D458" s="34" t="s">
        <v>989</v>
      </c>
      <c r="E458" s="6">
        <v>1.6</v>
      </c>
      <c r="F458" s="6">
        <v>3.6</v>
      </c>
      <c r="G458" s="6">
        <v>18.4</v>
      </c>
      <c r="H458" s="7"/>
      <c r="I458" s="6"/>
      <c r="J458" s="6"/>
      <c r="K458" s="7"/>
      <c r="L458" s="6"/>
      <c r="M458" s="6"/>
      <c r="N458" s="23"/>
      <c r="O458" s="5"/>
      <c r="P458" s="6"/>
      <c r="Q458" s="6"/>
      <c r="R458" s="6"/>
      <c r="S458" s="6"/>
      <c r="T458" s="6"/>
      <c r="U458" s="6"/>
      <c r="V458" s="5"/>
      <c r="W458" s="6"/>
      <c r="X458" s="6">
        <f>E458*F458/100</f>
      </c>
      <c r="Y458" s="6">
        <f>E458*G458/100</f>
      </c>
      <c r="Z458" s="7">
        <f>E458*H458</f>
      </c>
      <c r="AA458" s="7">
        <f>E458*J458</f>
      </c>
      <c r="AB458" s="6">
        <f>E458*I458/100</f>
      </c>
      <c r="AC458" s="15">
        <f>X458+Y458+AB458</f>
      </c>
      <c r="AD458" s="6">
        <f>F458+G458+I458</f>
      </c>
      <c r="AE458" s="3"/>
      <c r="AF458" s="6">
        <f>SUM(AM458:BC458)</f>
      </c>
      <c r="AG458" s="5">
        <f>IF(SUM(AM458:AO458)&gt;0.7*AF458,1,0)</f>
      </c>
      <c r="AH458" s="5">
        <f>IF(AN458&gt;0.4*AF458,1,0)</f>
      </c>
      <c r="AI458" s="5">
        <f>IF(SUM(AP458:AQ458)&gt;0.3*AF458,1,0)</f>
      </c>
      <c r="AJ458" s="5">
        <f>IF(AQ458&gt;0.2*AF458,1,0)</f>
      </c>
      <c r="AK458" s="5">
        <f>IF(SUM(AR458:BC458)&gt;0.3*AF458,1,0)</f>
      </c>
      <c r="AL458" s="3"/>
      <c r="AM458" s="6">
        <f>(F458/100)*AM$41</f>
      </c>
      <c r="AN458" s="6">
        <f>(G458/100)*AN$41</f>
      </c>
      <c r="AO458" s="6">
        <f>(H458/1000000)*AO$41</f>
      </c>
      <c r="AP458" s="6">
        <f>(I458/100)*AP$41</f>
      </c>
      <c r="AQ458" s="6">
        <f>(J458/1000000)*AQ$41</f>
      </c>
      <c r="AR458" s="6">
        <f>(K458/100)*AR$41</f>
      </c>
      <c r="AS458" s="6">
        <f>(L458/100)*AS$41</f>
      </c>
      <c r="AT458" s="6">
        <f>(M458/100)*AT$41</f>
      </c>
      <c r="AU458" s="6">
        <f>(N458/100)*AU$41</f>
      </c>
      <c r="AV458" s="6">
        <f>(O458/1000000)*AV$41</f>
      </c>
      <c r="AW458" s="6">
        <f>(P458/100)*AW$41</f>
      </c>
      <c r="AX458" s="6">
        <f>(Q458/100)*AX$41</f>
      </c>
      <c r="AY458" s="6">
        <f>(R458/100)*AY$41</f>
      </c>
      <c r="AZ458" s="6">
        <f>(S458/100)*AZ$41</f>
      </c>
      <c r="BA458" s="6">
        <f>(T458/100)*BA$41</f>
      </c>
      <c r="BB458" s="6">
        <f>(U458/100)*BB$41</f>
      </c>
      <c r="BC458" s="6"/>
      <c r="BD458" s="3"/>
      <c r="BE458" s="3"/>
      <c r="BF458" s="7">
        <f>AF458*E458</f>
      </c>
      <c r="BG458" s="6"/>
      <c r="BH458" s="3"/>
      <c r="BI458" s="6"/>
    </row>
    <row x14ac:dyDescent="0.25" r="459" customHeight="1" ht="12.75">
      <c r="A459" s="5" t="s">
        <v>375</v>
      </c>
      <c r="B459" s="38" t="s">
        <v>859</v>
      </c>
      <c r="C459" s="43" t="s">
        <v>866</v>
      </c>
      <c r="D459" s="34" t="s">
        <v>989</v>
      </c>
      <c r="E459" s="5">
        <v>4</v>
      </c>
      <c r="F459" s="7">
        <v>1.3333333333333333</v>
      </c>
      <c r="G459" s="7">
        <v>6.666666666666667</v>
      </c>
      <c r="H459" s="7"/>
      <c r="I459" s="6"/>
      <c r="J459" s="6">
        <v>3.5</v>
      </c>
      <c r="K459" s="7"/>
      <c r="L459" s="6"/>
      <c r="M459" s="6"/>
      <c r="N459" s="23"/>
      <c r="O459" s="5"/>
      <c r="P459" s="6"/>
      <c r="Q459" s="6"/>
      <c r="R459" s="6"/>
      <c r="S459" s="6"/>
      <c r="T459" s="6"/>
      <c r="U459" s="6"/>
      <c r="V459" s="5"/>
      <c r="W459" s="6"/>
      <c r="X459" s="6">
        <f>E459*F459/100</f>
      </c>
      <c r="Y459" s="6">
        <f>E459*G459/100</f>
      </c>
      <c r="Z459" s="7">
        <f>E459*H459</f>
      </c>
      <c r="AA459" s="7">
        <f>E459*J459</f>
      </c>
      <c r="AB459" s="6">
        <f>E459*I459/100</f>
      </c>
      <c r="AC459" s="15">
        <f>X459+Y459+AB459</f>
      </c>
      <c r="AD459" s="6">
        <f>F459+G459+I459</f>
      </c>
      <c r="AE459" s="3"/>
      <c r="AF459" s="6">
        <f>SUM(AM459:BC459)</f>
      </c>
      <c r="AG459" s="5">
        <f>IF(SUM(AM459:AO459)&gt;0.7*AF459,1,0)</f>
      </c>
      <c r="AH459" s="5">
        <f>IF(AN459&gt;0.4*AF459,1,0)</f>
      </c>
      <c r="AI459" s="5">
        <f>IF(SUM(AP459:AQ459)&gt;0.3*AF459,1,0)</f>
      </c>
      <c r="AJ459" s="5">
        <f>IF(AQ459&gt;0.2*AF459,1,0)</f>
      </c>
      <c r="AK459" s="5">
        <f>IF(SUM(AR459:BC459)&gt;0.3*AF459,1,0)</f>
      </c>
      <c r="AL459" s="3"/>
      <c r="AM459" s="6">
        <f>(F459/100)*AM$41</f>
      </c>
      <c r="AN459" s="6">
        <f>(G459/100)*AN$41</f>
      </c>
      <c r="AO459" s="6">
        <f>(H459/1000000)*AO$41</f>
      </c>
      <c r="AP459" s="6">
        <f>(I459/100)*AP$41</f>
      </c>
      <c r="AQ459" s="6">
        <f>(J459/1000000)*AQ$41</f>
      </c>
      <c r="AR459" s="6">
        <f>(K459/100)*AR$41</f>
      </c>
      <c r="AS459" s="6">
        <f>(L459/100)*AS$41</f>
      </c>
      <c r="AT459" s="6">
        <f>(M459/100)*AT$41</f>
      </c>
      <c r="AU459" s="6">
        <f>(N459/100)*AU$41</f>
      </c>
      <c r="AV459" s="6">
        <f>(O459/1000000)*AV$41</f>
      </c>
      <c r="AW459" s="6">
        <f>(P459/100)*AW$41</f>
      </c>
      <c r="AX459" s="6">
        <f>(Q459/100)*AX$41</f>
      </c>
      <c r="AY459" s="6">
        <f>(R459/100)*AY$41</f>
      </c>
      <c r="AZ459" s="6">
        <f>(S459/100)*AZ$41</f>
      </c>
      <c r="BA459" s="6">
        <f>(T459/100)*BA$41</f>
      </c>
      <c r="BB459" s="6">
        <f>(U459/100)*BB$41</f>
      </c>
      <c r="BC459" s="6"/>
      <c r="BD459" s="3"/>
      <c r="BE459" s="3"/>
      <c r="BF459" s="7">
        <f>AF459*E459</f>
      </c>
      <c r="BG459" s="6"/>
      <c r="BH459" s="3"/>
      <c r="BI459" s="6"/>
    </row>
    <row x14ac:dyDescent="0.25" r="460" customHeight="1" ht="12.75">
      <c r="A460" s="5" t="s">
        <v>299</v>
      </c>
      <c r="B460" s="38" t="s">
        <v>859</v>
      </c>
      <c r="C460" s="43" t="s">
        <v>866</v>
      </c>
      <c r="D460" s="34" t="s">
        <v>988</v>
      </c>
      <c r="E460" s="23">
        <v>2.605826</v>
      </c>
      <c r="F460" s="6">
        <v>5.1</v>
      </c>
      <c r="G460" s="6">
        <v>5.6</v>
      </c>
      <c r="H460" s="6">
        <v>37.7</v>
      </c>
      <c r="I460" s="6"/>
      <c r="J460" s="6"/>
      <c r="K460" s="7"/>
      <c r="L460" s="6"/>
      <c r="M460" s="6"/>
      <c r="N460" s="23"/>
      <c r="O460" s="5"/>
      <c r="P460" s="6"/>
      <c r="Q460" s="6"/>
      <c r="R460" s="6"/>
      <c r="S460" s="6"/>
      <c r="T460" s="6"/>
      <c r="U460" s="6"/>
      <c r="V460" s="5"/>
      <c r="W460" s="6"/>
      <c r="X460" s="6">
        <f>E460*F460/100</f>
      </c>
      <c r="Y460" s="6">
        <f>E460*G460/100</f>
      </c>
      <c r="Z460" s="7">
        <f>E460*H460</f>
      </c>
      <c r="AA460" s="7">
        <f>E460*J460</f>
      </c>
      <c r="AB460" s="6">
        <f>E460*I460/100</f>
      </c>
      <c r="AC460" s="15">
        <f>X460+Y460+AB460</f>
      </c>
      <c r="AD460" s="6">
        <f>F460+G460+I460</f>
      </c>
      <c r="AE460" s="3"/>
      <c r="AF460" s="6">
        <f>SUM(AM460:BC460)</f>
      </c>
      <c r="AG460" s="5">
        <f>IF(SUM(AM460:AO460)&gt;0.7*AF460,1,0)</f>
      </c>
      <c r="AH460" s="5">
        <f>IF(AN460&gt;0.4*AF460,1,0)</f>
      </c>
      <c r="AI460" s="5">
        <f>IF(SUM(AP460:AQ460)&gt;0.3*AF460,1,0)</f>
      </c>
      <c r="AJ460" s="5">
        <f>IF(AQ460&gt;0.2*AF460,1,0)</f>
      </c>
      <c r="AK460" s="5">
        <f>IF(SUM(AR460:BC460)&gt;0.3*AF460,1,0)</f>
      </c>
      <c r="AL460" s="3"/>
      <c r="AM460" s="6">
        <f>(F460/100)*AM$41</f>
      </c>
      <c r="AN460" s="6">
        <f>(G460/100)*AN$41</f>
      </c>
      <c r="AO460" s="6">
        <f>(H460/1000000)*AO$41</f>
      </c>
      <c r="AP460" s="6">
        <f>(I460/100)*AP$41</f>
      </c>
      <c r="AQ460" s="6">
        <f>(J460/1000000)*AQ$41</f>
      </c>
      <c r="AR460" s="6">
        <f>(K460/100)*AR$41</f>
      </c>
      <c r="AS460" s="6">
        <f>(L460/100)*AS$41</f>
      </c>
      <c r="AT460" s="6">
        <f>(M460/100)*AT$41</f>
      </c>
      <c r="AU460" s="6">
        <f>(N460/100)*AU$41</f>
      </c>
      <c r="AV460" s="6">
        <f>(O460/1000000)*AV$41</f>
      </c>
      <c r="AW460" s="6">
        <f>(P460/100)*AW$41</f>
      </c>
      <c r="AX460" s="6">
        <f>(Q460/100)*AX$41</f>
      </c>
      <c r="AY460" s="6">
        <f>(R460/100)*AY$41</f>
      </c>
      <c r="AZ460" s="6">
        <f>(S460/100)*AZ$41</f>
      </c>
      <c r="BA460" s="6">
        <f>(T460/100)*BA$41</f>
      </c>
      <c r="BB460" s="6">
        <f>(U460/100)*BB$41</f>
      </c>
      <c r="BC460" s="6"/>
      <c r="BD460" s="3"/>
      <c r="BE460" s="3"/>
      <c r="BF460" s="7">
        <f>AF460*E460</f>
      </c>
      <c r="BG460" s="6"/>
      <c r="BH460" s="3"/>
      <c r="BI460" s="6"/>
    </row>
    <row x14ac:dyDescent="0.25" r="461" customHeight="1" ht="12.75">
      <c r="A461" s="5" t="s">
        <v>702</v>
      </c>
      <c r="B461" s="38" t="s">
        <v>859</v>
      </c>
      <c r="C461" s="43" t="s">
        <v>866</v>
      </c>
      <c r="D461" s="34" t="s">
        <v>988</v>
      </c>
      <c r="E461" s="6">
        <v>6.5</v>
      </c>
      <c r="F461" s="6"/>
      <c r="G461" s="5">
        <v>4</v>
      </c>
      <c r="H461" s="7"/>
      <c r="I461" s="6"/>
      <c r="J461" s="6"/>
      <c r="K461" s="7"/>
      <c r="L461" s="6"/>
      <c r="M461" s="6"/>
      <c r="N461" s="23"/>
      <c r="O461" s="5"/>
      <c r="P461" s="6"/>
      <c r="Q461" s="6"/>
      <c r="R461" s="6"/>
      <c r="S461" s="6"/>
      <c r="T461" s="6"/>
      <c r="U461" s="6"/>
      <c r="V461" s="5"/>
      <c r="W461" s="6"/>
      <c r="X461" s="6">
        <f>E461*F461/100</f>
      </c>
      <c r="Y461" s="6">
        <f>E461*G461/100</f>
      </c>
      <c r="Z461" s="7">
        <f>E461*H461</f>
      </c>
      <c r="AA461" s="7">
        <f>E461*J461</f>
      </c>
      <c r="AB461" s="6">
        <f>E461*I461/100</f>
      </c>
      <c r="AC461" s="15">
        <f>X461+Y461+AB461</f>
      </c>
      <c r="AD461" s="6">
        <f>F461+G461+I461</f>
      </c>
      <c r="AE461" s="3"/>
      <c r="AF461" s="6">
        <f>SUM(AM461:BC461)</f>
      </c>
      <c r="AG461" s="5">
        <f>IF(SUM(AM461:AO461)&gt;0.7*AF461,1,0)</f>
      </c>
      <c r="AH461" s="5">
        <f>IF(AN461&gt;0.4*AF461,1,0)</f>
      </c>
      <c r="AI461" s="5">
        <f>IF(SUM(AP461:AQ461)&gt;0.3*AF461,1,0)</f>
      </c>
      <c r="AJ461" s="5">
        <f>IF(AQ461&gt;0.2*AF461,1,0)</f>
      </c>
      <c r="AK461" s="5">
        <f>IF(SUM(AR461:BC461)&gt;0.3*AF461,1,0)</f>
      </c>
      <c r="AL461" s="3"/>
      <c r="AM461" s="6">
        <f>(F461/100)*AM$41</f>
      </c>
      <c r="AN461" s="6">
        <f>(G461/100)*AN$41</f>
      </c>
      <c r="AO461" s="6">
        <f>(H461/1000000)*AO$41</f>
      </c>
      <c r="AP461" s="6">
        <f>(I461/100)*AP$41</f>
      </c>
      <c r="AQ461" s="6">
        <f>(J461/1000000)*AQ$41</f>
      </c>
      <c r="AR461" s="6">
        <f>(K461/100)*AR$41</f>
      </c>
      <c r="AS461" s="6">
        <f>(L461/100)*AS$41</f>
      </c>
      <c r="AT461" s="6">
        <f>(M461/100)*AT$41</f>
      </c>
      <c r="AU461" s="6">
        <f>(N461/100)*AU$41</f>
      </c>
      <c r="AV461" s="6">
        <f>(O461/1000000)*AV$41</f>
      </c>
      <c r="AW461" s="6">
        <f>(P461/100)*AW$41</f>
      </c>
      <c r="AX461" s="6">
        <f>(Q461/100)*AX$41</f>
      </c>
      <c r="AY461" s="6">
        <f>(R461/100)*AY$41</f>
      </c>
      <c r="AZ461" s="6">
        <f>(S461/100)*AZ$41</f>
      </c>
      <c r="BA461" s="6">
        <f>(T461/100)*BA$41</f>
      </c>
      <c r="BB461" s="6">
        <f>(U461/100)*BB$41</f>
      </c>
      <c r="BC461" s="6"/>
      <c r="BD461" s="3"/>
      <c r="BE461" s="3"/>
      <c r="BF461" s="7">
        <f>AF461*E461</f>
      </c>
      <c r="BG461" s="6"/>
      <c r="BH461" s="3"/>
      <c r="BI461" s="6"/>
    </row>
    <row x14ac:dyDescent="0.25" r="462" customHeight="1" ht="12.75">
      <c r="A462" s="5" t="s">
        <v>374</v>
      </c>
      <c r="B462" s="38" t="s">
        <v>859</v>
      </c>
      <c r="C462" s="43" t="s">
        <v>866</v>
      </c>
      <c r="D462" s="34" t="s">
        <v>989</v>
      </c>
      <c r="E462" s="6">
        <v>2.7</v>
      </c>
      <c r="F462" s="6">
        <v>3.34</v>
      </c>
      <c r="G462" s="6">
        <v>6.14</v>
      </c>
      <c r="H462" s="7"/>
      <c r="I462" s="6"/>
      <c r="J462" s="6"/>
      <c r="K462" s="7"/>
      <c r="L462" s="6"/>
      <c r="M462" s="6"/>
      <c r="N462" s="23"/>
      <c r="O462" s="5"/>
      <c r="P462" s="6"/>
      <c r="Q462" s="6"/>
      <c r="R462" s="6"/>
      <c r="S462" s="6"/>
      <c r="T462" s="6"/>
      <c r="U462" s="6"/>
      <c r="V462" s="5"/>
      <c r="W462" s="6"/>
      <c r="X462" s="6">
        <f>E462*F462/100</f>
      </c>
      <c r="Y462" s="6">
        <f>E462*G462/100</f>
      </c>
      <c r="Z462" s="7">
        <f>E462*H462</f>
      </c>
      <c r="AA462" s="7">
        <f>E462*J462</f>
      </c>
      <c r="AB462" s="6">
        <f>E462*I462/100</f>
      </c>
      <c r="AC462" s="15">
        <f>X462+Y462+AB462</f>
      </c>
      <c r="AD462" s="6">
        <f>F462+G462+I462</f>
      </c>
      <c r="AE462" s="3"/>
      <c r="AF462" s="6">
        <f>SUM(AM462:BC462)</f>
      </c>
      <c r="AG462" s="5">
        <f>IF(SUM(AM462:AO462)&gt;0.7*AF462,1,0)</f>
      </c>
      <c r="AH462" s="5">
        <f>IF(AN462&gt;0.4*AF462,1,0)</f>
      </c>
      <c r="AI462" s="5">
        <f>IF(SUM(AP462:AQ462)&gt;0.3*AF462,1,0)</f>
      </c>
      <c r="AJ462" s="5">
        <f>IF(AQ462&gt;0.2*AF462,1,0)</f>
      </c>
      <c r="AK462" s="5">
        <f>IF(SUM(AR462:BC462)&gt;0.3*AF462,1,0)</f>
      </c>
      <c r="AL462" s="3"/>
      <c r="AM462" s="6">
        <f>(F462/100)*AM$41</f>
      </c>
      <c r="AN462" s="6">
        <f>(G462/100)*AN$41</f>
      </c>
      <c r="AO462" s="6">
        <f>(H462/1000000)*AO$41</f>
      </c>
      <c r="AP462" s="6">
        <f>(I462/100)*AP$41</f>
      </c>
      <c r="AQ462" s="6">
        <f>(J462/1000000)*AQ$41</f>
      </c>
      <c r="AR462" s="6">
        <f>(K462/100)*AR$41</f>
      </c>
      <c r="AS462" s="6">
        <f>(L462/100)*AS$41</f>
      </c>
      <c r="AT462" s="6">
        <f>(M462/100)*AT$41</f>
      </c>
      <c r="AU462" s="6">
        <f>(N462/100)*AU$41</f>
      </c>
      <c r="AV462" s="6">
        <f>(O462/1000000)*AV$41</f>
      </c>
      <c r="AW462" s="6">
        <f>(P462/100)*AW$41</f>
      </c>
      <c r="AX462" s="6">
        <f>(Q462/100)*AX$41</f>
      </c>
      <c r="AY462" s="6">
        <f>(R462/100)*AY$41</f>
      </c>
      <c r="AZ462" s="6">
        <f>(S462/100)*AZ$41</f>
      </c>
      <c r="BA462" s="6">
        <f>(T462/100)*BA$41</f>
      </c>
      <c r="BB462" s="6">
        <f>(U462/100)*BB$41</f>
      </c>
      <c r="BC462" s="6"/>
      <c r="BD462" s="3"/>
      <c r="BE462" s="3"/>
      <c r="BF462" s="7">
        <f>AF462*E462</f>
      </c>
      <c r="BG462" s="6"/>
      <c r="BH462" s="3"/>
      <c r="BI462" s="6"/>
    </row>
    <row x14ac:dyDescent="0.25" r="463" customHeight="1" ht="12.75">
      <c r="A463" s="5" t="s">
        <v>568</v>
      </c>
      <c r="B463" s="38" t="s">
        <v>859</v>
      </c>
      <c r="C463" s="43" t="s">
        <v>866</v>
      </c>
      <c r="D463" s="34" t="s">
        <v>989</v>
      </c>
      <c r="E463" s="6">
        <v>3.6</v>
      </c>
      <c r="F463" s="7">
        <v>2.3000000000000003</v>
      </c>
      <c r="G463" s="7">
        <v>4.6</v>
      </c>
      <c r="H463" s="7"/>
      <c r="I463" s="6"/>
      <c r="J463" s="6"/>
      <c r="K463" s="7"/>
      <c r="L463" s="6"/>
      <c r="M463" s="6"/>
      <c r="N463" s="23"/>
      <c r="O463" s="5"/>
      <c r="P463" s="6"/>
      <c r="Q463" s="6"/>
      <c r="R463" s="6"/>
      <c r="S463" s="6"/>
      <c r="T463" s="6"/>
      <c r="U463" s="6"/>
      <c r="V463" s="5"/>
      <c r="W463" s="6"/>
      <c r="X463" s="6">
        <f>E463*F463/100</f>
      </c>
      <c r="Y463" s="6">
        <f>E463*G463/100</f>
      </c>
      <c r="Z463" s="7">
        <f>E463*H463</f>
      </c>
      <c r="AA463" s="7">
        <f>E463*J463</f>
      </c>
      <c r="AB463" s="6">
        <f>E463*I463/100</f>
      </c>
      <c r="AC463" s="15">
        <f>X463+Y463+AB463</f>
      </c>
      <c r="AD463" s="6">
        <f>F463+G463+I463</f>
      </c>
      <c r="AE463" s="3"/>
      <c r="AF463" s="6">
        <f>SUM(AM463:BC463)</f>
      </c>
      <c r="AG463" s="5">
        <f>IF(SUM(AM463:AO463)&gt;0.7*AF463,1,0)</f>
      </c>
      <c r="AH463" s="5">
        <f>IF(AN463&gt;0.4*AF463,1,0)</f>
      </c>
      <c r="AI463" s="5">
        <f>IF(SUM(AP463:AQ463)&gt;0.3*AF463,1,0)</f>
      </c>
      <c r="AJ463" s="5">
        <f>IF(AQ463&gt;0.2*AF463,1,0)</f>
      </c>
      <c r="AK463" s="5">
        <f>IF(SUM(AR463:BC463)&gt;0.3*AF463,1,0)</f>
      </c>
      <c r="AL463" s="3"/>
      <c r="AM463" s="6">
        <f>(F463/100)*AM$41</f>
      </c>
      <c r="AN463" s="6">
        <f>(G463/100)*AN$41</f>
      </c>
      <c r="AO463" s="6">
        <f>(H463/1000000)*AO$41</f>
      </c>
      <c r="AP463" s="6">
        <f>(I463/100)*AP$41</f>
      </c>
      <c r="AQ463" s="6">
        <f>(J463/1000000)*AQ$41</f>
      </c>
      <c r="AR463" s="6">
        <f>(K463/100)*AR$41</f>
      </c>
      <c r="AS463" s="6">
        <f>(L463/100)*AS$41</f>
      </c>
      <c r="AT463" s="6">
        <f>(M463/100)*AT$41</f>
      </c>
      <c r="AU463" s="6">
        <f>(N463/100)*AU$41</f>
      </c>
      <c r="AV463" s="6">
        <f>(O463/1000000)*AV$41</f>
      </c>
      <c r="AW463" s="6">
        <f>(P463/100)*AW$41</f>
      </c>
      <c r="AX463" s="6">
        <f>(Q463/100)*AX$41</f>
      </c>
      <c r="AY463" s="6">
        <f>(R463/100)*AY$41</f>
      </c>
      <c r="AZ463" s="6">
        <f>(S463/100)*AZ$41</f>
      </c>
      <c r="BA463" s="6">
        <f>(T463/100)*BA$41</f>
      </c>
      <c r="BB463" s="6">
        <f>(U463/100)*BB$41</f>
      </c>
      <c r="BC463" s="6"/>
      <c r="BD463" s="3"/>
      <c r="BE463" s="3"/>
      <c r="BF463" s="7">
        <f>AF463*E463</f>
      </c>
      <c r="BG463" s="6"/>
      <c r="BH463" s="3"/>
      <c r="BI463" s="6"/>
    </row>
    <row x14ac:dyDescent="0.25" r="464" customHeight="1" ht="12.75">
      <c r="A464" s="5" t="s">
        <v>721</v>
      </c>
      <c r="B464" s="38" t="s">
        <v>859</v>
      </c>
      <c r="C464" s="43" t="s">
        <v>866</v>
      </c>
      <c r="D464" s="34" t="s">
        <v>989</v>
      </c>
      <c r="E464" s="6">
        <v>7.280000000000001</v>
      </c>
      <c r="F464" s="17">
        <v>0.34</v>
      </c>
      <c r="G464" s="6">
        <v>2.768147060439562</v>
      </c>
      <c r="H464" s="36">
        <v>35</v>
      </c>
      <c r="I464" s="6"/>
      <c r="J464" s="6"/>
      <c r="K464" s="7"/>
      <c r="L464" s="6"/>
      <c r="M464" s="6"/>
      <c r="N464" s="23"/>
      <c r="O464" s="5"/>
      <c r="P464" s="6"/>
      <c r="Q464" s="6"/>
      <c r="R464" s="6"/>
      <c r="S464" s="6"/>
      <c r="T464" s="6"/>
      <c r="U464" s="6"/>
      <c r="V464" s="5"/>
      <c r="W464" s="6"/>
      <c r="X464" s="6">
        <f>E464*F464/100</f>
      </c>
      <c r="Y464" s="6">
        <f>E464*G464/100</f>
      </c>
      <c r="Z464" s="7">
        <f>E464*H464</f>
      </c>
      <c r="AA464" s="7">
        <f>E464*J464</f>
      </c>
      <c r="AB464" s="6">
        <f>E464*I464/100</f>
      </c>
      <c r="AC464" s="15">
        <f>X464+Y464+AB464</f>
      </c>
      <c r="AD464" s="6">
        <f>F464+G464+I464</f>
      </c>
      <c r="AE464" s="3"/>
      <c r="AF464" s="6">
        <f>SUM(AM464:BC464)</f>
      </c>
      <c r="AG464" s="5">
        <f>IF(SUM(AM464:AO464)&gt;0.7*AF464,1,0)</f>
      </c>
      <c r="AH464" s="5">
        <f>IF(AN464&gt;0.4*AF464,1,0)</f>
      </c>
      <c r="AI464" s="5">
        <f>IF(SUM(AP464:AQ464)&gt;0.3*AF464,1,0)</f>
      </c>
      <c r="AJ464" s="5">
        <f>IF(AQ464&gt;0.2*AF464,1,0)</f>
      </c>
      <c r="AK464" s="5">
        <f>IF(SUM(AR464:BC464)&gt;0.3*AF464,1,0)</f>
      </c>
      <c r="AL464" s="3"/>
      <c r="AM464" s="6">
        <f>(F464/100)*AM$41</f>
      </c>
      <c r="AN464" s="6">
        <f>(G464/100)*AN$41</f>
      </c>
      <c r="AO464" s="6">
        <f>(H464/1000000)*AO$41</f>
      </c>
      <c r="AP464" s="6">
        <f>(I464/100)*AP$41</f>
      </c>
      <c r="AQ464" s="6">
        <f>(J464/1000000)*AQ$41</f>
      </c>
      <c r="AR464" s="6">
        <f>(K464/100)*AR$41</f>
      </c>
      <c r="AS464" s="6">
        <f>(L464/100)*AS$41</f>
      </c>
      <c r="AT464" s="6">
        <f>(M464/100)*AT$41</f>
      </c>
      <c r="AU464" s="6">
        <f>(N464/100)*AU$41</f>
      </c>
      <c r="AV464" s="6">
        <f>(O464/1000000)*AV$41</f>
      </c>
      <c r="AW464" s="6">
        <f>(P464/100)*AW$41</f>
      </c>
      <c r="AX464" s="6">
        <f>(Q464/100)*AX$41</f>
      </c>
      <c r="AY464" s="6">
        <f>(R464/100)*AY$41</f>
      </c>
      <c r="AZ464" s="6">
        <f>(S464/100)*AZ$41</f>
      </c>
      <c r="BA464" s="6">
        <f>(T464/100)*BA$41</f>
      </c>
      <c r="BB464" s="6">
        <f>(U464/100)*BB$41</f>
      </c>
      <c r="BC464" s="6"/>
      <c r="BD464" s="3"/>
      <c r="BE464" s="3"/>
      <c r="BF464" s="7">
        <f>AF464*E464</f>
      </c>
      <c r="BG464" s="6"/>
      <c r="BH464" s="3"/>
      <c r="BI464" s="6"/>
    </row>
    <row x14ac:dyDescent="0.25" r="465" customHeight="1" ht="12.75">
      <c r="A465" s="5" t="s">
        <v>64</v>
      </c>
      <c r="B465" s="38" t="s">
        <v>859</v>
      </c>
      <c r="C465" s="43" t="s">
        <v>866</v>
      </c>
      <c r="D465" s="34" t="s">
        <v>988</v>
      </c>
      <c r="E465" s="6">
        <v>1.1</v>
      </c>
      <c r="F465" s="6">
        <v>4.05</v>
      </c>
      <c r="G465" s="6">
        <v>16.25</v>
      </c>
      <c r="H465" s="6">
        <v>19.43</v>
      </c>
      <c r="I465" s="6"/>
      <c r="J465" s="6"/>
      <c r="K465" s="7"/>
      <c r="L465" s="6"/>
      <c r="M465" s="6"/>
      <c r="N465" s="23"/>
      <c r="O465" s="5"/>
      <c r="P465" s="6"/>
      <c r="Q465" s="6"/>
      <c r="R465" s="6"/>
      <c r="S465" s="6"/>
      <c r="T465" s="6"/>
      <c r="U465" s="6"/>
      <c r="V465" s="5"/>
      <c r="W465" s="6"/>
      <c r="X465" s="6">
        <f>E465*F465/100</f>
      </c>
      <c r="Y465" s="6">
        <f>E465*G465/100</f>
      </c>
      <c r="Z465" s="7">
        <f>E465*H465</f>
      </c>
      <c r="AA465" s="7">
        <f>E465*J465</f>
      </c>
      <c r="AB465" s="6">
        <f>E465*I465/100</f>
      </c>
      <c r="AC465" s="15">
        <f>X465+Y465+AB465</f>
      </c>
      <c r="AD465" s="6">
        <f>F465+G465+I465</f>
      </c>
      <c r="AE465" s="3"/>
      <c r="AF465" s="6">
        <f>SUM(AM465:BC465)</f>
      </c>
      <c r="AG465" s="5">
        <f>IF(SUM(AM465:AO465)&gt;0.7*AF465,1,0)</f>
      </c>
      <c r="AH465" s="5">
        <f>IF(AN465&gt;0.4*AF465,1,0)</f>
      </c>
      <c r="AI465" s="5">
        <f>IF(SUM(AP465:AQ465)&gt;0.3*AF465,1,0)</f>
      </c>
      <c r="AJ465" s="5">
        <f>IF(AQ465&gt;0.2*AF465,1,0)</f>
      </c>
      <c r="AK465" s="5">
        <f>IF(SUM(AR465:BC465)&gt;0.3*AF465,1,0)</f>
      </c>
      <c r="AL465" s="3"/>
      <c r="AM465" s="6">
        <f>(F465/100)*AM$41</f>
      </c>
      <c r="AN465" s="6">
        <f>(G465/100)*AN$41</f>
      </c>
      <c r="AO465" s="6">
        <f>(H465/1000000)*AO$41</f>
      </c>
      <c r="AP465" s="6">
        <f>(I465/100)*AP$41</f>
      </c>
      <c r="AQ465" s="6">
        <f>(J465/1000000)*AQ$41</f>
      </c>
      <c r="AR465" s="6">
        <f>(K465/100)*AR$41</f>
      </c>
      <c r="AS465" s="6">
        <f>(L465/100)*AS$41</f>
      </c>
      <c r="AT465" s="6">
        <f>(M465/100)*AT$41</f>
      </c>
      <c r="AU465" s="6">
        <f>(N465/100)*AU$41</f>
      </c>
      <c r="AV465" s="6">
        <f>(O465/1000000)*AV$41</f>
      </c>
      <c r="AW465" s="6">
        <f>(P465/100)*AW$41</f>
      </c>
      <c r="AX465" s="6">
        <f>(Q465/100)*AX$41</f>
      </c>
      <c r="AY465" s="6">
        <f>(R465/100)*AY$41</f>
      </c>
      <c r="AZ465" s="6">
        <f>(S465/100)*AZ$41</f>
      </c>
      <c r="BA465" s="6">
        <f>(T465/100)*BA$41</f>
      </c>
      <c r="BB465" s="6">
        <f>(U465/100)*BB$41</f>
      </c>
      <c r="BC465" s="6"/>
      <c r="BD465" s="3"/>
      <c r="BE465" s="3"/>
      <c r="BF465" s="7">
        <f>AF465*E465</f>
      </c>
      <c r="BG465" s="6"/>
      <c r="BH465" s="3"/>
      <c r="BI465" s="6"/>
    </row>
    <row x14ac:dyDescent="0.25" r="466" customHeight="1" ht="12.75">
      <c r="A466" s="5" t="s">
        <v>725</v>
      </c>
      <c r="B466" s="38" t="s">
        <v>859</v>
      </c>
      <c r="C466" s="43" t="s">
        <v>866</v>
      </c>
      <c r="D466" s="34" t="s">
        <v>989</v>
      </c>
      <c r="E466" s="6">
        <v>7.1</v>
      </c>
      <c r="F466" s="6">
        <v>1.2</v>
      </c>
      <c r="G466" s="6">
        <v>1.9</v>
      </c>
      <c r="H466" s="7"/>
      <c r="I466" s="6"/>
      <c r="J466" s="6"/>
      <c r="K466" s="7"/>
      <c r="L466" s="6"/>
      <c r="M466" s="6"/>
      <c r="N466" s="23"/>
      <c r="O466" s="5"/>
      <c r="P466" s="6"/>
      <c r="Q466" s="6"/>
      <c r="R466" s="6"/>
      <c r="S466" s="6"/>
      <c r="T466" s="6"/>
      <c r="U466" s="6"/>
      <c r="V466" s="5"/>
      <c r="W466" s="6"/>
      <c r="X466" s="6">
        <f>E466*F466/100</f>
      </c>
      <c r="Y466" s="6">
        <f>E466*G466/100</f>
      </c>
      <c r="Z466" s="7">
        <f>E466*H466</f>
      </c>
      <c r="AA466" s="7">
        <f>E466*J466</f>
      </c>
      <c r="AB466" s="6">
        <f>E466*I466/100</f>
      </c>
      <c r="AC466" s="15">
        <f>X466+Y466+AB466</f>
      </c>
      <c r="AD466" s="6">
        <f>F466+G466+I466</f>
      </c>
      <c r="AE466" s="3"/>
      <c r="AF466" s="6">
        <f>SUM(AM466:BC466)</f>
      </c>
      <c r="AG466" s="5">
        <f>IF(SUM(AM466:AO466)&gt;0.7*AF466,1,0)</f>
      </c>
      <c r="AH466" s="5">
        <f>IF(AN466&gt;0.4*AF466,1,0)</f>
      </c>
      <c r="AI466" s="5">
        <f>IF(SUM(AP466:AQ466)&gt;0.3*AF466,1,0)</f>
      </c>
      <c r="AJ466" s="5">
        <f>IF(AQ466&gt;0.2*AF466,1,0)</f>
      </c>
      <c r="AK466" s="5">
        <f>IF(SUM(AR466:BC466)&gt;0.3*AF466,1,0)</f>
      </c>
      <c r="AL466" s="3"/>
      <c r="AM466" s="6">
        <f>(F466/100)*AM$41</f>
      </c>
      <c r="AN466" s="6">
        <f>(G466/100)*AN$41</f>
      </c>
      <c r="AO466" s="6">
        <f>(H466/1000000)*AO$41</f>
      </c>
      <c r="AP466" s="6">
        <f>(I466/100)*AP$41</f>
      </c>
      <c r="AQ466" s="6">
        <f>(J466/1000000)*AQ$41</f>
      </c>
      <c r="AR466" s="6">
        <f>(K466/100)*AR$41</f>
      </c>
      <c r="AS466" s="6">
        <f>(L466/100)*AS$41</f>
      </c>
      <c r="AT466" s="6">
        <f>(M466/100)*AT$41</f>
      </c>
      <c r="AU466" s="6">
        <f>(N466/100)*AU$41</f>
      </c>
      <c r="AV466" s="6">
        <f>(O466/1000000)*AV$41</f>
      </c>
      <c r="AW466" s="6">
        <f>(P466/100)*AW$41</f>
      </c>
      <c r="AX466" s="6">
        <f>(Q466/100)*AX$41</f>
      </c>
      <c r="AY466" s="6">
        <f>(R466/100)*AY$41</f>
      </c>
      <c r="AZ466" s="6">
        <f>(S466/100)*AZ$41</f>
      </c>
      <c r="BA466" s="6">
        <f>(T466/100)*BA$41</f>
      </c>
      <c r="BB466" s="6">
        <f>(U466/100)*BB$41</f>
      </c>
      <c r="BC466" s="6"/>
      <c r="BD466" s="3"/>
      <c r="BE466" s="3"/>
      <c r="BF466" s="7">
        <f>AF466*E466</f>
      </c>
      <c r="BG466" s="6"/>
      <c r="BH466" s="3"/>
      <c r="BI466" s="6"/>
    </row>
    <row x14ac:dyDescent="0.25" r="467" customHeight="1" ht="12.75">
      <c r="A467" s="5" t="s">
        <v>733</v>
      </c>
      <c r="B467" s="38" t="s">
        <v>859</v>
      </c>
      <c r="C467" s="43" t="s">
        <v>866</v>
      </c>
      <c r="D467" s="34" t="s">
        <v>989</v>
      </c>
      <c r="E467" s="6">
        <v>10.1</v>
      </c>
      <c r="F467" s="6">
        <v>0.4</v>
      </c>
      <c r="G467" s="6">
        <v>1.6</v>
      </c>
      <c r="H467" s="7"/>
      <c r="I467" s="6"/>
      <c r="J467" s="6"/>
      <c r="K467" s="7"/>
      <c r="L467" s="6"/>
      <c r="M467" s="6"/>
      <c r="N467" s="23"/>
      <c r="O467" s="5"/>
      <c r="P467" s="6"/>
      <c r="Q467" s="6"/>
      <c r="R467" s="6"/>
      <c r="S467" s="6"/>
      <c r="T467" s="6"/>
      <c r="U467" s="6"/>
      <c r="V467" s="5"/>
      <c r="W467" s="6"/>
      <c r="X467" s="6">
        <f>E467*F467/100</f>
      </c>
      <c r="Y467" s="6">
        <f>E467*G467/100</f>
      </c>
      <c r="Z467" s="7">
        <f>E467*H467</f>
      </c>
      <c r="AA467" s="7">
        <f>E467*J467</f>
      </c>
      <c r="AB467" s="6">
        <f>E467*I467/100</f>
      </c>
      <c r="AC467" s="15">
        <f>X467+Y467+AB467</f>
      </c>
      <c r="AD467" s="6">
        <f>F467+G467+I467</f>
      </c>
      <c r="AE467" s="3"/>
      <c r="AF467" s="6">
        <f>SUM(AM467:BC467)</f>
      </c>
      <c r="AG467" s="5">
        <f>IF(SUM(AM467:AO467)&gt;0.7*AF467,1,0)</f>
      </c>
      <c r="AH467" s="5">
        <f>IF(AN467&gt;0.4*AF467,1,0)</f>
      </c>
      <c r="AI467" s="5">
        <f>IF(SUM(AP467:AQ467)&gt;0.3*AF467,1,0)</f>
      </c>
      <c r="AJ467" s="5">
        <f>IF(AQ467&gt;0.2*AF467,1,0)</f>
      </c>
      <c r="AK467" s="5">
        <f>IF(SUM(AR467:BC467)&gt;0.3*AF467,1,0)</f>
      </c>
      <c r="AL467" s="3"/>
      <c r="AM467" s="6">
        <f>(F467/100)*AM$41</f>
      </c>
      <c r="AN467" s="6">
        <f>(G467/100)*AN$41</f>
      </c>
      <c r="AO467" s="6">
        <f>(H467/1000000)*AO$41</f>
      </c>
      <c r="AP467" s="6">
        <f>(I467/100)*AP$41</f>
      </c>
      <c r="AQ467" s="6">
        <f>(J467/1000000)*AQ$41</f>
      </c>
      <c r="AR467" s="6">
        <f>(K467/100)*AR$41</f>
      </c>
      <c r="AS467" s="6">
        <f>(L467/100)*AS$41</f>
      </c>
      <c r="AT467" s="6">
        <f>(M467/100)*AT$41</f>
      </c>
      <c r="AU467" s="6">
        <f>(N467/100)*AU$41</f>
      </c>
      <c r="AV467" s="6">
        <f>(O467/1000000)*AV$41</f>
      </c>
      <c r="AW467" s="6">
        <f>(P467/100)*AW$41</f>
      </c>
      <c r="AX467" s="6">
        <f>(Q467/100)*AX$41</f>
      </c>
      <c r="AY467" s="6">
        <f>(R467/100)*AY$41</f>
      </c>
      <c r="AZ467" s="6">
        <f>(S467/100)*AZ$41</f>
      </c>
      <c r="BA467" s="6">
        <f>(T467/100)*BA$41</f>
      </c>
      <c r="BB467" s="6">
        <f>(U467/100)*BB$41</f>
      </c>
      <c r="BC467" s="6"/>
      <c r="BD467" s="3"/>
      <c r="BE467" s="3"/>
      <c r="BF467" s="7">
        <f>AF467*E467</f>
      </c>
      <c r="BG467" s="6"/>
      <c r="BH467" s="3"/>
      <c r="BI467" s="6"/>
    </row>
    <row x14ac:dyDescent="0.25" r="468" customHeight="1" ht="12.75">
      <c r="A468" s="5" t="s">
        <v>130</v>
      </c>
      <c r="B468" s="38" t="s">
        <v>859</v>
      </c>
      <c r="C468" s="43" t="s">
        <v>866</v>
      </c>
      <c r="D468" s="34" t="s">
        <v>988</v>
      </c>
      <c r="E468" s="6">
        <v>1.3</v>
      </c>
      <c r="F468" s="6">
        <v>2.13</v>
      </c>
      <c r="G468" s="6">
        <v>13.35</v>
      </c>
      <c r="H468" s="5">
        <v>27</v>
      </c>
      <c r="I468" s="6"/>
      <c r="J468" s="6"/>
      <c r="K468" s="7"/>
      <c r="L468" s="6"/>
      <c r="M468" s="6"/>
      <c r="N468" s="23"/>
      <c r="O468" s="5"/>
      <c r="P468" s="6"/>
      <c r="Q468" s="6"/>
      <c r="R468" s="6"/>
      <c r="S468" s="6"/>
      <c r="T468" s="6"/>
      <c r="U468" s="6"/>
      <c r="V468" s="5"/>
      <c r="W468" s="6"/>
      <c r="X468" s="6">
        <f>E468*F468/100</f>
      </c>
      <c r="Y468" s="6">
        <f>E468*G468/100</f>
      </c>
      <c r="Z468" s="7">
        <f>E468*H468</f>
      </c>
      <c r="AA468" s="7">
        <f>E468*J468</f>
      </c>
      <c r="AB468" s="6">
        <f>E468*I468/100</f>
      </c>
      <c r="AC468" s="15">
        <f>X468+Y468+AB468</f>
      </c>
      <c r="AD468" s="6">
        <f>F468+G468+I468</f>
      </c>
      <c r="AE468" s="3"/>
      <c r="AF468" s="6">
        <f>SUM(AM468:BC468)</f>
      </c>
      <c r="AG468" s="5">
        <f>IF(SUM(AM468:AO468)&gt;0.7*AF468,1,0)</f>
      </c>
      <c r="AH468" s="5">
        <f>IF(AN468&gt;0.4*AF468,1,0)</f>
      </c>
      <c r="AI468" s="5">
        <f>IF(SUM(AP468:AQ468)&gt;0.3*AF468,1,0)</f>
      </c>
      <c r="AJ468" s="5">
        <f>IF(AQ468&gt;0.2*AF468,1,0)</f>
      </c>
      <c r="AK468" s="5">
        <f>IF(SUM(AR468:BC468)&gt;0.3*AF468,1,0)</f>
      </c>
      <c r="AL468" s="3"/>
      <c r="AM468" s="6">
        <f>(F468/100)*AM$41</f>
      </c>
      <c r="AN468" s="6">
        <f>(G468/100)*AN$41</f>
      </c>
      <c r="AO468" s="6">
        <f>(H468/1000000)*AO$41</f>
      </c>
      <c r="AP468" s="6">
        <f>(I468/100)*AP$41</f>
      </c>
      <c r="AQ468" s="6">
        <f>(J468/1000000)*AQ$41</f>
      </c>
      <c r="AR468" s="6">
        <f>(K468/100)*AR$41</f>
      </c>
      <c r="AS468" s="6">
        <f>(L468/100)*AS$41</f>
      </c>
      <c r="AT468" s="6">
        <f>(M468/100)*AT$41</f>
      </c>
      <c r="AU468" s="6">
        <f>(N468/100)*AU$41</f>
      </c>
      <c r="AV468" s="6">
        <f>(O468/1000000)*AV$41</f>
      </c>
      <c r="AW468" s="6">
        <f>(P468/100)*AW$41</f>
      </c>
      <c r="AX468" s="6">
        <f>(Q468/100)*AX$41</f>
      </c>
      <c r="AY468" s="6">
        <f>(R468/100)*AY$41</f>
      </c>
      <c r="AZ468" s="6">
        <f>(S468/100)*AZ$41</f>
      </c>
      <c r="BA468" s="6">
        <f>(T468/100)*BA$41</f>
      </c>
      <c r="BB468" s="6">
        <f>(U468/100)*BB$41</f>
      </c>
      <c r="BC468" s="6"/>
      <c r="BD468" s="3"/>
      <c r="BE468" s="3"/>
      <c r="BF468" s="7">
        <f>AF468*E468</f>
      </c>
      <c r="BG468" s="6"/>
      <c r="BH468" s="3"/>
      <c r="BI468" s="6"/>
    </row>
    <row x14ac:dyDescent="0.25" r="469" customHeight="1" ht="12.75">
      <c r="A469" s="5" t="s">
        <v>88</v>
      </c>
      <c r="B469" s="38" t="s">
        <v>859</v>
      </c>
      <c r="C469" s="43" t="s">
        <v>866</v>
      </c>
      <c r="D469" s="34" t="s">
        <v>989</v>
      </c>
      <c r="E469" s="6">
        <v>1.1</v>
      </c>
      <c r="F469" s="6">
        <v>2.8</v>
      </c>
      <c r="G469" s="5">
        <v>15</v>
      </c>
      <c r="H469" s="7"/>
      <c r="I469" s="6"/>
      <c r="J469" s="6"/>
      <c r="K469" s="7"/>
      <c r="L469" s="6"/>
      <c r="M469" s="6"/>
      <c r="N469" s="23"/>
      <c r="O469" s="5"/>
      <c r="P469" s="6"/>
      <c r="Q469" s="6"/>
      <c r="R469" s="6"/>
      <c r="S469" s="6"/>
      <c r="T469" s="6"/>
      <c r="U469" s="6"/>
      <c r="V469" s="5"/>
      <c r="W469" s="6"/>
      <c r="X469" s="6">
        <f>E469*F469/100</f>
      </c>
      <c r="Y469" s="6">
        <f>E469*G469/100</f>
      </c>
      <c r="Z469" s="7">
        <f>E469*H469</f>
      </c>
      <c r="AA469" s="7">
        <f>E469*J469</f>
      </c>
      <c r="AB469" s="6">
        <f>E469*I469/100</f>
      </c>
      <c r="AC469" s="15">
        <f>X469+Y469+AB469</f>
      </c>
      <c r="AD469" s="6">
        <f>F469+G469+I469</f>
      </c>
      <c r="AE469" s="3"/>
      <c r="AF469" s="6">
        <f>SUM(AM469:BC469)</f>
      </c>
      <c r="AG469" s="5">
        <f>IF(SUM(AM469:AO469)&gt;0.7*AF469,1,0)</f>
      </c>
      <c r="AH469" s="5">
        <f>IF(AN469&gt;0.4*AF469,1,0)</f>
      </c>
      <c r="AI469" s="5">
        <f>IF(SUM(AP469:AQ469)&gt;0.3*AF469,1,0)</f>
      </c>
      <c r="AJ469" s="5">
        <f>IF(AQ469&gt;0.2*AF469,1,0)</f>
      </c>
      <c r="AK469" s="5">
        <f>IF(SUM(AR469:BC469)&gt;0.3*AF469,1,0)</f>
      </c>
      <c r="AL469" s="3"/>
      <c r="AM469" s="6">
        <f>(F469/100)*AM$41</f>
      </c>
      <c r="AN469" s="6">
        <f>(G469/100)*AN$41</f>
      </c>
      <c r="AO469" s="6">
        <f>(H469/1000000)*AO$41</f>
      </c>
      <c r="AP469" s="6">
        <f>(I469/100)*AP$41</f>
      </c>
      <c r="AQ469" s="6">
        <f>(J469/1000000)*AQ$41</f>
      </c>
      <c r="AR469" s="6">
        <f>(K469/100)*AR$41</f>
      </c>
      <c r="AS469" s="6">
        <f>(L469/100)*AS$41</f>
      </c>
      <c r="AT469" s="6">
        <f>(M469/100)*AT$41</f>
      </c>
      <c r="AU469" s="6">
        <f>(N469/100)*AU$41</f>
      </c>
      <c r="AV469" s="6">
        <f>(O469/1000000)*AV$41</f>
      </c>
      <c r="AW469" s="6">
        <f>(P469/100)*AW$41</f>
      </c>
      <c r="AX469" s="6">
        <f>(Q469/100)*AX$41</f>
      </c>
      <c r="AY469" s="6">
        <f>(R469/100)*AY$41</f>
      </c>
      <c r="AZ469" s="6">
        <f>(S469/100)*AZ$41</f>
      </c>
      <c r="BA469" s="6">
        <f>(T469/100)*BA$41</f>
      </c>
      <c r="BB469" s="6">
        <f>(U469/100)*BB$41</f>
      </c>
      <c r="BC469" s="6"/>
      <c r="BD469" s="3"/>
      <c r="BE469" s="3"/>
      <c r="BF469" s="7">
        <f>AF469*E469</f>
      </c>
      <c r="BG469" s="6"/>
      <c r="BH469" s="3"/>
      <c r="BI469" s="6"/>
    </row>
    <row x14ac:dyDescent="0.25" r="470" customHeight="1" ht="12.75">
      <c r="A470" s="5" t="s">
        <v>610</v>
      </c>
      <c r="B470" s="38" t="s">
        <v>859</v>
      </c>
      <c r="C470" s="43" t="s">
        <v>866</v>
      </c>
      <c r="D470" s="34" t="s">
        <v>988</v>
      </c>
      <c r="E470" s="6">
        <v>2.76</v>
      </c>
      <c r="F470" s="6">
        <v>3.3</v>
      </c>
      <c r="G470" s="6">
        <v>3.1</v>
      </c>
      <c r="H470" s="7"/>
      <c r="I470" s="6"/>
      <c r="J470" s="6"/>
      <c r="K470" s="7"/>
      <c r="L470" s="6"/>
      <c r="M470" s="6"/>
      <c r="N470" s="23"/>
      <c r="O470" s="5"/>
      <c r="P470" s="6"/>
      <c r="Q470" s="6"/>
      <c r="R470" s="6"/>
      <c r="S470" s="6"/>
      <c r="T470" s="6"/>
      <c r="U470" s="6"/>
      <c r="V470" s="5"/>
      <c r="W470" s="6"/>
      <c r="X470" s="6">
        <f>E470*F470/100</f>
      </c>
      <c r="Y470" s="6">
        <f>E470*G470/100</f>
      </c>
      <c r="Z470" s="7">
        <f>E470*H470</f>
      </c>
      <c r="AA470" s="7">
        <f>E470*J470</f>
      </c>
      <c r="AB470" s="6">
        <f>E470*I470/100</f>
      </c>
      <c r="AC470" s="15">
        <f>X470+Y470+AB470</f>
      </c>
      <c r="AD470" s="6">
        <f>F470+G470+I470</f>
      </c>
      <c r="AE470" s="3"/>
      <c r="AF470" s="6">
        <f>SUM(AM470:BC470)</f>
      </c>
      <c r="AG470" s="5">
        <f>IF(SUM(AM470:AO470)&gt;0.7*AF470,1,0)</f>
      </c>
      <c r="AH470" s="5">
        <f>IF(AN470&gt;0.4*AF470,1,0)</f>
      </c>
      <c r="AI470" s="5">
        <f>IF(SUM(AP470:AQ470)&gt;0.3*AF470,1,0)</f>
      </c>
      <c r="AJ470" s="5">
        <f>IF(AQ470&gt;0.2*AF470,1,0)</f>
      </c>
      <c r="AK470" s="5">
        <f>IF(SUM(AR470:BC470)&gt;0.3*AF470,1,0)</f>
      </c>
      <c r="AL470" s="3"/>
      <c r="AM470" s="6">
        <f>(F470/100)*AM$41</f>
      </c>
      <c r="AN470" s="6">
        <f>(G470/100)*AN$41</f>
      </c>
      <c r="AO470" s="6">
        <f>(H470/1000000)*AO$41</f>
      </c>
      <c r="AP470" s="6">
        <f>(I470/100)*AP$41</f>
      </c>
      <c r="AQ470" s="6">
        <f>(J470/1000000)*AQ$41</f>
      </c>
      <c r="AR470" s="6">
        <f>(K470/100)*AR$41</f>
      </c>
      <c r="AS470" s="6">
        <f>(L470/100)*AS$41</f>
      </c>
      <c r="AT470" s="6">
        <f>(M470/100)*AT$41</f>
      </c>
      <c r="AU470" s="6">
        <f>(N470/100)*AU$41</f>
      </c>
      <c r="AV470" s="6">
        <f>(O470/1000000)*AV$41</f>
      </c>
      <c r="AW470" s="6">
        <f>(P470/100)*AW$41</f>
      </c>
      <c r="AX470" s="6">
        <f>(Q470/100)*AX$41</f>
      </c>
      <c r="AY470" s="6">
        <f>(R470/100)*AY$41</f>
      </c>
      <c r="AZ470" s="6">
        <f>(S470/100)*AZ$41</f>
      </c>
      <c r="BA470" s="6">
        <f>(T470/100)*BA$41</f>
      </c>
      <c r="BB470" s="6">
        <f>(U470/100)*BB$41</f>
      </c>
      <c r="BC470" s="6"/>
      <c r="BD470" s="3"/>
      <c r="BE470" s="3"/>
      <c r="BF470" s="7">
        <f>AF470*E470</f>
      </c>
      <c r="BG470" s="6"/>
      <c r="BH470" s="3"/>
      <c r="BI470" s="6"/>
    </row>
    <row x14ac:dyDescent="0.25" r="471" customHeight="1" ht="12.75">
      <c r="A471" s="5" t="s">
        <v>411</v>
      </c>
      <c r="B471" s="38" t="s">
        <v>859</v>
      </c>
      <c r="C471" s="43" t="s">
        <v>866</v>
      </c>
      <c r="D471" s="34" t="s">
        <v>989</v>
      </c>
      <c r="E471" s="6">
        <v>1.85</v>
      </c>
      <c r="F471" s="6">
        <v>1.04</v>
      </c>
      <c r="G471" s="6">
        <v>7.71</v>
      </c>
      <c r="H471" s="6">
        <v>39.6</v>
      </c>
      <c r="I471" s="6"/>
      <c r="J471" s="6"/>
      <c r="K471" s="7"/>
      <c r="L471" s="6"/>
      <c r="M471" s="6"/>
      <c r="N471" s="23"/>
      <c r="O471" s="5"/>
      <c r="P471" s="6"/>
      <c r="Q471" s="6"/>
      <c r="R471" s="6"/>
      <c r="S471" s="6"/>
      <c r="T471" s="6"/>
      <c r="U471" s="6"/>
      <c r="V471" s="6">
        <v>0.12</v>
      </c>
      <c r="W471" s="6" t="s">
        <v>932</v>
      </c>
      <c r="X471" s="6">
        <f>E471*F471/100</f>
      </c>
      <c r="Y471" s="6">
        <f>E471*G471/100</f>
      </c>
      <c r="Z471" s="7">
        <f>E471*H471</f>
      </c>
      <c r="AA471" s="7">
        <f>E471*J471</f>
      </c>
      <c r="AB471" s="6">
        <f>E471*I471/100</f>
      </c>
      <c r="AC471" s="15">
        <f>X471+Y471+AB471</f>
      </c>
      <c r="AD471" s="6">
        <f>F471+G471+I471</f>
      </c>
      <c r="AE471" s="3"/>
      <c r="AF471" s="6">
        <f>SUM(AM471:BC471)</f>
      </c>
      <c r="AG471" s="5">
        <f>IF(SUM(AM471:AO471)&gt;0.7*AF471,1,0)</f>
      </c>
      <c r="AH471" s="5">
        <f>IF(AN471&gt;0.4*AF471,1,0)</f>
      </c>
      <c r="AI471" s="5">
        <f>IF(SUM(AP471:AQ471)&gt;0.3*AF471,1,0)</f>
      </c>
      <c r="AJ471" s="5">
        <f>IF(AQ471&gt;0.2*AF471,1,0)</f>
      </c>
      <c r="AK471" s="5">
        <f>IF(SUM(AR471:BC471)&gt;0.3*AF471,1,0)</f>
      </c>
      <c r="AL471" s="3"/>
      <c r="AM471" s="6">
        <f>(F471/100)*AM$41</f>
      </c>
      <c r="AN471" s="6">
        <f>(G471/100)*AN$41</f>
      </c>
      <c r="AO471" s="6">
        <f>(H471/1000000)*AO$41</f>
      </c>
      <c r="AP471" s="6">
        <f>(I471/100)*AP$41</f>
      </c>
      <c r="AQ471" s="6">
        <f>(J471/1000000)*AQ$41</f>
      </c>
      <c r="AR471" s="6">
        <f>(K471/100)*AR$41</f>
      </c>
      <c r="AS471" s="6">
        <f>(L471/100)*AS$41</f>
      </c>
      <c r="AT471" s="6">
        <f>(M471/100)*AT$41</f>
      </c>
      <c r="AU471" s="6">
        <f>(N471/100)*AU$41</f>
      </c>
      <c r="AV471" s="6">
        <f>(O471/1000000)*AV$41</f>
      </c>
      <c r="AW471" s="6">
        <f>(P471/100)*AW$41</f>
      </c>
      <c r="AX471" s="6">
        <f>(Q471/100)*AX$41</f>
      </c>
      <c r="AY471" s="6">
        <f>(R471/100)*AY$41</f>
      </c>
      <c r="AZ471" s="6">
        <f>(S471/100)*AZ$41</f>
      </c>
      <c r="BA471" s="6">
        <f>(T471/100)*BA$41</f>
      </c>
      <c r="BB471" s="6">
        <f>(U471/100)*BB$41</f>
      </c>
      <c r="BC471" s="6">
        <f>(V471/100)*1940</f>
      </c>
      <c r="BD471" s="3" t="s">
        <v>933</v>
      </c>
      <c r="BE471" s="3"/>
      <c r="BF471" s="7">
        <f>AF471*E471</f>
      </c>
      <c r="BG471" s="6"/>
      <c r="BH471" s="3"/>
      <c r="BI471" s="6"/>
    </row>
    <row x14ac:dyDescent="0.25" r="472" customHeight="1" ht="12.75">
      <c r="A472" s="5" t="s">
        <v>338</v>
      </c>
      <c r="B472" s="38" t="s">
        <v>859</v>
      </c>
      <c r="C472" s="43" t="s">
        <v>866</v>
      </c>
      <c r="D472" s="34" t="s">
        <v>988</v>
      </c>
      <c r="E472" s="23">
        <v>1.490365</v>
      </c>
      <c r="F472" s="6">
        <v>1.4</v>
      </c>
      <c r="G472" s="6">
        <v>8.6</v>
      </c>
      <c r="H472" s="6">
        <v>8.5</v>
      </c>
      <c r="I472" s="6"/>
      <c r="J472" s="6"/>
      <c r="K472" s="7"/>
      <c r="L472" s="6"/>
      <c r="M472" s="6"/>
      <c r="N472" s="23"/>
      <c r="O472" s="5"/>
      <c r="P472" s="6"/>
      <c r="Q472" s="6"/>
      <c r="R472" s="6"/>
      <c r="S472" s="6"/>
      <c r="T472" s="6"/>
      <c r="U472" s="6"/>
      <c r="V472" s="5"/>
      <c r="W472" s="6"/>
      <c r="X472" s="6">
        <f>E472*F472/100</f>
      </c>
      <c r="Y472" s="6">
        <f>E472*G472/100</f>
      </c>
      <c r="Z472" s="7">
        <f>E472*H472</f>
      </c>
      <c r="AA472" s="7">
        <f>E472*J472</f>
      </c>
      <c r="AB472" s="6">
        <f>E472*I472/100</f>
      </c>
      <c r="AC472" s="15">
        <f>X472+Y472+AB472</f>
      </c>
      <c r="AD472" s="6">
        <f>F472+G472+I472</f>
      </c>
      <c r="AE472" s="3"/>
      <c r="AF472" s="6">
        <f>SUM(AM472:BC472)</f>
      </c>
      <c r="AG472" s="5">
        <f>IF(SUM(AM472:AO472)&gt;0.7*AF472,1,0)</f>
      </c>
      <c r="AH472" s="5">
        <f>IF(AN472&gt;0.4*AF472,1,0)</f>
      </c>
      <c r="AI472" s="5">
        <f>IF(SUM(AP472:AQ472)&gt;0.3*AF472,1,0)</f>
      </c>
      <c r="AJ472" s="5">
        <f>IF(AQ472&gt;0.2*AF472,1,0)</f>
      </c>
      <c r="AK472" s="5">
        <f>IF(SUM(AR472:BC472)&gt;0.3*AF472,1,0)</f>
      </c>
      <c r="AL472" s="3"/>
      <c r="AM472" s="6">
        <f>(F472/100)*AM$41</f>
      </c>
      <c r="AN472" s="6">
        <f>(G472/100)*AN$41</f>
      </c>
      <c r="AO472" s="6">
        <f>(H472/1000000)*AO$41</f>
      </c>
      <c r="AP472" s="6">
        <f>(I472/100)*AP$41</f>
      </c>
      <c r="AQ472" s="6">
        <f>(J472/1000000)*AQ$41</f>
      </c>
      <c r="AR472" s="6">
        <f>(K472/100)*AR$41</f>
      </c>
      <c r="AS472" s="6">
        <f>(L472/100)*AS$41</f>
      </c>
      <c r="AT472" s="6">
        <f>(M472/100)*AT$41</f>
      </c>
      <c r="AU472" s="6">
        <f>(N472/100)*AU$41</f>
      </c>
      <c r="AV472" s="6">
        <f>(O472/1000000)*AV$41</f>
      </c>
      <c r="AW472" s="6">
        <f>(P472/100)*AW$41</f>
      </c>
      <c r="AX472" s="6">
        <f>(Q472/100)*AX$41</f>
      </c>
      <c r="AY472" s="6">
        <f>(R472/100)*AY$41</f>
      </c>
      <c r="AZ472" s="6">
        <f>(S472/100)*AZ$41</f>
      </c>
      <c r="BA472" s="6">
        <f>(T472/100)*BA$41</f>
      </c>
      <c r="BB472" s="6">
        <f>(U472/100)*BB$41</f>
      </c>
      <c r="BC472" s="6"/>
      <c r="BD472" s="3"/>
      <c r="BE472" s="3"/>
      <c r="BF472" s="7">
        <f>AF472*E472</f>
      </c>
      <c r="BG472" s="6"/>
      <c r="BH472" s="3"/>
      <c r="BI472" s="6"/>
    </row>
    <row x14ac:dyDescent="0.25" r="473" customHeight="1" ht="12.75">
      <c r="A473" s="5" t="s">
        <v>151</v>
      </c>
      <c r="B473" s="38" t="s">
        <v>859</v>
      </c>
      <c r="C473" s="43" t="s">
        <v>866</v>
      </c>
      <c r="D473" s="34" t="s">
        <v>988</v>
      </c>
      <c r="E473" s="7">
        <v>1</v>
      </c>
      <c r="F473" s="6">
        <v>5.4</v>
      </c>
      <c r="G473" s="6">
        <v>7.3</v>
      </c>
      <c r="H473" s="7"/>
      <c r="I473" s="7">
        <v>2</v>
      </c>
      <c r="J473" s="6"/>
      <c r="K473" s="7"/>
      <c r="L473" s="6"/>
      <c r="M473" s="6"/>
      <c r="N473" s="23"/>
      <c r="O473" s="5"/>
      <c r="P473" s="6"/>
      <c r="Q473" s="6"/>
      <c r="R473" s="6"/>
      <c r="S473" s="6"/>
      <c r="T473" s="6"/>
      <c r="U473" s="6"/>
      <c r="V473" s="5"/>
      <c r="W473" s="6"/>
      <c r="X473" s="6">
        <f>E473*F473/100</f>
      </c>
      <c r="Y473" s="6">
        <f>E473*G473/100</f>
      </c>
      <c r="Z473" s="7">
        <f>E473*H473</f>
      </c>
      <c r="AA473" s="7">
        <f>E473*J473</f>
      </c>
      <c r="AB473" s="6">
        <f>E473*I473/100</f>
      </c>
      <c r="AC473" s="15">
        <f>X473+Y473+AB473</f>
      </c>
      <c r="AD473" s="6">
        <f>F473+G473+I473</f>
      </c>
      <c r="AE473" s="3"/>
      <c r="AF473" s="6">
        <f>SUM(AM473:BC473)</f>
      </c>
      <c r="AG473" s="5">
        <f>IF(SUM(AM473:AO473)&gt;0.7*AF473,1,0)</f>
      </c>
      <c r="AH473" s="5">
        <f>IF(AN473&gt;0.4*AF473,1,0)</f>
      </c>
      <c r="AI473" s="5">
        <f>IF(SUM(AP473:AQ473)&gt;0.3*AF473,1,0)</f>
      </c>
      <c r="AJ473" s="5">
        <f>IF(AQ473&gt;0.2*AF473,1,0)</f>
      </c>
      <c r="AK473" s="5">
        <f>IF(SUM(AR473:BC473)&gt;0.3*AF473,1,0)</f>
      </c>
      <c r="AL473" s="3"/>
      <c r="AM473" s="6">
        <f>(F473/100)*AM$41</f>
      </c>
      <c r="AN473" s="6">
        <f>(G473/100)*AN$41</f>
      </c>
      <c r="AO473" s="6">
        <f>(H473/1000000)*AO$41</f>
      </c>
      <c r="AP473" s="6">
        <f>(I473/100)*AP$41</f>
      </c>
      <c r="AQ473" s="6">
        <f>(J473/1000000)*AQ$41</f>
      </c>
      <c r="AR473" s="6">
        <f>(K473/100)*AR$41</f>
      </c>
      <c r="AS473" s="6">
        <f>(L473/100)*AS$41</f>
      </c>
      <c r="AT473" s="6">
        <f>(M473/100)*AT$41</f>
      </c>
      <c r="AU473" s="6">
        <f>(N473/100)*AU$41</f>
      </c>
      <c r="AV473" s="6">
        <f>(O473/1000000)*AV$41</f>
      </c>
      <c r="AW473" s="6">
        <f>(P473/100)*AW$41</f>
      </c>
      <c r="AX473" s="6">
        <f>(Q473/100)*AX$41</f>
      </c>
      <c r="AY473" s="6">
        <f>(R473/100)*AY$41</f>
      </c>
      <c r="AZ473" s="6">
        <f>(S473/100)*AZ$41</f>
      </c>
      <c r="BA473" s="6">
        <f>(T473/100)*BA$41</f>
      </c>
      <c r="BB473" s="6">
        <f>(U473/100)*BB$41</f>
      </c>
      <c r="BC473" s="6"/>
      <c r="BD473" s="3"/>
      <c r="BE473" s="3"/>
      <c r="BF473" s="7">
        <f>AF473*E473</f>
      </c>
      <c r="BG473" s="6"/>
      <c r="BH473" s="3"/>
      <c r="BI473" s="6"/>
    </row>
    <row x14ac:dyDescent="0.25" r="474" customHeight="1" ht="12.75">
      <c r="A474" s="5" t="s">
        <v>736</v>
      </c>
      <c r="B474" s="38" t="s">
        <v>859</v>
      </c>
      <c r="C474" s="43" t="s">
        <v>866</v>
      </c>
      <c r="D474" s="34" t="s">
        <v>989</v>
      </c>
      <c r="E474" s="7">
        <v>3</v>
      </c>
      <c r="F474" s="6">
        <v>0.6</v>
      </c>
      <c r="G474" s="6">
        <v>4.3</v>
      </c>
      <c r="H474" s="5">
        <v>11</v>
      </c>
      <c r="I474" s="6"/>
      <c r="J474" s="6"/>
      <c r="K474" s="7"/>
      <c r="L474" s="6"/>
      <c r="M474" s="6"/>
      <c r="N474" s="23"/>
      <c r="O474" s="5"/>
      <c r="P474" s="6"/>
      <c r="Q474" s="6"/>
      <c r="R474" s="6"/>
      <c r="S474" s="6"/>
      <c r="T474" s="6"/>
      <c r="U474" s="6"/>
      <c r="V474" s="5"/>
      <c r="W474" s="6"/>
      <c r="X474" s="6">
        <f>E474*F474/100</f>
      </c>
      <c r="Y474" s="6">
        <f>E474*G474/100</f>
      </c>
      <c r="Z474" s="7">
        <f>E474*H474</f>
      </c>
      <c r="AA474" s="7">
        <f>E474*J474</f>
      </c>
      <c r="AB474" s="6">
        <f>E474*I474/100</f>
      </c>
      <c r="AC474" s="15">
        <f>X474+Y474+AB474</f>
      </c>
      <c r="AD474" s="6">
        <f>F474+G474+I474</f>
      </c>
      <c r="AE474" s="3"/>
      <c r="AF474" s="6">
        <f>SUM(AM474:BC474)</f>
      </c>
      <c r="AG474" s="5">
        <f>IF(SUM(AM474:AO474)&gt;0.7*AF474,1,0)</f>
      </c>
      <c r="AH474" s="5">
        <f>IF(AN474&gt;0.4*AF474,1,0)</f>
      </c>
      <c r="AI474" s="5">
        <f>IF(SUM(AP474:AQ474)&gt;0.3*AF474,1,0)</f>
      </c>
      <c r="AJ474" s="5">
        <f>IF(AQ474&gt;0.2*AF474,1,0)</f>
      </c>
      <c r="AK474" s="5">
        <f>IF(SUM(AR474:BC474)&gt;0.3*AF474,1,0)</f>
      </c>
      <c r="AL474" s="3"/>
      <c r="AM474" s="6">
        <f>(F474/100)*AM$41</f>
      </c>
      <c r="AN474" s="6">
        <f>(G474/100)*AN$41</f>
      </c>
      <c r="AO474" s="6">
        <f>(H474/1000000)*AO$41</f>
      </c>
      <c r="AP474" s="6">
        <f>(I474/100)*AP$41</f>
      </c>
      <c r="AQ474" s="6">
        <f>(J474/1000000)*AQ$41</f>
      </c>
      <c r="AR474" s="6">
        <f>(K474/100)*AR$41</f>
      </c>
      <c r="AS474" s="6">
        <f>(L474/100)*AS$41</f>
      </c>
      <c r="AT474" s="6">
        <f>(M474/100)*AT$41</f>
      </c>
      <c r="AU474" s="6">
        <f>(N474/100)*AU$41</f>
      </c>
      <c r="AV474" s="6">
        <f>(O474/1000000)*AV$41</f>
      </c>
      <c r="AW474" s="6">
        <f>(P474/100)*AW$41</f>
      </c>
      <c r="AX474" s="6">
        <f>(Q474/100)*AX$41</f>
      </c>
      <c r="AY474" s="6">
        <f>(R474/100)*AY$41</f>
      </c>
      <c r="AZ474" s="6">
        <f>(S474/100)*AZ$41</f>
      </c>
      <c r="BA474" s="6">
        <f>(T474/100)*BA$41</f>
      </c>
      <c r="BB474" s="6">
        <f>(U474/100)*BB$41</f>
      </c>
      <c r="BC474" s="6"/>
      <c r="BD474" s="3"/>
      <c r="BE474" s="3"/>
      <c r="BF474" s="7">
        <f>AF474*E474</f>
      </c>
      <c r="BG474" s="6"/>
      <c r="BH474" s="3"/>
      <c r="BI474" s="6"/>
    </row>
    <row x14ac:dyDescent="0.25" r="475" customHeight="1" ht="12.75">
      <c r="A475" s="5" t="s">
        <v>768</v>
      </c>
      <c r="B475" s="38" t="s">
        <v>859</v>
      </c>
      <c r="C475" s="43" t="s">
        <v>866</v>
      </c>
      <c r="D475" s="34" t="s">
        <v>1001</v>
      </c>
      <c r="E475" s="5">
        <v>5</v>
      </c>
      <c r="F475" s="6">
        <v>2.3</v>
      </c>
      <c r="G475" s="6">
        <v>0.6</v>
      </c>
      <c r="H475" s="5">
        <v>7</v>
      </c>
      <c r="I475" s="6"/>
      <c r="J475" s="6"/>
      <c r="K475" s="7"/>
      <c r="L475" s="6"/>
      <c r="M475" s="6"/>
      <c r="N475" s="23"/>
      <c r="O475" s="5"/>
      <c r="P475" s="6"/>
      <c r="Q475" s="6"/>
      <c r="R475" s="6"/>
      <c r="S475" s="6"/>
      <c r="T475" s="6"/>
      <c r="U475" s="6"/>
      <c r="V475" s="5"/>
      <c r="W475" s="6"/>
      <c r="X475" s="6">
        <f>E475*F475/100</f>
      </c>
      <c r="Y475" s="6">
        <f>E475*G475/100</f>
      </c>
      <c r="Z475" s="7">
        <f>E475*H475</f>
      </c>
      <c r="AA475" s="7">
        <f>E475*J475</f>
      </c>
      <c r="AB475" s="6">
        <f>E475*I475/100</f>
      </c>
      <c r="AC475" s="15">
        <f>X475+Y475+AB475</f>
      </c>
      <c r="AD475" s="6">
        <f>F475+G475+I475</f>
      </c>
      <c r="AE475" s="3"/>
      <c r="AF475" s="6">
        <f>SUM(AM475:BC475)</f>
      </c>
      <c r="AG475" s="5">
        <f>IF(SUM(AM475:AO475)&gt;0.7*AF475,1,0)</f>
      </c>
      <c r="AH475" s="5">
        <f>IF(AN475&gt;0.4*AF475,1,0)</f>
      </c>
      <c r="AI475" s="5">
        <f>IF(SUM(AP475:AQ475)&gt;0.3*AF475,1,0)</f>
      </c>
      <c r="AJ475" s="5">
        <f>IF(AQ475&gt;0.2*AF475,1,0)</f>
      </c>
      <c r="AK475" s="5">
        <f>IF(SUM(AR475:BC475)&gt;0.3*AF475,1,0)</f>
      </c>
      <c r="AL475" s="3"/>
      <c r="AM475" s="6">
        <f>(F475/100)*AM$41</f>
      </c>
      <c r="AN475" s="6">
        <f>(G475/100)*AN$41</f>
      </c>
      <c r="AO475" s="6">
        <f>(H475/1000000)*AO$41</f>
      </c>
      <c r="AP475" s="6">
        <f>(I475/100)*AP$41</f>
      </c>
      <c r="AQ475" s="6">
        <f>(J475/1000000)*AQ$41</f>
      </c>
      <c r="AR475" s="6">
        <f>(K475/100)*AR$41</f>
      </c>
      <c r="AS475" s="6">
        <f>(L475/100)*AS$41</f>
      </c>
      <c r="AT475" s="6">
        <f>(M475/100)*AT$41</f>
      </c>
      <c r="AU475" s="6">
        <f>(N475/100)*AU$41</f>
      </c>
      <c r="AV475" s="6">
        <f>(O475/1000000)*AV$41</f>
      </c>
      <c r="AW475" s="6">
        <f>(P475/100)*AW$41</f>
      </c>
      <c r="AX475" s="6">
        <f>(Q475/100)*AX$41</f>
      </c>
      <c r="AY475" s="6">
        <f>(R475/100)*AY$41</f>
      </c>
      <c r="AZ475" s="6">
        <f>(S475/100)*AZ$41</f>
      </c>
      <c r="BA475" s="6">
        <f>(T475/100)*BA$41</f>
      </c>
      <c r="BB475" s="6">
        <f>(U475/100)*BB$41</f>
      </c>
      <c r="BC475" s="6"/>
      <c r="BD475" s="3"/>
      <c r="BE475" s="3"/>
      <c r="BF475" s="7">
        <f>AF475*E475</f>
      </c>
      <c r="BG475" s="6"/>
      <c r="BH475" s="3"/>
      <c r="BI475" s="6"/>
    </row>
    <row x14ac:dyDescent="0.25" r="476" customHeight="1" ht="12.75">
      <c r="A476" s="5" t="s">
        <v>179</v>
      </c>
      <c r="B476" s="38" t="s">
        <v>859</v>
      </c>
      <c r="C476" s="43" t="s">
        <v>866</v>
      </c>
      <c r="D476" s="34" t="s">
        <v>989</v>
      </c>
      <c r="E476" s="5">
        <v>1</v>
      </c>
      <c r="F476" s="6"/>
      <c r="G476" s="5">
        <v>13</v>
      </c>
      <c r="H476" s="7"/>
      <c r="I476" s="6"/>
      <c r="J476" s="6"/>
      <c r="K476" s="7"/>
      <c r="L476" s="6"/>
      <c r="M476" s="6"/>
      <c r="N476" s="23"/>
      <c r="O476" s="5"/>
      <c r="P476" s="6"/>
      <c r="Q476" s="6"/>
      <c r="R476" s="6"/>
      <c r="S476" s="6"/>
      <c r="T476" s="6"/>
      <c r="U476" s="6"/>
      <c r="V476" s="5"/>
      <c r="W476" s="6"/>
      <c r="X476" s="6">
        <f>E476*F476/100</f>
      </c>
      <c r="Y476" s="6">
        <f>E476*G476/100</f>
      </c>
      <c r="Z476" s="7">
        <f>E476*H476</f>
      </c>
      <c r="AA476" s="7">
        <f>E476*J476</f>
      </c>
      <c r="AB476" s="6">
        <f>E476*I476/100</f>
      </c>
      <c r="AC476" s="15">
        <f>X476+Y476+AB476</f>
      </c>
      <c r="AD476" s="6">
        <f>F476+G476+I476</f>
      </c>
      <c r="AE476" s="3"/>
      <c r="AF476" s="6">
        <f>SUM(AM476:BC476)</f>
      </c>
      <c r="AG476" s="5">
        <f>IF(SUM(AM476:AO476)&gt;0.7*AF476,1,0)</f>
      </c>
      <c r="AH476" s="5">
        <f>IF(AN476&gt;0.4*AF476,1,0)</f>
      </c>
      <c r="AI476" s="5">
        <f>IF(SUM(AP476:AQ476)&gt;0.3*AF476,1,0)</f>
      </c>
      <c r="AJ476" s="5">
        <f>IF(AQ476&gt;0.2*AF476,1,0)</f>
      </c>
      <c r="AK476" s="5">
        <f>IF(SUM(AR476:BC476)&gt;0.3*AF476,1,0)</f>
      </c>
      <c r="AL476" s="3"/>
      <c r="AM476" s="6">
        <f>(F476/100)*AM$41</f>
      </c>
      <c r="AN476" s="6">
        <f>(G476/100)*AN$41</f>
      </c>
      <c r="AO476" s="6">
        <f>(H476/1000000)*AO$41</f>
      </c>
      <c r="AP476" s="6">
        <f>(I476/100)*AP$41</f>
      </c>
      <c r="AQ476" s="6">
        <f>(J476/1000000)*AQ$41</f>
      </c>
      <c r="AR476" s="6">
        <f>(K476/100)*AR$41</f>
      </c>
      <c r="AS476" s="6">
        <f>(L476/100)*AS$41</f>
      </c>
      <c r="AT476" s="6">
        <f>(M476/100)*AT$41</f>
      </c>
      <c r="AU476" s="6">
        <f>(N476/100)*AU$41</f>
      </c>
      <c r="AV476" s="6">
        <f>(O476/1000000)*AV$41</f>
      </c>
      <c r="AW476" s="6">
        <f>(P476/100)*AW$41</f>
      </c>
      <c r="AX476" s="6">
        <f>(Q476/100)*AX$41</f>
      </c>
      <c r="AY476" s="6">
        <f>(R476/100)*AY$41</f>
      </c>
      <c r="AZ476" s="6">
        <f>(S476/100)*AZ$41</f>
      </c>
      <c r="BA476" s="6">
        <f>(T476/100)*BA$41</f>
      </c>
      <c r="BB476" s="6">
        <f>(U476/100)*BB$41</f>
      </c>
      <c r="BC476" s="6"/>
      <c r="BD476" s="3"/>
      <c r="BE476" s="3"/>
      <c r="BF476" s="7">
        <f>AF476*E476</f>
      </c>
      <c r="BG476" s="6"/>
      <c r="BH476" s="3"/>
      <c r="BI476" s="6"/>
    </row>
    <row x14ac:dyDescent="0.25" r="477" customHeight="1" ht="12.75">
      <c r="A477" s="5" t="s">
        <v>328</v>
      </c>
      <c r="B477" s="38" t="s">
        <v>859</v>
      </c>
      <c r="C477" s="43" t="s">
        <v>866</v>
      </c>
      <c r="D477" s="34"/>
      <c r="E477" s="6">
        <v>1.25</v>
      </c>
      <c r="F477" s="6">
        <v>0.7</v>
      </c>
      <c r="G477" s="6">
        <v>9.4</v>
      </c>
      <c r="H477" s="7"/>
      <c r="I477" s="6"/>
      <c r="J477" s="6"/>
      <c r="K477" s="7"/>
      <c r="L477" s="6"/>
      <c r="M477" s="6"/>
      <c r="N477" s="23"/>
      <c r="O477" s="5"/>
      <c r="P477" s="6"/>
      <c r="Q477" s="6"/>
      <c r="R477" s="6"/>
      <c r="S477" s="6"/>
      <c r="T477" s="6"/>
      <c r="U477" s="6"/>
      <c r="V477" s="5"/>
      <c r="W477" s="6"/>
      <c r="X477" s="6">
        <f>E477*F477/100</f>
      </c>
      <c r="Y477" s="6">
        <f>E477*G477/100</f>
      </c>
      <c r="Z477" s="7">
        <f>E477*H477</f>
      </c>
      <c r="AA477" s="7">
        <f>E477*J477</f>
      </c>
      <c r="AB477" s="6">
        <f>E477*I477/100</f>
      </c>
      <c r="AC477" s="15">
        <f>X477+Y477+AB477</f>
      </c>
      <c r="AD477" s="6">
        <f>F477+G477+I477</f>
      </c>
      <c r="AE477" s="3"/>
      <c r="AF477" s="6">
        <f>SUM(AM477:BC477)</f>
      </c>
      <c r="AG477" s="5">
        <f>IF(SUM(AM477:AO477)&gt;0.7*AF477,1,0)</f>
      </c>
      <c r="AH477" s="5">
        <f>IF(AN477&gt;0.4*AF477,1,0)</f>
      </c>
      <c r="AI477" s="5">
        <f>IF(SUM(AP477:AQ477)&gt;0.3*AF477,1,0)</f>
      </c>
      <c r="AJ477" s="5">
        <f>IF(AQ477&gt;0.2*AF477,1,0)</f>
      </c>
      <c r="AK477" s="5">
        <f>IF(SUM(AR477:BC477)&gt;0.3*AF477,1,0)</f>
      </c>
      <c r="AL477" s="3"/>
      <c r="AM477" s="6">
        <f>(F477/100)*AM$41</f>
      </c>
      <c r="AN477" s="6">
        <f>(G477/100)*AN$41</f>
      </c>
      <c r="AO477" s="6">
        <f>(H477/1000000)*AO$41</f>
      </c>
      <c r="AP477" s="6">
        <f>(I477/100)*AP$41</f>
      </c>
      <c r="AQ477" s="6">
        <f>(J477/1000000)*AQ$41</f>
      </c>
      <c r="AR477" s="6">
        <f>(K477/100)*AR$41</f>
      </c>
      <c r="AS477" s="6">
        <f>(L477/100)*AS$41</f>
      </c>
      <c r="AT477" s="6">
        <f>(M477/100)*AT$41</f>
      </c>
      <c r="AU477" s="6">
        <f>(N477/100)*AU$41</f>
      </c>
      <c r="AV477" s="6">
        <f>(O477/1000000)*AV$41</f>
      </c>
      <c r="AW477" s="6">
        <f>(P477/100)*AW$41</f>
      </c>
      <c r="AX477" s="6">
        <f>(Q477/100)*AX$41</f>
      </c>
      <c r="AY477" s="6">
        <f>(R477/100)*AY$41</f>
      </c>
      <c r="AZ477" s="6">
        <f>(S477/100)*AZ$41</f>
      </c>
      <c r="BA477" s="6">
        <f>(T477/100)*BA$41</f>
      </c>
      <c r="BB477" s="6">
        <f>(U477/100)*BB$41</f>
      </c>
      <c r="BC477" s="6"/>
      <c r="BD477" s="3"/>
      <c r="BE477" s="3"/>
      <c r="BF477" s="7">
        <f>AF477*E477</f>
      </c>
      <c r="BG477" s="6"/>
      <c r="BH477" s="3"/>
      <c r="BI477" s="6"/>
    </row>
    <row x14ac:dyDescent="0.25" r="478" customHeight="1" ht="12.75">
      <c r="A478" s="5" t="s">
        <v>485</v>
      </c>
      <c r="B478" s="38" t="s">
        <v>859</v>
      </c>
      <c r="C478" s="43" t="s">
        <v>866</v>
      </c>
      <c r="D478" s="34"/>
      <c r="E478" s="6">
        <v>1.5</v>
      </c>
      <c r="F478" s="6"/>
      <c r="G478" s="6">
        <v>7.9</v>
      </c>
      <c r="H478" s="5">
        <v>120</v>
      </c>
      <c r="I478" s="6"/>
      <c r="J478" s="6"/>
      <c r="K478" s="7"/>
      <c r="L478" s="6"/>
      <c r="M478" s="6"/>
      <c r="N478" s="23"/>
      <c r="O478" s="5"/>
      <c r="P478" s="6"/>
      <c r="Q478" s="6"/>
      <c r="R478" s="6"/>
      <c r="S478" s="6"/>
      <c r="T478" s="6"/>
      <c r="U478" s="6"/>
      <c r="V478" s="5"/>
      <c r="W478" s="6"/>
      <c r="X478" s="6">
        <f>E478*F478/100</f>
      </c>
      <c r="Y478" s="6">
        <f>E478*G478/100</f>
      </c>
      <c r="Z478" s="7">
        <f>E478*H478</f>
      </c>
      <c r="AA478" s="7">
        <f>E478*J478</f>
      </c>
      <c r="AB478" s="6">
        <f>E478*I478/100</f>
      </c>
      <c r="AC478" s="15">
        <f>X478+Y478+AB478</f>
      </c>
      <c r="AD478" s="6">
        <f>F478+G478+I478</f>
      </c>
      <c r="AE478" s="3"/>
      <c r="AF478" s="6">
        <f>SUM(AM478:BC478)</f>
      </c>
      <c r="AG478" s="5">
        <f>IF(SUM(AM478:AO478)&gt;0.7*AF478,1,0)</f>
      </c>
      <c r="AH478" s="5">
        <f>IF(AN478&gt;0.4*AF478,1,0)</f>
      </c>
      <c r="AI478" s="5">
        <f>IF(SUM(AP478:AQ478)&gt;0.3*AF478,1,0)</f>
      </c>
      <c r="AJ478" s="5">
        <f>IF(AQ478&gt;0.2*AF478,1,0)</f>
      </c>
      <c r="AK478" s="5">
        <f>IF(SUM(AR478:BC478)&gt;0.3*AF478,1,0)</f>
      </c>
      <c r="AL478" s="3"/>
      <c r="AM478" s="6">
        <f>(F478/100)*AM$41</f>
      </c>
      <c r="AN478" s="6">
        <f>(G478/100)*AN$41</f>
      </c>
      <c r="AO478" s="6">
        <f>(H478/1000000)*AO$41</f>
      </c>
      <c r="AP478" s="6">
        <f>(I478/100)*AP$41</f>
      </c>
      <c r="AQ478" s="6">
        <f>(J478/1000000)*AQ$41</f>
      </c>
      <c r="AR478" s="6">
        <f>(K478/100)*AR$41</f>
      </c>
      <c r="AS478" s="6">
        <f>(L478/100)*AS$41</f>
      </c>
      <c r="AT478" s="6">
        <f>(M478/100)*AT$41</f>
      </c>
      <c r="AU478" s="6">
        <f>(N478/100)*AU$41</f>
      </c>
      <c r="AV478" s="6">
        <f>(O478/1000000)*AV$41</f>
      </c>
      <c r="AW478" s="6">
        <f>(P478/100)*AW$41</f>
      </c>
      <c r="AX478" s="6">
        <f>(Q478/100)*AX$41</f>
      </c>
      <c r="AY478" s="6">
        <f>(R478/100)*AY$41</f>
      </c>
      <c r="AZ478" s="6">
        <f>(S478/100)*AZ$41</f>
      </c>
      <c r="BA478" s="6">
        <f>(T478/100)*BA$41</f>
      </c>
      <c r="BB478" s="6">
        <f>(U478/100)*BB$41</f>
      </c>
      <c r="BC478" s="6"/>
      <c r="BD478" s="3"/>
      <c r="BE478" s="3"/>
      <c r="BF478" s="7">
        <f>AF478*E478</f>
      </c>
      <c r="BG478" s="6"/>
      <c r="BH478" s="3"/>
      <c r="BI478" s="6"/>
    </row>
    <row x14ac:dyDescent="0.25" r="479" customHeight="1" ht="12.75">
      <c r="A479" s="5" t="s">
        <v>795</v>
      </c>
      <c r="B479" s="38" t="s">
        <v>859</v>
      </c>
      <c r="C479" s="43" t="s">
        <v>866</v>
      </c>
      <c r="D479" s="34" t="s">
        <v>989</v>
      </c>
      <c r="E479" s="6">
        <v>3.5</v>
      </c>
      <c r="F479" s="6">
        <v>1.1</v>
      </c>
      <c r="G479" s="6">
        <v>2.2</v>
      </c>
      <c r="H479" s="7"/>
      <c r="I479" s="6"/>
      <c r="J479" s="6"/>
      <c r="K479" s="7"/>
      <c r="L479" s="6"/>
      <c r="M479" s="6"/>
      <c r="N479" s="23"/>
      <c r="O479" s="5"/>
      <c r="P479" s="6"/>
      <c r="Q479" s="6"/>
      <c r="R479" s="6"/>
      <c r="S479" s="6"/>
      <c r="T479" s="6"/>
      <c r="U479" s="6"/>
      <c r="V479" s="5"/>
      <c r="W479" s="6"/>
      <c r="X479" s="6">
        <f>E479*F479/100</f>
      </c>
      <c r="Y479" s="6">
        <f>E479*G479/100</f>
      </c>
      <c r="Z479" s="7">
        <f>E479*H479</f>
      </c>
      <c r="AA479" s="7">
        <f>E479*J479</f>
      </c>
      <c r="AB479" s="6">
        <f>E479*I479/100</f>
      </c>
      <c r="AC479" s="15">
        <f>X479+Y479+AB479</f>
      </c>
      <c r="AD479" s="6">
        <f>F479+G479+I479</f>
      </c>
      <c r="AE479" s="3"/>
      <c r="AF479" s="6">
        <f>SUM(AM479:BC479)</f>
      </c>
      <c r="AG479" s="5">
        <f>IF(SUM(AM479:AO479)&gt;0.7*AF479,1,0)</f>
      </c>
      <c r="AH479" s="5">
        <f>IF(AN479&gt;0.4*AF479,1,0)</f>
      </c>
      <c r="AI479" s="5">
        <f>IF(SUM(AP479:AQ479)&gt;0.3*AF479,1,0)</f>
      </c>
      <c r="AJ479" s="5">
        <f>IF(AQ479&gt;0.2*AF479,1,0)</f>
      </c>
      <c r="AK479" s="5">
        <f>IF(SUM(AR479:BC479)&gt;0.3*AF479,1,0)</f>
      </c>
      <c r="AL479" s="3"/>
      <c r="AM479" s="6">
        <f>(F479/100)*AM$41</f>
      </c>
      <c r="AN479" s="6">
        <f>(G479/100)*AN$41</f>
      </c>
      <c r="AO479" s="6">
        <f>(H479/1000000)*AO$41</f>
      </c>
      <c r="AP479" s="6">
        <f>(I479/100)*AP$41</f>
      </c>
      <c r="AQ479" s="6">
        <f>(J479/1000000)*AQ$41</f>
      </c>
      <c r="AR479" s="6">
        <f>(K479/100)*AR$41</f>
      </c>
      <c r="AS479" s="6">
        <f>(L479/100)*AS$41</f>
      </c>
      <c r="AT479" s="6">
        <f>(M479/100)*AT$41</f>
      </c>
      <c r="AU479" s="6">
        <f>(N479/100)*AU$41</f>
      </c>
      <c r="AV479" s="6">
        <f>(O479/1000000)*AV$41</f>
      </c>
      <c r="AW479" s="6">
        <f>(P479/100)*AW$41</f>
      </c>
      <c r="AX479" s="6">
        <f>(Q479/100)*AX$41</f>
      </c>
      <c r="AY479" s="6">
        <f>(R479/100)*AY$41</f>
      </c>
      <c r="AZ479" s="6">
        <f>(S479/100)*AZ$41</f>
      </c>
      <c r="BA479" s="6">
        <f>(T479/100)*BA$41</f>
      </c>
      <c r="BB479" s="6">
        <f>(U479/100)*BB$41</f>
      </c>
      <c r="BC479" s="6"/>
      <c r="BD479" s="3"/>
      <c r="BE479" s="3"/>
      <c r="BF479" s="7">
        <f>AF479*E479</f>
      </c>
      <c r="BG479" s="6"/>
      <c r="BH479" s="3"/>
      <c r="BI479" s="6"/>
    </row>
    <row x14ac:dyDescent="0.25" r="480" customHeight="1" ht="12.75">
      <c r="A480" s="5" t="s">
        <v>552</v>
      </c>
      <c r="B480" s="38" t="s">
        <v>859</v>
      </c>
      <c r="C480" s="43" t="s">
        <v>866</v>
      </c>
      <c r="D480" s="34" t="s">
        <v>988</v>
      </c>
      <c r="E480" s="6">
        <v>1.5</v>
      </c>
      <c r="F480" s="6">
        <v>3.5</v>
      </c>
      <c r="G480" s="6">
        <v>3.5</v>
      </c>
      <c r="H480" s="5">
        <v>60</v>
      </c>
      <c r="I480" s="6"/>
      <c r="J480" s="6"/>
      <c r="K480" s="7"/>
      <c r="L480" s="6"/>
      <c r="M480" s="6"/>
      <c r="N480" s="23"/>
      <c r="O480" s="5"/>
      <c r="P480" s="6"/>
      <c r="Q480" s="6"/>
      <c r="R480" s="6"/>
      <c r="S480" s="6"/>
      <c r="T480" s="6"/>
      <c r="U480" s="6"/>
      <c r="V480" s="5"/>
      <c r="W480" s="6"/>
      <c r="X480" s="6">
        <f>E480*F480/100</f>
      </c>
      <c r="Y480" s="6">
        <f>E480*G480/100</f>
      </c>
      <c r="Z480" s="7">
        <f>E480*H480</f>
      </c>
      <c r="AA480" s="7">
        <f>E480*J480</f>
      </c>
      <c r="AB480" s="6">
        <f>E480*I480/100</f>
      </c>
      <c r="AC480" s="15">
        <f>X480+Y480+AB480</f>
      </c>
      <c r="AD480" s="6">
        <f>F480+G480+I480</f>
      </c>
      <c r="AE480" s="3"/>
      <c r="AF480" s="6">
        <f>SUM(AM480:BC480)</f>
      </c>
      <c r="AG480" s="5">
        <f>IF(SUM(AM480:AO480)&gt;0.7*AF480,1,0)</f>
      </c>
      <c r="AH480" s="5">
        <f>IF(AN480&gt;0.4*AF480,1,0)</f>
      </c>
      <c r="AI480" s="5">
        <f>IF(SUM(AP480:AQ480)&gt;0.3*AF480,1,0)</f>
      </c>
      <c r="AJ480" s="5">
        <f>IF(AQ480&gt;0.2*AF480,1,0)</f>
      </c>
      <c r="AK480" s="5">
        <f>IF(SUM(AR480:BC480)&gt;0.3*AF480,1,0)</f>
      </c>
      <c r="AL480" s="3"/>
      <c r="AM480" s="6">
        <f>(F480/100)*AM$41</f>
      </c>
      <c r="AN480" s="6">
        <f>(G480/100)*AN$41</f>
      </c>
      <c r="AO480" s="6">
        <f>(H480/1000000)*AO$41</f>
      </c>
      <c r="AP480" s="6">
        <f>(I480/100)*AP$41</f>
      </c>
      <c r="AQ480" s="6">
        <f>(J480/1000000)*AQ$41</f>
      </c>
      <c r="AR480" s="6">
        <f>(K480/100)*AR$41</f>
      </c>
      <c r="AS480" s="6">
        <f>(L480/100)*AS$41</f>
      </c>
      <c r="AT480" s="6">
        <f>(M480/100)*AT$41</f>
      </c>
      <c r="AU480" s="6">
        <f>(N480/100)*AU$41</f>
      </c>
      <c r="AV480" s="6">
        <f>(O480/1000000)*AV$41</f>
      </c>
      <c r="AW480" s="6">
        <f>(P480/100)*AW$41</f>
      </c>
      <c r="AX480" s="6">
        <f>(Q480/100)*AX$41</f>
      </c>
      <c r="AY480" s="6">
        <f>(R480/100)*AY$41</f>
      </c>
      <c r="AZ480" s="6">
        <f>(S480/100)*AZ$41</f>
      </c>
      <c r="BA480" s="6">
        <f>(T480/100)*BA$41</f>
      </c>
      <c r="BB480" s="6">
        <f>(U480/100)*BB$41</f>
      </c>
      <c r="BC480" s="6"/>
      <c r="BD480" s="3"/>
      <c r="BE480" s="3"/>
      <c r="BF480" s="7">
        <f>AF480*E480</f>
      </c>
      <c r="BG480" s="6"/>
      <c r="BH480" s="3"/>
      <c r="BI480" s="6"/>
    </row>
    <row x14ac:dyDescent="0.25" r="481" customHeight="1" ht="12.75">
      <c r="A481" s="5" t="s">
        <v>804</v>
      </c>
      <c r="B481" s="38" t="s">
        <v>859</v>
      </c>
      <c r="C481" s="43" t="s">
        <v>866</v>
      </c>
      <c r="D481" s="34" t="s">
        <v>994</v>
      </c>
      <c r="E481" s="23">
        <v>2.7213</v>
      </c>
      <c r="F481" s="6">
        <v>3.66</v>
      </c>
      <c r="G481" s="6"/>
      <c r="H481" s="6">
        <v>36.3</v>
      </c>
      <c r="I481" s="6"/>
      <c r="J481" s="6"/>
      <c r="K481" s="7"/>
      <c r="L481" s="6"/>
      <c r="M481" s="6"/>
      <c r="N481" s="23"/>
      <c r="O481" s="5"/>
      <c r="P481" s="6"/>
      <c r="Q481" s="6"/>
      <c r="R481" s="6"/>
      <c r="S481" s="6"/>
      <c r="T481" s="6"/>
      <c r="U481" s="6"/>
      <c r="V481" s="5"/>
      <c r="W481" s="6"/>
      <c r="X481" s="6">
        <f>E481*F481/100</f>
      </c>
      <c r="Y481" s="6">
        <f>E481*G481/100</f>
      </c>
      <c r="Z481" s="7">
        <f>E481*H481</f>
      </c>
      <c r="AA481" s="7">
        <f>E481*J481</f>
      </c>
      <c r="AB481" s="6">
        <f>E481*I481/100</f>
      </c>
      <c r="AC481" s="15">
        <f>X481+Y481+AB481</f>
      </c>
      <c r="AD481" s="6">
        <f>F481+G481+I481</f>
      </c>
      <c r="AE481" s="3"/>
      <c r="AF481" s="6">
        <f>SUM(AM481:BC481)</f>
      </c>
      <c r="AG481" s="5">
        <f>IF(SUM(AM481:AO481)&gt;0.7*AF481,1,0)</f>
      </c>
      <c r="AH481" s="5">
        <f>IF(AN481&gt;0.4*AF481,1,0)</f>
      </c>
      <c r="AI481" s="5">
        <f>IF(SUM(AP481:AQ481)&gt;0.3*AF481,1,0)</f>
      </c>
      <c r="AJ481" s="5">
        <f>IF(AQ481&gt;0.2*AF481,1,0)</f>
      </c>
      <c r="AK481" s="5">
        <f>IF(SUM(AR481:BC481)&gt;0.3*AF481,1,0)</f>
      </c>
      <c r="AL481" s="3"/>
      <c r="AM481" s="6">
        <f>(F481/100)*AM$41</f>
      </c>
      <c r="AN481" s="6">
        <f>(G481/100)*AN$41</f>
      </c>
      <c r="AO481" s="6">
        <f>(H481/1000000)*AO$41</f>
      </c>
      <c r="AP481" s="6">
        <f>(I481/100)*AP$41</f>
      </c>
      <c r="AQ481" s="6">
        <f>(J481/1000000)*AQ$41</f>
      </c>
      <c r="AR481" s="6">
        <f>(K481/100)*AR$41</f>
      </c>
      <c r="AS481" s="6">
        <f>(L481/100)*AS$41</f>
      </c>
      <c r="AT481" s="6">
        <f>(M481/100)*AT$41</f>
      </c>
      <c r="AU481" s="6">
        <f>(N481/100)*AU$41</f>
      </c>
      <c r="AV481" s="6">
        <f>(O481/1000000)*AV$41</f>
      </c>
      <c r="AW481" s="6">
        <f>(P481/100)*AW$41</f>
      </c>
      <c r="AX481" s="6">
        <f>(Q481/100)*AX$41</f>
      </c>
      <c r="AY481" s="6">
        <f>(R481/100)*AY$41</f>
      </c>
      <c r="AZ481" s="6">
        <f>(S481/100)*AZ$41</f>
      </c>
      <c r="BA481" s="6">
        <f>(T481/100)*BA$41</f>
      </c>
      <c r="BB481" s="6">
        <f>(U481/100)*BB$41</f>
      </c>
      <c r="BC481" s="6"/>
      <c r="BD481" s="3"/>
      <c r="BE481" s="3"/>
      <c r="BF481" s="7">
        <f>AF481*E481</f>
      </c>
      <c r="BG481" s="6"/>
      <c r="BH481" s="3"/>
      <c r="BI481" s="6"/>
    </row>
    <row x14ac:dyDescent="0.25" r="482" customHeight="1" ht="12.75">
      <c r="A482" s="5" t="s">
        <v>742</v>
      </c>
      <c r="B482" s="38" t="s">
        <v>859</v>
      </c>
      <c r="C482" s="43" t="s">
        <v>866</v>
      </c>
      <c r="D482" s="34" t="s">
        <v>989</v>
      </c>
      <c r="E482" s="6">
        <v>1.9</v>
      </c>
      <c r="F482" s="6">
        <v>1.2</v>
      </c>
      <c r="G482" s="6">
        <v>3.5</v>
      </c>
      <c r="H482" s="7"/>
      <c r="I482" s="6"/>
      <c r="J482" s="6"/>
      <c r="K482" s="7"/>
      <c r="L482" s="6"/>
      <c r="M482" s="6"/>
      <c r="N482" s="23"/>
      <c r="O482" s="5"/>
      <c r="P482" s="6"/>
      <c r="Q482" s="6"/>
      <c r="R482" s="6"/>
      <c r="S482" s="6"/>
      <c r="T482" s="6"/>
      <c r="U482" s="6"/>
      <c r="V482" s="5"/>
      <c r="W482" s="6"/>
      <c r="X482" s="6">
        <f>E482*F482/100</f>
      </c>
      <c r="Y482" s="6">
        <f>E482*G482/100</f>
      </c>
      <c r="Z482" s="7">
        <f>E482*H482</f>
      </c>
      <c r="AA482" s="7">
        <f>E482*J482</f>
      </c>
      <c r="AB482" s="6">
        <f>E482*I482/100</f>
      </c>
      <c r="AC482" s="15">
        <f>X482+Y482+AB482</f>
      </c>
      <c r="AD482" s="6">
        <f>F482+G482+I482</f>
      </c>
      <c r="AE482" s="3"/>
      <c r="AF482" s="6">
        <f>SUM(AM482:BC482)</f>
      </c>
      <c r="AG482" s="5">
        <f>IF(SUM(AM482:AO482)&gt;0.7*AF482,1,0)</f>
      </c>
      <c r="AH482" s="5">
        <f>IF(AN482&gt;0.4*AF482,1,0)</f>
      </c>
      <c r="AI482" s="5">
        <f>IF(SUM(AP482:AQ482)&gt;0.3*AF482,1,0)</f>
      </c>
      <c r="AJ482" s="5">
        <f>IF(AQ482&gt;0.2*AF482,1,0)</f>
      </c>
      <c r="AK482" s="5">
        <f>IF(SUM(AR482:BC482)&gt;0.3*AF482,1,0)</f>
      </c>
      <c r="AL482" s="3"/>
      <c r="AM482" s="6">
        <f>(F482/100)*AM$41</f>
      </c>
      <c r="AN482" s="6">
        <f>(G482/100)*AN$41</f>
      </c>
      <c r="AO482" s="6">
        <f>(H482/1000000)*AO$41</f>
      </c>
      <c r="AP482" s="6">
        <f>(I482/100)*AP$41</f>
      </c>
      <c r="AQ482" s="6">
        <f>(J482/1000000)*AQ$41</f>
      </c>
      <c r="AR482" s="6">
        <f>(K482/100)*AR$41</f>
      </c>
      <c r="AS482" s="6">
        <f>(L482/100)*AS$41</f>
      </c>
      <c r="AT482" s="6">
        <f>(M482/100)*AT$41</f>
      </c>
      <c r="AU482" s="6">
        <f>(N482/100)*AU$41</f>
      </c>
      <c r="AV482" s="6">
        <f>(O482/1000000)*AV$41</f>
      </c>
      <c r="AW482" s="6">
        <f>(P482/100)*AW$41</f>
      </c>
      <c r="AX482" s="6">
        <f>(Q482/100)*AX$41</f>
      </c>
      <c r="AY482" s="6">
        <f>(R482/100)*AY$41</f>
      </c>
      <c r="AZ482" s="6">
        <f>(S482/100)*AZ$41</f>
      </c>
      <c r="BA482" s="6">
        <f>(T482/100)*BA$41</f>
      </c>
      <c r="BB482" s="6">
        <f>(U482/100)*BB$41</f>
      </c>
      <c r="BC482" s="6"/>
      <c r="BD482" s="3"/>
      <c r="BE482" s="3"/>
      <c r="BF482" s="7">
        <f>AF482*E482</f>
      </c>
      <c r="BG482" s="6"/>
      <c r="BH482" s="3"/>
      <c r="BI482" s="6"/>
    </row>
    <row x14ac:dyDescent="0.25" r="483" customHeight="1" ht="12.75">
      <c r="A483" s="5" t="s">
        <v>673</v>
      </c>
      <c r="B483" s="38" t="s">
        <v>859</v>
      </c>
      <c r="C483" s="43" t="s">
        <v>866</v>
      </c>
      <c r="D483" s="34"/>
      <c r="E483" s="6">
        <v>1.5</v>
      </c>
      <c r="F483" s="6"/>
      <c r="G483" s="6">
        <v>5.7</v>
      </c>
      <c r="H483" s="7"/>
      <c r="I483" s="6"/>
      <c r="J483" s="6"/>
      <c r="K483" s="7"/>
      <c r="L483" s="6"/>
      <c r="M483" s="6"/>
      <c r="N483" s="23"/>
      <c r="O483" s="5"/>
      <c r="P483" s="6"/>
      <c r="Q483" s="6"/>
      <c r="R483" s="6"/>
      <c r="S483" s="6"/>
      <c r="T483" s="6"/>
      <c r="U483" s="6"/>
      <c r="V483" s="5"/>
      <c r="W483" s="6"/>
      <c r="X483" s="6">
        <f>E483*F483/100</f>
      </c>
      <c r="Y483" s="6">
        <f>E483*G483/100</f>
      </c>
      <c r="Z483" s="7">
        <f>E483*H483</f>
      </c>
      <c r="AA483" s="7">
        <f>E483*J483</f>
      </c>
      <c r="AB483" s="6">
        <f>E483*I483/100</f>
      </c>
      <c r="AC483" s="15">
        <f>X483+Y483+AB483</f>
      </c>
      <c r="AD483" s="6">
        <f>F483+G483+I483</f>
      </c>
      <c r="AE483" s="3"/>
      <c r="AF483" s="6">
        <f>SUM(AM483:BC483)</f>
      </c>
      <c r="AG483" s="5">
        <f>IF(SUM(AM483:AO483)&gt;0.7*AF483,1,0)</f>
      </c>
      <c r="AH483" s="5">
        <f>IF(AN483&gt;0.4*AF483,1,0)</f>
      </c>
      <c r="AI483" s="5">
        <f>IF(SUM(AP483:AQ483)&gt;0.3*AF483,1,0)</f>
      </c>
      <c r="AJ483" s="5">
        <f>IF(AQ483&gt;0.2*AF483,1,0)</f>
      </c>
      <c r="AK483" s="5">
        <f>IF(SUM(AR483:BC483)&gt;0.3*AF483,1,0)</f>
      </c>
      <c r="AL483" s="3"/>
      <c r="AM483" s="6">
        <f>(F483/100)*AM$41</f>
      </c>
      <c r="AN483" s="6">
        <f>(G483/100)*AN$41</f>
      </c>
      <c r="AO483" s="6">
        <f>(H483/1000000)*AO$41</f>
      </c>
      <c r="AP483" s="6">
        <f>(I483/100)*AP$41</f>
      </c>
      <c r="AQ483" s="6">
        <f>(J483/1000000)*AQ$41</f>
      </c>
      <c r="AR483" s="6">
        <f>(K483/100)*AR$41</f>
      </c>
      <c r="AS483" s="6">
        <f>(L483/100)*AS$41</f>
      </c>
      <c r="AT483" s="6">
        <f>(M483/100)*AT$41</f>
      </c>
      <c r="AU483" s="6">
        <f>(N483/100)*AU$41</f>
      </c>
      <c r="AV483" s="6">
        <f>(O483/1000000)*AV$41</f>
      </c>
      <c r="AW483" s="6">
        <f>(P483/100)*AW$41</f>
      </c>
      <c r="AX483" s="6">
        <f>(Q483/100)*AX$41</f>
      </c>
      <c r="AY483" s="6">
        <f>(R483/100)*AY$41</f>
      </c>
      <c r="AZ483" s="6">
        <f>(S483/100)*AZ$41</f>
      </c>
      <c r="BA483" s="6">
        <f>(T483/100)*BA$41</f>
      </c>
      <c r="BB483" s="6">
        <f>(U483/100)*BB$41</f>
      </c>
      <c r="BC483" s="6"/>
      <c r="BD483" s="3"/>
      <c r="BE483" s="3"/>
      <c r="BF483" s="7">
        <f>AF483*E483</f>
      </c>
      <c r="BG483" s="6"/>
      <c r="BH483" s="3"/>
      <c r="BI483" s="6"/>
    </row>
    <row x14ac:dyDescent="0.25" r="484" customHeight="1" ht="12.75">
      <c r="A484" s="5" t="s">
        <v>472</v>
      </c>
      <c r="B484" s="38" t="s">
        <v>859</v>
      </c>
      <c r="C484" s="43" t="s">
        <v>866</v>
      </c>
      <c r="D484" s="34" t="s">
        <v>988</v>
      </c>
      <c r="E484" s="5">
        <v>1</v>
      </c>
      <c r="F484" s="5">
        <v>6</v>
      </c>
      <c r="G484" s="5">
        <v>2</v>
      </c>
      <c r="H484" s="5">
        <v>50</v>
      </c>
      <c r="I484" s="6"/>
      <c r="J484" s="6"/>
      <c r="K484" s="7"/>
      <c r="L484" s="6"/>
      <c r="M484" s="6"/>
      <c r="N484" s="23"/>
      <c r="O484" s="5"/>
      <c r="P484" s="6"/>
      <c r="Q484" s="6"/>
      <c r="R484" s="6"/>
      <c r="S484" s="6"/>
      <c r="T484" s="6"/>
      <c r="U484" s="6"/>
      <c r="V484" s="5"/>
      <c r="W484" s="6"/>
      <c r="X484" s="6">
        <f>E484*F484/100</f>
      </c>
      <c r="Y484" s="6">
        <f>E484*G484/100</f>
      </c>
      <c r="Z484" s="7">
        <f>E484*H484</f>
      </c>
      <c r="AA484" s="7">
        <f>E484*J484</f>
      </c>
      <c r="AB484" s="6">
        <f>E484*I484/100</f>
      </c>
      <c r="AC484" s="15">
        <f>X484+Y484+AB484</f>
      </c>
      <c r="AD484" s="6">
        <f>F484+G484+I484</f>
      </c>
      <c r="AE484" s="3"/>
      <c r="AF484" s="6">
        <f>SUM(AM484:BC484)</f>
      </c>
      <c r="AG484" s="5">
        <f>IF(SUM(AM484:AO484)&gt;0.7*AF484,1,0)</f>
      </c>
      <c r="AH484" s="5">
        <f>IF(AN484&gt;0.4*AF484,1,0)</f>
      </c>
      <c r="AI484" s="5">
        <f>IF(SUM(AP484:AQ484)&gt;0.3*AF484,1,0)</f>
      </c>
      <c r="AJ484" s="5">
        <f>IF(AQ484&gt;0.2*AF484,1,0)</f>
      </c>
      <c r="AK484" s="5">
        <f>IF(SUM(AR484:BC484)&gt;0.3*AF484,1,0)</f>
      </c>
      <c r="AL484" s="3"/>
      <c r="AM484" s="6">
        <f>(F484/100)*AM$41</f>
      </c>
      <c r="AN484" s="6">
        <f>(G484/100)*AN$41</f>
      </c>
      <c r="AO484" s="6">
        <f>(H484/1000000)*AO$41</f>
      </c>
      <c r="AP484" s="6">
        <f>(I484/100)*AP$41</f>
      </c>
      <c r="AQ484" s="6">
        <f>(J484/1000000)*AQ$41</f>
      </c>
      <c r="AR484" s="6">
        <f>(K484/100)*AR$41</f>
      </c>
      <c r="AS484" s="6">
        <f>(L484/100)*AS$41</f>
      </c>
      <c r="AT484" s="6">
        <f>(M484/100)*AT$41</f>
      </c>
      <c r="AU484" s="6">
        <f>(N484/100)*AU$41</f>
      </c>
      <c r="AV484" s="6">
        <f>(O484/1000000)*AV$41</f>
      </c>
      <c r="AW484" s="6">
        <f>(P484/100)*AW$41</f>
      </c>
      <c r="AX484" s="6">
        <f>(Q484/100)*AX$41</f>
      </c>
      <c r="AY484" s="6">
        <f>(R484/100)*AY$41</f>
      </c>
      <c r="AZ484" s="6">
        <f>(S484/100)*AZ$41</f>
      </c>
      <c r="BA484" s="6">
        <f>(T484/100)*BA$41</f>
      </c>
      <c r="BB484" s="6">
        <f>(U484/100)*BB$41</f>
      </c>
      <c r="BC484" s="6"/>
      <c r="BD484" s="3"/>
      <c r="BE484" s="3"/>
      <c r="BF484" s="7">
        <f>AF484*E484</f>
      </c>
      <c r="BG484" s="6"/>
      <c r="BH484" s="3"/>
      <c r="BI484" s="6"/>
    </row>
    <row x14ac:dyDescent="0.25" r="485" customHeight="1" ht="12.75">
      <c r="A485" s="5" t="s">
        <v>774</v>
      </c>
      <c r="B485" s="38" t="s">
        <v>859</v>
      </c>
      <c r="C485" s="43" t="s">
        <v>866</v>
      </c>
      <c r="D485" s="34" t="s">
        <v>989</v>
      </c>
      <c r="E485" s="5">
        <v>4</v>
      </c>
      <c r="F485" s="5">
        <v>1</v>
      </c>
      <c r="G485" s="5">
        <v>1</v>
      </c>
      <c r="H485" s="7"/>
      <c r="I485" s="6"/>
      <c r="J485" s="6"/>
      <c r="K485" s="7"/>
      <c r="L485" s="6"/>
      <c r="M485" s="6"/>
      <c r="N485" s="23"/>
      <c r="O485" s="5"/>
      <c r="P485" s="6"/>
      <c r="Q485" s="6"/>
      <c r="R485" s="6"/>
      <c r="S485" s="6"/>
      <c r="T485" s="6"/>
      <c r="U485" s="6"/>
      <c r="V485" s="5">
        <v>25</v>
      </c>
      <c r="W485" s="6" t="s">
        <v>997</v>
      </c>
      <c r="X485" s="6">
        <f>E485*F485/100</f>
      </c>
      <c r="Y485" s="6">
        <f>E485*G485/100</f>
      </c>
      <c r="Z485" s="7">
        <f>E485*H485</f>
      </c>
      <c r="AA485" s="7">
        <f>E485*J485</f>
      </c>
      <c r="AB485" s="6">
        <f>E485*I485/100</f>
      </c>
      <c r="AC485" s="15">
        <f>X485+Y485+AB485</f>
      </c>
      <c r="AD485" s="6">
        <f>F485+G485+I485</f>
      </c>
      <c r="AE485" s="3"/>
      <c r="AF485" s="6">
        <f>SUM(AM485:BC485)</f>
      </c>
      <c r="AG485" s="5">
        <f>IF(SUM(AM485:AO485)&gt;0.7*AF485,1,0)</f>
      </c>
      <c r="AH485" s="5">
        <f>IF(AN485&gt;0.4*AF485,1,0)</f>
      </c>
      <c r="AI485" s="5">
        <f>IF(SUM(AP485:AQ485)&gt;0.3*AF485,1,0)</f>
      </c>
      <c r="AJ485" s="5">
        <f>IF(AQ485&gt;0.2*AF485,1,0)</f>
      </c>
      <c r="AK485" s="5">
        <f>IF(SUM(AR485:BC485)&gt;0.3*AF485,1,0)</f>
      </c>
      <c r="AL485" s="3"/>
      <c r="AM485" s="6">
        <f>(F485/100)*AM$41</f>
      </c>
      <c r="AN485" s="6">
        <f>(G485/100)*AN$41</f>
      </c>
      <c r="AO485" s="6">
        <f>(H485/1000000)*AO$41</f>
      </c>
      <c r="AP485" s="6">
        <f>(I485/100)*AP$41</f>
      </c>
      <c r="AQ485" s="6">
        <f>(J485/1000000)*AQ$41</f>
      </c>
      <c r="AR485" s="6">
        <f>(K485/100)*AR$41</f>
      </c>
      <c r="AS485" s="6">
        <f>(L485/100)*AS$41</f>
      </c>
      <c r="AT485" s="6">
        <f>(M485/100)*AT$41</f>
      </c>
      <c r="AU485" s="6">
        <f>(N485/100)*AU$41</f>
      </c>
      <c r="AV485" s="6">
        <f>(O485/1000000)*AV$41</f>
      </c>
      <c r="AW485" s="6">
        <f>(P485/100)*AW$41</f>
      </c>
      <c r="AX485" s="6">
        <f>(Q485/100)*AX$41</f>
      </c>
      <c r="AY485" s="6">
        <f>(R485/100)*AY$41</f>
      </c>
      <c r="AZ485" s="6">
        <f>(S485/100)*AZ$41</f>
      </c>
      <c r="BA485" s="6">
        <f>(T485/100)*BA$41</f>
      </c>
      <c r="BB485" s="6">
        <f>(U485/100)*BB$41</f>
      </c>
      <c r="BC485" s="6">
        <f>(V485/100)*350</f>
      </c>
      <c r="BD485" s="3" t="s">
        <v>998</v>
      </c>
      <c r="BE485" s="3"/>
      <c r="BF485" s="7">
        <f>AF485*E485</f>
      </c>
      <c r="BG485" s="6"/>
      <c r="BH485" s="3"/>
      <c r="BI485" s="6"/>
    </row>
    <row x14ac:dyDescent="0.25" r="486" customHeight="1" ht="12.75">
      <c r="A486" s="5" t="s">
        <v>763</v>
      </c>
      <c r="B486" s="38" t="s">
        <v>859</v>
      </c>
      <c r="C486" s="43" t="s">
        <v>866</v>
      </c>
      <c r="D486" s="34" t="s">
        <v>988</v>
      </c>
      <c r="E486" s="6">
        <v>1.8</v>
      </c>
      <c r="F486" s="6"/>
      <c r="G486" s="6">
        <v>4.4</v>
      </c>
      <c r="H486" s="7"/>
      <c r="I486" s="6"/>
      <c r="J486" s="6"/>
      <c r="K486" s="7"/>
      <c r="L486" s="6"/>
      <c r="M486" s="6"/>
      <c r="N486" s="23"/>
      <c r="O486" s="5"/>
      <c r="P486" s="6"/>
      <c r="Q486" s="6"/>
      <c r="R486" s="6"/>
      <c r="S486" s="6"/>
      <c r="T486" s="6"/>
      <c r="U486" s="6"/>
      <c r="V486" s="5"/>
      <c r="W486" s="6"/>
      <c r="X486" s="6">
        <f>E486*F486/100</f>
      </c>
      <c r="Y486" s="6">
        <f>E486*G486/100</f>
      </c>
      <c r="Z486" s="7">
        <f>E486*H486</f>
      </c>
      <c r="AA486" s="7">
        <f>E486*J486</f>
      </c>
      <c r="AB486" s="6">
        <f>E486*I486/100</f>
      </c>
      <c r="AC486" s="15">
        <f>X486+Y486+AB486</f>
      </c>
      <c r="AD486" s="6">
        <f>F486+G486+I486</f>
      </c>
      <c r="AE486" s="3"/>
      <c r="AF486" s="6">
        <f>SUM(AM486:BC486)</f>
      </c>
      <c r="AG486" s="5">
        <f>IF(SUM(AM486:AO486)&gt;0.7*AF486,1,0)</f>
      </c>
      <c r="AH486" s="5">
        <f>IF(AN486&gt;0.4*AF486,1,0)</f>
      </c>
      <c r="AI486" s="5">
        <f>IF(SUM(AP486:AQ486)&gt;0.3*AF486,1,0)</f>
      </c>
      <c r="AJ486" s="5">
        <f>IF(AQ486&gt;0.2*AF486,1,0)</f>
      </c>
      <c r="AK486" s="5">
        <f>IF(SUM(AR486:BC486)&gt;0.3*AF486,1,0)</f>
      </c>
      <c r="AL486" s="3"/>
      <c r="AM486" s="6">
        <f>(F486/100)*AM$41</f>
      </c>
      <c r="AN486" s="6">
        <f>(G486/100)*AN$41</f>
      </c>
      <c r="AO486" s="6">
        <f>(H486/1000000)*AO$41</f>
      </c>
      <c r="AP486" s="6">
        <f>(I486/100)*AP$41</f>
      </c>
      <c r="AQ486" s="6">
        <f>(J486/1000000)*AQ$41</f>
      </c>
      <c r="AR486" s="6">
        <f>(K486/100)*AR$41</f>
      </c>
      <c r="AS486" s="6">
        <f>(L486/100)*AS$41</f>
      </c>
      <c r="AT486" s="6">
        <f>(M486/100)*AT$41</f>
      </c>
      <c r="AU486" s="6">
        <f>(N486/100)*AU$41</f>
      </c>
      <c r="AV486" s="6">
        <f>(O486/1000000)*AV$41</f>
      </c>
      <c r="AW486" s="6">
        <f>(P486/100)*AW$41</f>
      </c>
      <c r="AX486" s="6">
        <f>(Q486/100)*AX$41</f>
      </c>
      <c r="AY486" s="6">
        <f>(R486/100)*AY$41</f>
      </c>
      <c r="AZ486" s="6">
        <f>(S486/100)*AZ$41</f>
      </c>
      <c r="BA486" s="6">
        <f>(T486/100)*BA$41</f>
      </c>
      <c r="BB486" s="6">
        <f>(U486/100)*BB$41</f>
      </c>
      <c r="BC486" s="6"/>
      <c r="BD486" s="3"/>
      <c r="BE486" s="3"/>
      <c r="BF486" s="7">
        <f>AF486*E486</f>
      </c>
      <c r="BG486" s="6"/>
      <c r="BH486" s="3"/>
      <c r="BI486" s="6"/>
    </row>
    <row x14ac:dyDescent="0.25" r="487" customHeight="1" ht="12.75">
      <c r="A487" s="5" t="s">
        <v>817</v>
      </c>
      <c r="B487" s="38" t="s">
        <v>859</v>
      </c>
      <c r="C487" s="43" t="s">
        <v>866</v>
      </c>
      <c r="D487" s="34" t="s">
        <v>988</v>
      </c>
      <c r="E487" s="6">
        <v>1.8</v>
      </c>
      <c r="F487" s="6">
        <v>0.58</v>
      </c>
      <c r="G487" s="6">
        <v>2.6</v>
      </c>
      <c r="H487" s="7"/>
      <c r="I487" s="6"/>
      <c r="J487" s="6"/>
      <c r="K487" s="7"/>
      <c r="L487" s="6"/>
      <c r="M487" s="6"/>
      <c r="N487" s="23"/>
      <c r="O487" s="5"/>
      <c r="P487" s="6"/>
      <c r="Q487" s="6"/>
      <c r="R487" s="6"/>
      <c r="S487" s="6"/>
      <c r="T487" s="6"/>
      <c r="U487" s="6"/>
      <c r="V487" s="5"/>
      <c r="W487" s="6"/>
      <c r="X487" s="6">
        <f>E487*F487/100</f>
      </c>
      <c r="Y487" s="6">
        <f>E487*G487/100</f>
      </c>
      <c r="Z487" s="7">
        <f>E487*H487</f>
      </c>
      <c r="AA487" s="7">
        <f>E487*J487</f>
      </c>
      <c r="AB487" s="6">
        <f>E487*I487/100</f>
      </c>
      <c r="AC487" s="15">
        <f>X487+Y487+AB487</f>
      </c>
      <c r="AD487" s="6">
        <f>F487+G487+I487</f>
      </c>
      <c r="AE487" s="3"/>
      <c r="AF487" s="6">
        <f>SUM(AM487:BC487)</f>
      </c>
      <c r="AG487" s="5">
        <f>IF(SUM(AM487:AO487)&gt;0.7*AF487,1,0)</f>
      </c>
      <c r="AH487" s="5">
        <f>IF(AN487&gt;0.4*AF487,1,0)</f>
      </c>
      <c r="AI487" s="5">
        <f>IF(SUM(AP487:AQ487)&gt;0.3*AF487,1,0)</f>
      </c>
      <c r="AJ487" s="5">
        <f>IF(AQ487&gt;0.2*AF487,1,0)</f>
      </c>
      <c r="AK487" s="5">
        <f>IF(SUM(AR487:BC487)&gt;0.3*AF487,1,0)</f>
      </c>
      <c r="AL487" s="3"/>
      <c r="AM487" s="6">
        <f>(F487/100)*AM$41</f>
      </c>
      <c r="AN487" s="6">
        <f>(G487/100)*AN$41</f>
      </c>
      <c r="AO487" s="6">
        <f>(H487/1000000)*AO$41</f>
      </c>
      <c r="AP487" s="6">
        <f>(I487/100)*AP$41</f>
      </c>
      <c r="AQ487" s="6">
        <f>(J487/1000000)*AQ$41</f>
      </c>
      <c r="AR487" s="6">
        <f>(K487/100)*AR$41</f>
      </c>
      <c r="AS487" s="6">
        <f>(L487/100)*AS$41</f>
      </c>
      <c r="AT487" s="6">
        <f>(M487/100)*AT$41</f>
      </c>
      <c r="AU487" s="6">
        <f>(N487/100)*AU$41</f>
      </c>
      <c r="AV487" s="6">
        <f>(O487/1000000)*AV$41</f>
      </c>
      <c r="AW487" s="6">
        <f>(P487/100)*AW$41</f>
      </c>
      <c r="AX487" s="6">
        <f>(Q487/100)*AX$41</f>
      </c>
      <c r="AY487" s="6">
        <f>(R487/100)*AY$41</f>
      </c>
      <c r="AZ487" s="6">
        <f>(S487/100)*AZ$41</f>
      </c>
      <c r="BA487" s="6">
        <f>(T487/100)*BA$41</f>
      </c>
      <c r="BB487" s="6">
        <f>(U487/100)*BB$41</f>
      </c>
      <c r="BC487" s="6"/>
      <c r="BD487" s="3"/>
      <c r="BE487" s="3"/>
      <c r="BF487" s="7">
        <f>AF487*E487</f>
      </c>
      <c r="BG487" s="6"/>
      <c r="BH487" s="3"/>
      <c r="BI487" s="6"/>
    </row>
    <row x14ac:dyDescent="0.25" r="488" customHeight="1" ht="12.75">
      <c r="A488" s="5" t="s">
        <v>692</v>
      </c>
      <c r="B488" s="38" t="s">
        <v>859</v>
      </c>
      <c r="C488" s="43" t="s">
        <v>866</v>
      </c>
      <c r="D488" s="34" t="s">
        <v>989</v>
      </c>
      <c r="E488" s="5">
        <v>1</v>
      </c>
      <c r="F488" s="7">
        <v>2</v>
      </c>
      <c r="G488" s="6">
        <v>3.5</v>
      </c>
      <c r="H488" s="5">
        <v>14</v>
      </c>
      <c r="I488" s="6"/>
      <c r="J488" s="6"/>
      <c r="K488" s="7"/>
      <c r="L488" s="6"/>
      <c r="M488" s="6"/>
      <c r="N488" s="23"/>
      <c r="O488" s="5"/>
      <c r="P488" s="6"/>
      <c r="Q488" s="6"/>
      <c r="R488" s="6"/>
      <c r="S488" s="6"/>
      <c r="T488" s="6"/>
      <c r="U488" s="6"/>
      <c r="V488" s="5"/>
      <c r="W488" s="6"/>
      <c r="X488" s="6">
        <f>E488*F488/100</f>
      </c>
      <c r="Y488" s="6">
        <f>E488*G488/100</f>
      </c>
      <c r="Z488" s="7">
        <f>E488*H488</f>
      </c>
      <c r="AA488" s="7">
        <f>E488*J488</f>
      </c>
      <c r="AB488" s="6">
        <f>E488*I488/100</f>
      </c>
      <c r="AC488" s="15">
        <f>X488+Y488+AB488</f>
      </c>
      <c r="AD488" s="6">
        <f>F488+G488+I488</f>
      </c>
      <c r="AE488" s="3"/>
      <c r="AF488" s="6">
        <f>SUM(AM488:BC488)</f>
      </c>
      <c r="AG488" s="5">
        <f>IF(SUM(AM488:AO488)&gt;0.7*AF488,1,0)</f>
      </c>
      <c r="AH488" s="5">
        <f>IF(AN488&gt;0.4*AF488,1,0)</f>
      </c>
      <c r="AI488" s="5">
        <f>IF(SUM(AP488:AQ488)&gt;0.3*AF488,1,0)</f>
      </c>
      <c r="AJ488" s="5">
        <f>IF(AQ488&gt;0.2*AF488,1,0)</f>
      </c>
      <c r="AK488" s="5">
        <f>IF(SUM(AR488:BC488)&gt;0.3*AF488,1,0)</f>
      </c>
      <c r="AL488" s="3"/>
      <c r="AM488" s="6">
        <f>(F488/100)*AM$41</f>
      </c>
      <c r="AN488" s="6">
        <f>(G488/100)*AN$41</f>
      </c>
      <c r="AO488" s="6">
        <f>(H488/1000000)*AO$41</f>
      </c>
      <c r="AP488" s="6">
        <f>(I488/100)*AP$41</f>
      </c>
      <c r="AQ488" s="6">
        <f>(J488/1000000)*AQ$41</f>
      </c>
      <c r="AR488" s="6">
        <f>(K488/100)*AR$41</f>
      </c>
      <c r="AS488" s="6">
        <f>(L488/100)*AS$41</f>
      </c>
      <c r="AT488" s="6">
        <f>(M488/100)*AT$41</f>
      </c>
      <c r="AU488" s="6">
        <f>(N488/100)*AU$41</f>
      </c>
      <c r="AV488" s="6">
        <f>(O488/1000000)*AV$41</f>
      </c>
      <c r="AW488" s="6">
        <f>(P488/100)*AW$41</f>
      </c>
      <c r="AX488" s="6">
        <f>(Q488/100)*AX$41</f>
      </c>
      <c r="AY488" s="6">
        <f>(R488/100)*AY$41</f>
      </c>
      <c r="AZ488" s="6">
        <f>(S488/100)*AZ$41</f>
      </c>
      <c r="BA488" s="6">
        <f>(T488/100)*BA$41</f>
      </c>
      <c r="BB488" s="6">
        <f>(U488/100)*BB$41</f>
      </c>
      <c r="BC488" s="6"/>
      <c r="BD488" s="3"/>
      <c r="BE488" s="3"/>
      <c r="BF488" s="7">
        <f>AF488*E488</f>
      </c>
      <c r="BG488" s="6"/>
      <c r="BH488" s="3"/>
      <c r="BI488" s="6"/>
    </row>
    <row x14ac:dyDescent="0.25" r="489" customHeight="1" ht="12.75">
      <c r="A489" s="5" t="s">
        <v>516</v>
      </c>
      <c r="B489" s="38" t="s">
        <v>859</v>
      </c>
      <c r="C489" s="43" t="s">
        <v>866</v>
      </c>
      <c r="D489" s="34" t="s">
        <v>989</v>
      </c>
      <c r="E489" s="23">
        <v>0.895512</v>
      </c>
      <c r="F489" s="6">
        <v>2.1</v>
      </c>
      <c r="G489" s="6">
        <v>3.4</v>
      </c>
      <c r="H489" s="5">
        <v>191</v>
      </c>
      <c r="I489" s="6"/>
      <c r="J489" s="6">
        <v>0.8</v>
      </c>
      <c r="K489" s="7"/>
      <c r="L489" s="6"/>
      <c r="M489" s="6"/>
      <c r="N489" s="23"/>
      <c r="O489" s="5"/>
      <c r="P489" s="6"/>
      <c r="Q489" s="6"/>
      <c r="R489" s="6"/>
      <c r="S489" s="6"/>
      <c r="T489" s="6"/>
      <c r="U489" s="6"/>
      <c r="V489" s="5"/>
      <c r="W489" s="6"/>
      <c r="X489" s="6">
        <f>E489*F489/100</f>
      </c>
      <c r="Y489" s="6">
        <f>E489*G489/100</f>
      </c>
      <c r="Z489" s="7">
        <f>E489*H489</f>
      </c>
      <c r="AA489" s="7">
        <f>E489*J489</f>
      </c>
      <c r="AB489" s="6">
        <f>E489*I489/100</f>
      </c>
      <c r="AC489" s="15">
        <f>X489+Y489+AB489</f>
      </c>
      <c r="AD489" s="6">
        <f>F489+G489+I489</f>
      </c>
      <c r="AE489" s="3"/>
      <c r="AF489" s="6">
        <f>SUM(AM489:BC489)</f>
      </c>
      <c r="AG489" s="5">
        <f>IF(SUM(AM489:AO489)&gt;0.7*AF489,1,0)</f>
      </c>
      <c r="AH489" s="5">
        <f>IF(AN489&gt;0.4*AF489,1,0)</f>
      </c>
      <c r="AI489" s="5">
        <f>IF(SUM(AP489:AQ489)&gt;0.3*AF489,1,0)</f>
      </c>
      <c r="AJ489" s="5">
        <f>IF(AQ489&gt;0.2*AF489,1,0)</f>
      </c>
      <c r="AK489" s="5">
        <f>IF(SUM(AR489:BC489)&gt;0.3*AF489,1,0)</f>
      </c>
      <c r="AL489" s="3"/>
      <c r="AM489" s="6">
        <f>(F489/100)*AM$41</f>
      </c>
      <c r="AN489" s="6">
        <f>(G489/100)*AN$41</f>
      </c>
      <c r="AO489" s="6">
        <f>(H489/1000000)*AO$41</f>
      </c>
      <c r="AP489" s="6">
        <f>(I489/100)*AP$41</f>
      </c>
      <c r="AQ489" s="6">
        <f>(J489/1000000)*AQ$41</f>
      </c>
      <c r="AR489" s="6">
        <f>(K489/100)*AR$41</f>
      </c>
      <c r="AS489" s="6">
        <f>(L489/100)*AS$41</f>
      </c>
      <c r="AT489" s="6">
        <f>(M489/100)*AT$41</f>
      </c>
      <c r="AU489" s="6">
        <f>(N489/100)*AU$41</f>
      </c>
      <c r="AV489" s="6">
        <f>(O489/1000000)*AV$41</f>
      </c>
      <c r="AW489" s="6">
        <f>(P489/100)*AW$41</f>
      </c>
      <c r="AX489" s="6">
        <f>(Q489/100)*AX$41</f>
      </c>
      <c r="AY489" s="6">
        <f>(R489/100)*AY$41</f>
      </c>
      <c r="AZ489" s="6">
        <f>(S489/100)*AZ$41</f>
      </c>
      <c r="BA489" s="6">
        <f>(T489/100)*BA$41</f>
      </c>
      <c r="BB489" s="6">
        <f>(U489/100)*BB$41</f>
      </c>
      <c r="BC489" s="6"/>
      <c r="BD489" s="3"/>
      <c r="BE489" s="3"/>
      <c r="BF489" s="7">
        <f>AF489*E489</f>
      </c>
      <c r="BG489" s="6"/>
      <c r="BH489" s="3"/>
      <c r="BI489" s="6"/>
    </row>
    <row x14ac:dyDescent="0.25" r="490" customHeight="1" ht="12.75">
      <c r="A490" s="5" t="s">
        <v>827</v>
      </c>
      <c r="B490" s="38" t="s">
        <v>859</v>
      </c>
      <c r="C490" s="43" t="s">
        <v>866</v>
      </c>
      <c r="D490" s="34" t="s">
        <v>989</v>
      </c>
      <c r="E490" s="6">
        <v>1.35</v>
      </c>
      <c r="F490" s="6">
        <v>0.18</v>
      </c>
      <c r="G490" s="6">
        <v>2.67</v>
      </c>
      <c r="H490" s="7"/>
      <c r="I490" s="6"/>
      <c r="J490" s="6"/>
      <c r="K490" s="6">
        <v>21.265099512826335</v>
      </c>
      <c r="L490" s="6"/>
      <c r="M490" s="6"/>
      <c r="N490" s="23"/>
      <c r="O490" s="5"/>
      <c r="P490" s="6"/>
      <c r="Q490" s="6"/>
      <c r="R490" s="6"/>
      <c r="S490" s="6"/>
      <c r="T490" s="6"/>
      <c r="U490" s="6"/>
      <c r="V490" s="5"/>
      <c r="W490" s="6"/>
      <c r="X490" s="6">
        <f>E490*F490/100</f>
      </c>
      <c r="Y490" s="6">
        <f>E490*G490/100</f>
      </c>
      <c r="Z490" s="7">
        <f>E490*H490</f>
      </c>
      <c r="AA490" s="7">
        <f>E490*J490</f>
      </c>
      <c r="AB490" s="6">
        <f>E490*I490/100</f>
      </c>
      <c r="AC490" s="15">
        <f>X490+Y490+AB490</f>
      </c>
      <c r="AD490" s="6">
        <f>F490+G490+I490</f>
      </c>
      <c r="AE490" s="3"/>
      <c r="AF490" s="6">
        <f>SUM(AM490:BC490)</f>
      </c>
      <c r="AG490" s="5">
        <f>IF(SUM(AM490:AO490)&gt;0.7*AF490,1,0)</f>
      </c>
      <c r="AH490" s="5">
        <f>IF(AN490&gt;0.4*AF490,1,0)</f>
      </c>
      <c r="AI490" s="5">
        <f>IF(SUM(AP490:AQ490)&gt;0.3*AF490,1,0)</f>
      </c>
      <c r="AJ490" s="5">
        <f>IF(AQ490&gt;0.2*AF490,1,0)</f>
      </c>
      <c r="AK490" s="5">
        <f>IF(SUM(AR490:BC490)&gt;0.3*AF490,1,0)</f>
      </c>
      <c r="AL490" s="3"/>
      <c r="AM490" s="6">
        <f>(F490/100)*AM$41</f>
      </c>
      <c r="AN490" s="6">
        <f>(G490/100)*AN$41</f>
      </c>
      <c r="AO490" s="6">
        <f>(H490/1000000)*AO$41</f>
      </c>
      <c r="AP490" s="6">
        <f>(I490/100)*AP$41</f>
      </c>
      <c r="AQ490" s="6">
        <f>(J490/1000000)*AQ$41</f>
      </c>
      <c r="AR490" s="6">
        <f>(K490/100)*AR$41</f>
      </c>
      <c r="AS490" s="6">
        <f>(L490/100)*AS$41</f>
      </c>
      <c r="AT490" s="6">
        <f>(M490/100)*AT$41</f>
      </c>
      <c r="AU490" s="6">
        <f>(N490/100)*AU$41</f>
      </c>
      <c r="AV490" s="6">
        <f>(O490/1000000)*AV$41</f>
      </c>
      <c r="AW490" s="6">
        <f>(P490/100)*AW$41</f>
      </c>
      <c r="AX490" s="6">
        <f>(Q490/100)*AX$41</f>
      </c>
      <c r="AY490" s="6">
        <f>(R490/100)*AY$41</f>
      </c>
      <c r="AZ490" s="6">
        <f>(S490/100)*AZ$41</f>
      </c>
      <c r="BA490" s="6">
        <f>(T490/100)*BA$41</f>
      </c>
      <c r="BB490" s="6">
        <f>(U490/100)*BB$41</f>
      </c>
      <c r="BC490" s="6"/>
      <c r="BD490" s="3"/>
      <c r="BE490" s="3"/>
      <c r="BF490" s="7">
        <f>AF490*E490</f>
      </c>
      <c r="BG490" s="6"/>
      <c r="BH490" s="3"/>
      <c r="BI490" s="6"/>
    </row>
    <row x14ac:dyDescent="0.25" r="491" customHeight="1" ht="12.75">
      <c r="A491" s="5" t="s">
        <v>831</v>
      </c>
      <c r="B491" s="38" t="s">
        <v>859</v>
      </c>
      <c r="C491" s="43" t="s">
        <v>866</v>
      </c>
      <c r="D491" s="34" t="s">
        <v>989</v>
      </c>
      <c r="E491" s="6">
        <v>1.30953</v>
      </c>
      <c r="F491" s="6">
        <v>0.59</v>
      </c>
      <c r="G491" s="6">
        <v>1.94</v>
      </c>
      <c r="H491" s="6">
        <v>13.5</v>
      </c>
      <c r="I491" s="6">
        <v>0.15</v>
      </c>
      <c r="J491" s="6"/>
      <c r="K491" s="6">
        <v>0.2765522072780403</v>
      </c>
      <c r="L491" s="6"/>
      <c r="M491" s="6"/>
      <c r="N491" s="23"/>
      <c r="O491" s="5"/>
      <c r="P491" s="6"/>
      <c r="Q491" s="6"/>
      <c r="R491" s="6"/>
      <c r="S491" s="6"/>
      <c r="T491" s="6"/>
      <c r="U491" s="6"/>
      <c r="V491" s="6">
        <v>0.11</v>
      </c>
      <c r="W491" s="6" t="s">
        <v>932</v>
      </c>
      <c r="X491" s="6">
        <f>E491*F491/100</f>
      </c>
      <c r="Y491" s="6">
        <f>E491*G491/100</f>
      </c>
      <c r="Z491" s="7">
        <f>E491*H491</f>
      </c>
      <c r="AA491" s="7">
        <f>E491*J491</f>
      </c>
      <c r="AB491" s="6">
        <f>E491*I491/100</f>
      </c>
      <c r="AC491" s="15">
        <f>X491+Y491+AB491</f>
      </c>
      <c r="AD491" s="6">
        <f>F491+G491+I491</f>
      </c>
      <c r="AE491" s="3"/>
      <c r="AF491" s="6">
        <f>SUM(AM491:BC491)</f>
      </c>
      <c r="AG491" s="5">
        <f>IF(SUM(AM491:AO491)&gt;0.7*AF491,1,0)</f>
      </c>
      <c r="AH491" s="5">
        <f>IF(AN491&gt;0.4*AF491,1,0)</f>
      </c>
      <c r="AI491" s="5">
        <f>IF(SUM(AP491:AQ491)&gt;0.3*AF491,1,0)</f>
      </c>
      <c r="AJ491" s="5">
        <f>IF(AQ491&gt;0.2*AF491,1,0)</f>
      </c>
      <c r="AK491" s="5">
        <f>IF(SUM(AR491:BC491)&gt;0.3*AF491,1,0)</f>
      </c>
      <c r="AL491" s="3"/>
      <c r="AM491" s="6">
        <f>(F491/100)*AM$41</f>
      </c>
      <c r="AN491" s="6">
        <f>(G491/100)*AN$41</f>
      </c>
      <c r="AO491" s="6">
        <f>(H491/1000000)*AO$41</f>
      </c>
      <c r="AP491" s="6">
        <f>(I491/100)*AP$41</f>
      </c>
      <c r="AQ491" s="6">
        <f>(J491/1000000)*AQ$41</f>
      </c>
      <c r="AR491" s="6">
        <f>(K491/100)*AR$41</f>
      </c>
      <c r="AS491" s="6">
        <f>(L491/100)*AS$41</f>
      </c>
      <c r="AT491" s="6">
        <f>(M491/100)*AT$41</f>
      </c>
      <c r="AU491" s="6">
        <f>(N491/100)*AU$41</f>
      </c>
      <c r="AV491" s="6">
        <f>(O491/1000000)*AV$41</f>
      </c>
      <c r="AW491" s="6">
        <f>(P491/100)*AW$41</f>
      </c>
      <c r="AX491" s="6">
        <f>(Q491/100)*AX$41</f>
      </c>
      <c r="AY491" s="6">
        <f>(R491/100)*AY$41</f>
      </c>
      <c r="AZ491" s="6">
        <f>(S491/100)*AZ$41</f>
      </c>
      <c r="BA491" s="6">
        <f>(T491/100)*BA$41</f>
      </c>
      <c r="BB491" s="6">
        <f>(U491/100)*BB$41</f>
      </c>
      <c r="BC491" s="6">
        <f>(V491/100)*1940</f>
      </c>
      <c r="BD491" s="3" t="s">
        <v>933</v>
      </c>
      <c r="BE491" s="3"/>
      <c r="BF491" s="7">
        <f>AF491*E491</f>
      </c>
      <c r="BG491" s="6"/>
      <c r="BH491" s="3"/>
      <c r="BI491" s="6"/>
    </row>
    <row x14ac:dyDescent="0.25" r="492" customHeight="1" ht="12.75">
      <c r="A492" s="5" t="s">
        <v>624</v>
      </c>
      <c r="B492" s="38" t="s">
        <v>859</v>
      </c>
      <c r="C492" s="43" t="s">
        <v>866</v>
      </c>
      <c r="D492" s="34" t="s">
        <v>988</v>
      </c>
      <c r="E492" s="23">
        <v>0.5</v>
      </c>
      <c r="F492" s="6">
        <v>2.7</v>
      </c>
      <c r="G492" s="6">
        <v>3.5</v>
      </c>
      <c r="H492" s="7"/>
      <c r="I492" s="6"/>
      <c r="J492" s="6"/>
      <c r="K492" s="7"/>
      <c r="L492" s="6"/>
      <c r="M492" s="6"/>
      <c r="N492" s="23"/>
      <c r="O492" s="5"/>
      <c r="P492" s="6"/>
      <c r="Q492" s="6"/>
      <c r="R492" s="6"/>
      <c r="S492" s="6"/>
      <c r="T492" s="6"/>
      <c r="U492" s="6"/>
      <c r="V492" s="5"/>
      <c r="W492" s="6"/>
      <c r="X492" s="6">
        <f>E492*F492/100</f>
      </c>
      <c r="Y492" s="6">
        <f>E492*G492/100</f>
      </c>
      <c r="Z492" s="7">
        <f>E492*H492</f>
      </c>
      <c r="AA492" s="7">
        <f>E492*J492</f>
      </c>
      <c r="AB492" s="6">
        <f>E492*I492/100</f>
      </c>
      <c r="AC492" s="15">
        <f>X492+Y492+AB492</f>
      </c>
      <c r="AD492" s="6">
        <f>F492+G492+I492</f>
      </c>
      <c r="AE492" s="3"/>
      <c r="AF492" s="6">
        <f>SUM(AM492:BC492)</f>
      </c>
      <c r="AG492" s="5">
        <f>IF(SUM(AM492:AO492)&gt;0.7*AF492,1,0)</f>
      </c>
      <c r="AH492" s="5">
        <f>IF(AN492&gt;0.4*AF492,1,0)</f>
      </c>
      <c r="AI492" s="5">
        <f>IF(SUM(AP492:AQ492)&gt;0.3*AF492,1,0)</f>
      </c>
      <c r="AJ492" s="5">
        <f>IF(AQ492&gt;0.2*AF492,1,0)</f>
      </c>
      <c r="AK492" s="5">
        <f>IF(SUM(AR492:BC492)&gt;0.3*AF492,1,0)</f>
      </c>
      <c r="AL492" s="3"/>
      <c r="AM492" s="6">
        <f>(F492/100)*AM$41</f>
      </c>
      <c r="AN492" s="6">
        <f>(G492/100)*AN$41</f>
      </c>
      <c r="AO492" s="6">
        <f>(H492/1000000)*AO$41</f>
      </c>
      <c r="AP492" s="6">
        <f>(I492/100)*AP$41</f>
      </c>
      <c r="AQ492" s="6">
        <f>(J492/1000000)*AQ$41</f>
      </c>
      <c r="AR492" s="6">
        <f>(K492/100)*AR$41</f>
      </c>
      <c r="AS492" s="6">
        <f>(L492/100)*AS$41</f>
      </c>
      <c r="AT492" s="6">
        <f>(M492/100)*AT$41</f>
      </c>
      <c r="AU492" s="6">
        <f>(N492/100)*AU$41</f>
      </c>
      <c r="AV492" s="6">
        <f>(O492/1000000)*AV$41</f>
      </c>
      <c r="AW492" s="6">
        <f>(P492/100)*AW$41</f>
      </c>
      <c r="AX492" s="6">
        <f>(Q492/100)*AX$41</f>
      </c>
      <c r="AY492" s="6">
        <f>(R492/100)*AY$41</f>
      </c>
      <c r="AZ492" s="6">
        <f>(S492/100)*AZ$41</f>
      </c>
      <c r="BA492" s="6">
        <f>(T492/100)*BA$41</f>
      </c>
      <c r="BB492" s="6">
        <f>(U492/100)*BB$41</f>
      </c>
      <c r="BC492" s="6"/>
      <c r="BD492" s="3"/>
      <c r="BE492" s="3"/>
      <c r="BF492" s="7">
        <f>AF492*E492</f>
      </c>
      <c r="BG492" s="6"/>
      <c r="BH492" s="3"/>
      <c r="BI492" s="6"/>
    </row>
    <row x14ac:dyDescent="0.25" r="493" customHeight="1" ht="12.75">
      <c r="A493" s="5" t="s">
        <v>811</v>
      </c>
      <c r="B493" s="38" t="s">
        <v>859</v>
      </c>
      <c r="C493" s="43" t="s">
        <v>866</v>
      </c>
      <c r="D493" s="34" t="s">
        <v>989</v>
      </c>
      <c r="E493" s="6">
        <v>0.63</v>
      </c>
      <c r="F493" s="6">
        <v>0.18</v>
      </c>
      <c r="G493" s="6">
        <v>3.3</v>
      </c>
      <c r="H493" s="7"/>
      <c r="I493" s="6"/>
      <c r="J493" s="6"/>
      <c r="K493" s="7"/>
      <c r="L493" s="6"/>
      <c r="M493" s="6"/>
      <c r="N493" s="23"/>
      <c r="O493" s="5"/>
      <c r="P493" s="6"/>
      <c r="Q493" s="6"/>
      <c r="R493" s="6"/>
      <c r="S493" s="6"/>
      <c r="T493" s="6"/>
      <c r="U493" s="6"/>
      <c r="V493" s="5"/>
      <c r="W493" s="6"/>
      <c r="X493" s="6">
        <f>E493*F493/100</f>
      </c>
      <c r="Y493" s="6">
        <f>E493*G493/100</f>
      </c>
      <c r="Z493" s="7">
        <f>E493*H493</f>
      </c>
      <c r="AA493" s="7">
        <f>E493*J493</f>
      </c>
      <c r="AB493" s="6">
        <f>E493*I493/100</f>
      </c>
      <c r="AC493" s="15">
        <f>X493+Y493+AB493</f>
      </c>
      <c r="AD493" s="6">
        <f>F493+G493+I493</f>
      </c>
      <c r="AE493" s="3"/>
      <c r="AF493" s="6">
        <f>SUM(AM493:BC493)</f>
      </c>
      <c r="AG493" s="5">
        <f>IF(SUM(AM493:AO493)&gt;0.7*AF493,1,0)</f>
      </c>
      <c r="AH493" s="5">
        <f>IF(AN493&gt;0.4*AF493,1,0)</f>
      </c>
      <c r="AI493" s="5">
        <f>IF(SUM(AP493:AQ493)&gt;0.3*AF493,1,0)</f>
      </c>
      <c r="AJ493" s="5">
        <f>IF(AQ493&gt;0.2*AF493,1,0)</f>
      </c>
      <c r="AK493" s="5">
        <f>IF(SUM(AR493:BC493)&gt;0.3*AF493,1,0)</f>
      </c>
      <c r="AL493" s="3"/>
      <c r="AM493" s="6">
        <f>(F493/100)*AM$41</f>
      </c>
      <c r="AN493" s="6">
        <f>(G493/100)*AN$41</f>
      </c>
      <c r="AO493" s="6">
        <f>(H493/1000000)*AO$41</f>
      </c>
      <c r="AP493" s="6">
        <f>(I493/100)*AP$41</f>
      </c>
      <c r="AQ493" s="6">
        <f>(J493/1000000)*AQ$41</f>
      </c>
      <c r="AR493" s="6">
        <f>(K493/100)*AR$41</f>
      </c>
      <c r="AS493" s="6">
        <f>(L493/100)*AS$41</f>
      </c>
      <c r="AT493" s="6">
        <f>(M493/100)*AT$41</f>
      </c>
      <c r="AU493" s="6">
        <f>(N493/100)*AU$41</f>
      </c>
      <c r="AV493" s="6">
        <f>(O493/1000000)*AV$41</f>
      </c>
      <c r="AW493" s="6">
        <f>(P493/100)*AW$41</f>
      </c>
      <c r="AX493" s="6">
        <f>(Q493/100)*AX$41</f>
      </c>
      <c r="AY493" s="6">
        <f>(R493/100)*AY$41</f>
      </c>
      <c r="AZ493" s="6">
        <f>(S493/100)*AZ$41</f>
      </c>
      <c r="BA493" s="6">
        <f>(T493/100)*BA$41</f>
      </c>
      <c r="BB493" s="6">
        <f>(U493/100)*BB$41</f>
      </c>
      <c r="BC493" s="6"/>
      <c r="BD493" s="3"/>
      <c r="BE493" s="3"/>
      <c r="BF493" s="7">
        <f>AF493*E493</f>
      </c>
      <c r="BG493" s="6"/>
      <c r="BH493" s="3"/>
      <c r="BI493" s="6"/>
    </row>
    <row x14ac:dyDescent="0.25" r="494" customHeight="1" ht="12.75">
      <c r="A494" s="5" t="s">
        <v>626</v>
      </c>
      <c r="B494" s="38" t="s">
        <v>859</v>
      </c>
      <c r="C494" s="43" t="s">
        <v>866</v>
      </c>
      <c r="D494" s="34" t="s">
        <v>988</v>
      </c>
      <c r="E494" s="6">
        <v>0.244</v>
      </c>
      <c r="F494" s="5">
        <v>1</v>
      </c>
      <c r="G494" s="6">
        <v>4.5</v>
      </c>
      <c r="H494" s="6">
        <v>27.4</v>
      </c>
      <c r="I494" s="6">
        <v>0.7</v>
      </c>
      <c r="J494" s="6"/>
      <c r="K494" s="7"/>
      <c r="L494" s="6"/>
      <c r="M494" s="6"/>
      <c r="N494" s="23"/>
      <c r="O494" s="5"/>
      <c r="P494" s="6"/>
      <c r="Q494" s="6"/>
      <c r="R494" s="6"/>
      <c r="S494" s="6"/>
      <c r="T494" s="6"/>
      <c r="U494" s="6"/>
      <c r="V494" s="5"/>
      <c r="W494" s="6"/>
      <c r="X494" s="6">
        <f>E494*F494/100</f>
      </c>
      <c r="Y494" s="6">
        <f>E494*G494/100</f>
      </c>
      <c r="Z494" s="7">
        <f>E494*H494</f>
      </c>
      <c r="AA494" s="7">
        <f>E494*J494</f>
      </c>
      <c r="AB494" s="6">
        <f>E494*I494/100</f>
      </c>
      <c r="AC494" s="15">
        <f>X494+Y494+AB494</f>
      </c>
      <c r="AD494" s="6">
        <f>F494+G494+I494</f>
      </c>
      <c r="AE494" s="3"/>
      <c r="AF494" s="6">
        <f>SUM(AM494:BC494)</f>
      </c>
      <c r="AG494" s="5">
        <f>IF(SUM(AM494:AO494)&gt;0.7*AF494,1,0)</f>
      </c>
      <c r="AH494" s="5">
        <f>IF(AN494&gt;0.4*AF494,1,0)</f>
      </c>
      <c r="AI494" s="5">
        <f>IF(SUM(AP494:AQ494)&gt;0.3*AF494,1,0)</f>
      </c>
      <c r="AJ494" s="5">
        <f>IF(AQ494&gt;0.2*AF494,1,0)</f>
      </c>
      <c r="AK494" s="5">
        <f>IF(SUM(AR494:BC494)&gt;0.3*AF494,1,0)</f>
      </c>
      <c r="AL494" s="3"/>
      <c r="AM494" s="6">
        <f>(F494/100)*AM$41</f>
      </c>
      <c r="AN494" s="6">
        <f>(G494/100)*AN$41</f>
      </c>
      <c r="AO494" s="6">
        <f>(H494/1000000)*AO$41</f>
      </c>
      <c r="AP494" s="6">
        <f>(I494/100)*AP$41</f>
      </c>
      <c r="AQ494" s="6">
        <f>(J494/1000000)*AQ$41</f>
      </c>
      <c r="AR494" s="6">
        <f>(K494/100)*AR$41</f>
      </c>
      <c r="AS494" s="6">
        <f>(L494/100)*AS$41</f>
      </c>
      <c r="AT494" s="6">
        <f>(M494/100)*AT$41</f>
      </c>
      <c r="AU494" s="6">
        <f>(N494/100)*AU$41</f>
      </c>
      <c r="AV494" s="6">
        <f>(O494/1000000)*AV$41</f>
      </c>
      <c r="AW494" s="6">
        <f>(P494/100)*AW$41</f>
      </c>
      <c r="AX494" s="6">
        <f>(Q494/100)*AX$41</f>
      </c>
      <c r="AY494" s="6">
        <f>(R494/100)*AY$41</f>
      </c>
      <c r="AZ494" s="6">
        <f>(S494/100)*AZ$41</f>
      </c>
      <c r="BA494" s="6">
        <f>(T494/100)*BA$41</f>
      </c>
      <c r="BB494" s="6">
        <f>(U494/100)*BB$41</f>
      </c>
      <c r="BC494" s="6"/>
      <c r="BD494" s="3"/>
      <c r="BE494" s="3"/>
      <c r="BF494" s="7">
        <f>AF494*E494</f>
      </c>
      <c r="BG494" s="6"/>
      <c r="BH494" s="3"/>
      <c r="BI494" s="6"/>
    </row>
    <row x14ac:dyDescent="0.25" r="495" customHeight="1" ht="12.75">
      <c r="A495" s="5" t="s">
        <v>372</v>
      </c>
      <c r="B495" s="38" t="s">
        <v>859</v>
      </c>
      <c r="C495" s="43" t="s">
        <v>866</v>
      </c>
      <c r="D495" s="34" t="s">
        <v>989</v>
      </c>
      <c r="E495" s="6">
        <v>0.15</v>
      </c>
      <c r="F495" s="5">
        <v>7</v>
      </c>
      <c r="G495" s="6">
        <v>2.5</v>
      </c>
      <c r="H495" s="7"/>
      <c r="I495" s="6"/>
      <c r="J495" s="6"/>
      <c r="K495" s="7"/>
      <c r="L495" s="6"/>
      <c r="M495" s="6"/>
      <c r="N495" s="23"/>
      <c r="O495" s="5"/>
      <c r="P495" s="6"/>
      <c r="Q495" s="6"/>
      <c r="R495" s="6"/>
      <c r="S495" s="6"/>
      <c r="T495" s="6"/>
      <c r="U495" s="6"/>
      <c r="V495" s="5"/>
      <c r="W495" s="6"/>
      <c r="X495" s="6">
        <f>E495*F495/100</f>
      </c>
      <c r="Y495" s="6">
        <f>E495*G495/100</f>
      </c>
      <c r="Z495" s="7">
        <f>E495*H495</f>
      </c>
      <c r="AA495" s="7">
        <f>E495*J495</f>
      </c>
      <c r="AB495" s="6">
        <f>E495*I495/100</f>
      </c>
      <c r="AC495" s="15">
        <f>X495+Y495+AB495</f>
      </c>
      <c r="AD495" s="6">
        <f>F495+G495+I495</f>
      </c>
      <c r="AE495" s="3"/>
      <c r="AF495" s="6">
        <f>SUM(AM495:BC495)</f>
      </c>
      <c r="AG495" s="5">
        <f>IF(SUM(AM495:AO495)&gt;0.7*AF495,1,0)</f>
      </c>
      <c r="AH495" s="5">
        <f>IF(AN495&gt;0.4*AF495,1,0)</f>
      </c>
      <c r="AI495" s="5">
        <f>IF(SUM(AP495:AQ495)&gt;0.3*AF495,1,0)</f>
      </c>
      <c r="AJ495" s="5">
        <f>IF(AQ495&gt;0.2*AF495,1,0)</f>
      </c>
      <c r="AK495" s="5">
        <f>IF(SUM(AR495:BC495)&gt;0.3*AF495,1,0)</f>
      </c>
      <c r="AL495" s="3"/>
      <c r="AM495" s="6">
        <f>(F495/100)*AM$41</f>
      </c>
      <c r="AN495" s="6">
        <f>(G495/100)*AN$41</f>
      </c>
      <c r="AO495" s="6">
        <f>(H495/1000000)*AO$41</f>
      </c>
      <c r="AP495" s="6">
        <f>(I495/100)*AP$41</f>
      </c>
      <c r="AQ495" s="6">
        <f>(J495/1000000)*AQ$41</f>
      </c>
      <c r="AR495" s="6">
        <f>(K495/100)*AR$41</f>
      </c>
      <c r="AS495" s="6">
        <f>(L495/100)*AS$41</f>
      </c>
      <c r="AT495" s="6">
        <f>(M495/100)*AT$41</f>
      </c>
      <c r="AU495" s="6">
        <f>(N495/100)*AU$41</f>
      </c>
      <c r="AV495" s="6">
        <f>(O495/1000000)*AV$41</f>
      </c>
      <c r="AW495" s="6">
        <f>(P495/100)*AW$41</f>
      </c>
      <c r="AX495" s="6">
        <f>(Q495/100)*AX$41</f>
      </c>
      <c r="AY495" s="6">
        <f>(R495/100)*AY$41</f>
      </c>
      <c r="AZ495" s="6">
        <f>(S495/100)*AZ$41</f>
      </c>
      <c r="BA495" s="6">
        <f>(T495/100)*BA$41</f>
      </c>
      <c r="BB495" s="6">
        <f>(U495/100)*BB$41</f>
      </c>
      <c r="BC495" s="6"/>
      <c r="BD495" s="3"/>
      <c r="BE495" s="3"/>
      <c r="BF495" s="7">
        <f>AF495*E495</f>
      </c>
      <c r="BG495" s="6"/>
      <c r="BH495" s="3"/>
      <c r="BI495" s="6"/>
    </row>
    <row x14ac:dyDescent="0.25" r="496" customHeight="1" ht="12.75">
      <c r="A496" s="5" t="s">
        <v>695</v>
      </c>
      <c r="B496" s="38" t="s">
        <v>859</v>
      </c>
      <c r="C496" s="43" t="s">
        <v>866</v>
      </c>
      <c r="D496" s="34" t="s">
        <v>989</v>
      </c>
      <c r="E496" s="6">
        <v>0.4</v>
      </c>
      <c r="F496" s="6">
        <v>1.75</v>
      </c>
      <c r="G496" s="6">
        <v>1.75</v>
      </c>
      <c r="H496" s="7"/>
      <c r="I496" s="6"/>
      <c r="J496" s="6"/>
      <c r="K496" s="7"/>
      <c r="L496" s="6"/>
      <c r="M496" s="6"/>
      <c r="N496" s="23"/>
      <c r="O496" s="5"/>
      <c r="P496" s="6"/>
      <c r="Q496" s="6"/>
      <c r="R496" s="6"/>
      <c r="S496" s="6"/>
      <c r="T496" s="6"/>
      <c r="U496" s="6"/>
      <c r="V496" s="5">
        <v>35</v>
      </c>
      <c r="W496" s="6" t="s">
        <v>997</v>
      </c>
      <c r="X496" s="6">
        <f>E496*F496/100</f>
      </c>
      <c r="Y496" s="6">
        <f>E496*G496/100</f>
      </c>
      <c r="Z496" s="7">
        <f>E496*H496</f>
      </c>
      <c r="AA496" s="7">
        <f>E496*J496</f>
      </c>
      <c r="AB496" s="6">
        <f>E496*I496/100</f>
      </c>
      <c r="AC496" s="15">
        <f>X496+Y496+AB496</f>
      </c>
      <c r="AD496" s="6">
        <f>F496+G496+I496</f>
      </c>
      <c r="AE496" s="3"/>
      <c r="AF496" s="6">
        <f>SUM(AM496:BC496)</f>
      </c>
      <c r="AG496" s="5">
        <f>IF(SUM(AM496:AO496)&gt;0.7*AF496,1,0)</f>
      </c>
      <c r="AH496" s="5">
        <f>IF(AN496&gt;0.4*AF496,1,0)</f>
      </c>
      <c r="AI496" s="5">
        <f>IF(SUM(AP496:AQ496)&gt;0.3*AF496,1,0)</f>
      </c>
      <c r="AJ496" s="5">
        <f>IF(AQ496&gt;0.2*AF496,1,0)</f>
      </c>
      <c r="AK496" s="5">
        <f>IF(SUM(AR496:BC496)&gt;0.3*AF496,1,0)</f>
      </c>
      <c r="AL496" s="3"/>
      <c r="AM496" s="6">
        <f>(F496/100)*AM$41</f>
      </c>
      <c r="AN496" s="6">
        <f>(G496/100)*AN$41</f>
      </c>
      <c r="AO496" s="6">
        <f>(H496/1000000)*AO$41</f>
      </c>
      <c r="AP496" s="6">
        <f>(I496/100)*AP$41</f>
      </c>
      <c r="AQ496" s="6">
        <f>(J496/1000000)*AQ$41</f>
      </c>
      <c r="AR496" s="6">
        <f>(K496/100)*AR$41</f>
      </c>
      <c r="AS496" s="6">
        <f>(L496/100)*AS$41</f>
      </c>
      <c r="AT496" s="6">
        <f>(M496/100)*AT$41</f>
      </c>
      <c r="AU496" s="6">
        <f>(N496/100)*AU$41</f>
      </c>
      <c r="AV496" s="6">
        <f>(O496/1000000)*AV$41</f>
      </c>
      <c r="AW496" s="6">
        <f>(P496/100)*AW$41</f>
      </c>
      <c r="AX496" s="6">
        <f>(Q496/100)*AX$41</f>
      </c>
      <c r="AY496" s="6">
        <f>(R496/100)*AY$41</f>
      </c>
      <c r="AZ496" s="6">
        <f>(S496/100)*AZ$41</f>
      </c>
      <c r="BA496" s="6">
        <f>(T496/100)*BA$41</f>
      </c>
      <c r="BB496" s="6">
        <f>(U496/100)*BB$41</f>
      </c>
      <c r="BC496" s="6">
        <f>(V496/100)*350</f>
      </c>
      <c r="BD496" s="3" t="s">
        <v>998</v>
      </c>
      <c r="BE496" s="3"/>
      <c r="BF496" s="7">
        <f>AF496*E496</f>
      </c>
      <c r="BG496" s="6"/>
      <c r="BH496" s="3"/>
      <c r="BI496" s="6"/>
    </row>
    <row x14ac:dyDescent="0.25" r="497" customHeight="1" ht="12.75">
      <c r="A497" s="5" t="s">
        <v>395</v>
      </c>
      <c r="B497" s="38" t="s">
        <v>859</v>
      </c>
      <c r="C497" s="43" t="s">
        <v>866</v>
      </c>
      <c r="D497" s="34" t="s">
        <v>989</v>
      </c>
      <c r="E497" s="6">
        <v>0.12</v>
      </c>
      <c r="F497" s="5">
        <v>8</v>
      </c>
      <c r="G497" s="5">
        <v>1</v>
      </c>
      <c r="H497" s="7"/>
      <c r="I497" s="6"/>
      <c r="J497" s="6"/>
      <c r="K497" s="7"/>
      <c r="L497" s="6"/>
      <c r="M497" s="6"/>
      <c r="N497" s="23"/>
      <c r="O497" s="5"/>
      <c r="P497" s="6"/>
      <c r="Q497" s="6"/>
      <c r="R497" s="6"/>
      <c r="S497" s="6"/>
      <c r="T497" s="6"/>
      <c r="U497" s="6"/>
      <c r="V497" s="5"/>
      <c r="W497" s="6"/>
      <c r="X497" s="6">
        <f>E497*F497/100</f>
      </c>
      <c r="Y497" s="6">
        <f>E497*G497/100</f>
      </c>
      <c r="Z497" s="7">
        <f>E497*H497</f>
      </c>
      <c r="AA497" s="7">
        <f>E497*J497</f>
      </c>
      <c r="AB497" s="6">
        <f>E497*I497/100</f>
      </c>
      <c r="AC497" s="15">
        <f>X497+Y497+AB497</f>
      </c>
      <c r="AD497" s="6">
        <f>F497+G497+I497</f>
      </c>
      <c r="AE497" s="3"/>
      <c r="AF497" s="6">
        <f>SUM(AM497:BC497)</f>
      </c>
      <c r="AG497" s="5">
        <f>IF(SUM(AM497:AO497)&gt;0.7*AF497,1,0)</f>
      </c>
      <c r="AH497" s="5">
        <f>IF(AN497&gt;0.4*AF497,1,0)</f>
      </c>
      <c r="AI497" s="5">
        <f>IF(SUM(AP497:AQ497)&gt;0.3*AF497,1,0)</f>
      </c>
      <c r="AJ497" s="5">
        <f>IF(AQ497&gt;0.2*AF497,1,0)</f>
      </c>
      <c r="AK497" s="5">
        <f>IF(SUM(AR497:BC497)&gt;0.3*AF497,1,0)</f>
      </c>
      <c r="AL497" s="3"/>
      <c r="AM497" s="6">
        <f>(F497/100)*AM$41</f>
      </c>
      <c r="AN497" s="6">
        <f>(G497/100)*AN$41</f>
      </c>
      <c r="AO497" s="6">
        <f>(H497/1000000)*AO$41</f>
      </c>
      <c r="AP497" s="6">
        <f>(I497/100)*AP$41</f>
      </c>
      <c r="AQ497" s="6">
        <f>(J497/1000000)*AQ$41</f>
      </c>
      <c r="AR497" s="6">
        <f>(K497/100)*AR$41</f>
      </c>
      <c r="AS497" s="6">
        <f>(L497/100)*AS$41</f>
      </c>
      <c r="AT497" s="6">
        <f>(M497/100)*AT$41</f>
      </c>
      <c r="AU497" s="6">
        <f>(N497/100)*AU$41</f>
      </c>
      <c r="AV497" s="6">
        <f>(O497/1000000)*AV$41</f>
      </c>
      <c r="AW497" s="6">
        <f>(P497/100)*AW$41</f>
      </c>
      <c r="AX497" s="6">
        <f>(Q497/100)*AX$41</f>
      </c>
      <c r="AY497" s="6">
        <f>(R497/100)*AY$41</f>
      </c>
      <c r="AZ497" s="6">
        <f>(S497/100)*AZ$41</f>
      </c>
      <c r="BA497" s="6">
        <f>(T497/100)*BA$41</f>
      </c>
      <c r="BB497" s="6">
        <f>(U497/100)*BB$41</f>
      </c>
      <c r="BC497" s="6"/>
      <c r="BD497" s="3"/>
      <c r="BE497" s="3"/>
      <c r="BF497" s="7">
        <f>AF497*E497</f>
      </c>
      <c r="BG497" s="6"/>
      <c r="BH497" s="3"/>
      <c r="BI497" s="6"/>
    </row>
    <row x14ac:dyDescent="0.25" r="498" customHeight="1" ht="12.75">
      <c r="A498" s="5" t="s">
        <v>475</v>
      </c>
      <c r="B498" s="38" t="s">
        <v>859</v>
      </c>
      <c r="C498" s="43" t="s">
        <v>866</v>
      </c>
      <c r="D498" s="34" t="s">
        <v>988</v>
      </c>
      <c r="E498" s="6">
        <v>0.127</v>
      </c>
      <c r="F498" s="6"/>
      <c r="G498" s="7">
        <v>8</v>
      </c>
      <c r="H498" s="7"/>
      <c r="I498" s="6"/>
      <c r="J498" s="6"/>
      <c r="K498" s="7"/>
      <c r="L498" s="6"/>
      <c r="M498" s="6"/>
      <c r="N498" s="23"/>
      <c r="O498" s="5"/>
      <c r="P498" s="6"/>
      <c r="Q498" s="6"/>
      <c r="R498" s="6"/>
      <c r="S498" s="6"/>
      <c r="T498" s="6"/>
      <c r="U498" s="6"/>
      <c r="V498" s="5"/>
      <c r="W498" s="6"/>
      <c r="X498" s="6">
        <f>E498*F498/100</f>
      </c>
      <c r="Y498" s="6">
        <f>E498*G498/100</f>
      </c>
      <c r="Z498" s="7">
        <f>E498*H498</f>
      </c>
      <c r="AA498" s="7">
        <f>E498*J498</f>
      </c>
      <c r="AB498" s="6">
        <f>E498*I498/100</f>
      </c>
      <c r="AC498" s="15">
        <f>X498+Y498+AB498</f>
      </c>
      <c r="AD498" s="6">
        <f>F498+G498+I498</f>
      </c>
      <c r="AE498" s="3"/>
      <c r="AF498" s="6">
        <f>SUM(AM498:BC498)</f>
      </c>
      <c r="AG498" s="5">
        <f>IF(SUM(AM498:AO498)&gt;0.7*AF498,1,0)</f>
      </c>
      <c r="AH498" s="5">
        <f>IF(AN498&gt;0.4*AF498,1,0)</f>
      </c>
      <c r="AI498" s="5">
        <f>IF(SUM(AP498:AQ498)&gt;0.3*AF498,1,0)</f>
      </c>
      <c r="AJ498" s="5">
        <f>IF(AQ498&gt;0.2*AF498,1,0)</f>
      </c>
      <c r="AK498" s="5">
        <f>IF(SUM(AR498:BC498)&gt;0.3*AF498,1,0)</f>
      </c>
      <c r="AL498" s="3"/>
      <c r="AM498" s="6">
        <f>(F498/100)*AM$41</f>
      </c>
      <c r="AN498" s="6">
        <f>(G498/100)*AN$41</f>
      </c>
      <c r="AO498" s="6">
        <f>(H498/1000000)*AO$41</f>
      </c>
      <c r="AP498" s="6">
        <f>(I498/100)*AP$41</f>
      </c>
      <c r="AQ498" s="6">
        <f>(J498/1000000)*AQ$41</f>
      </c>
      <c r="AR498" s="6">
        <f>(K498/100)*AR$41</f>
      </c>
      <c r="AS498" s="6">
        <f>(L498/100)*AS$41</f>
      </c>
      <c r="AT498" s="6">
        <f>(M498/100)*AT$41</f>
      </c>
      <c r="AU498" s="6">
        <f>(N498/100)*AU$41</f>
      </c>
      <c r="AV498" s="6">
        <f>(O498/1000000)*AV$41</f>
      </c>
      <c r="AW498" s="6">
        <f>(P498/100)*AW$41</f>
      </c>
      <c r="AX498" s="6">
        <f>(Q498/100)*AX$41</f>
      </c>
      <c r="AY498" s="6">
        <f>(R498/100)*AY$41</f>
      </c>
      <c r="AZ498" s="6">
        <f>(S498/100)*AZ$41</f>
      </c>
      <c r="BA498" s="6">
        <f>(T498/100)*BA$41</f>
      </c>
      <c r="BB498" s="6">
        <f>(U498/100)*BB$41</f>
      </c>
      <c r="BC498" s="6"/>
      <c r="BD498" s="3"/>
      <c r="BE498" s="3"/>
      <c r="BF498" s="7">
        <f>AF498*E498</f>
      </c>
      <c r="BG498" s="6"/>
      <c r="BH498" s="3"/>
      <c r="BI498" s="6"/>
    </row>
    <row x14ac:dyDescent="0.25" r="499" customHeight="1" ht="12.75">
      <c r="A499" s="5" t="s">
        <v>477</v>
      </c>
      <c r="B499" s="38" t="s">
        <v>859</v>
      </c>
      <c r="C499" s="43" t="s">
        <v>866</v>
      </c>
      <c r="D499" s="34" t="s">
        <v>989</v>
      </c>
      <c r="E499" s="6">
        <v>0.125</v>
      </c>
      <c r="F499" s="7">
        <v>2.6666666666666665</v>
      </c>
      <c r="G499" s="7">
        <v>5.333333333333333</v>
      </c>
      <c r="H499" s="7"/>
      <c r="I499" s="6"/>
      <c r="J499" s="6"/>
      <c r="K499" s="7"/>
      <c r="L499" s="6"/>
      <c r="M499" s="6"/>
      <c r="N499" s="23"/>
      <c r="O499" s="5"/>
      <c r="P499" s="6"/>
      <c r="Q499" s="6"/>
      <c r="R499" s="6"/>
      <c r="S499" s="6"/>
      <c r="T499" s="6"/>
      <c r="U499" s="6"/>
      <c r="V499" s="5"/>
      <c r="W499" s="6"/>
      <c r="X499" s="6">
        <f>E499*F499/100</f>
      </c>
      <c r="Y499" s="6">
        <f>E499*G499/100</f>
      </c>
      <c r="Z499" s="7">
        <f>E499*H499</f>
      </c>
      <c r="AA499" s="7">
        <f>E499*J499</f>
      </c>
      <c r="AB499" s="6">
        <f>E499*I499/100</f>
      </c>
      <c r="AC499" s="15">
        <f>X499+Y499+AB499</f>
      </c>
      <c r="AD499" s="6">
        <f>F499+G499+I499</f>
      </c>
      <c r="AE499" s="3"/>
      <c r="AF499" s="6">
        <f>SUM(AM499:BC499)</f>
      </c>
      <c r="AG499" s="5">
        <f>IF(SUM(AM499:AO499)&gt;0.7*AF499,1,0)</f>
      </c>
      <c r="AH499" s="5">
        <f>IF(AN499&gt;0.4*AF499,1,0)</f>
      </c>
      <c r="AI499" s="5">
        <f>IF(SUM(AP499:AQ499)&gt;0.3*AF499,1,0)</f>
      </c>
      <c r="AJ499" s="5">
        <f>IF(AQ499&gt;0.2*AF499,1,0)</f>
      </c>
      <c r="AK499" s="5">
        <f>IF(SUM(AR499:BC499)&gt;0.3*AF499,1,0)</f>
      </c>
      <c r="AL499" s="3"/>
      <c r="AM499" s="6">
        <f>(F499/100)*AM$41</f>
      </c>
      <c r="AN499" s="6">
        <f>(G499/100)*AN$41</f>
      </c>
      <c r="AO499" s="6">
        <f>(H499/1000000)*AO$41</f>
      </c>
      <c r="AP499" s="6">
        <f>(I499/100)*AP$41</f>
      </c>
      <c r="AQ499" s="6">
        <f>(J499/1000000)*AQ$41</f>
      </c>
      <c r="AR499" s="6">
        <f>(K499/100)*AR$41</f>
      </c>
      <c r="AS499" s="6">
        <f>(L499/100)*AS$41</f>
      </c>
      <c r="AT499" s="6">
        <f>(M499/100)*AT$41</f>
      </c>
      <c r="AU499" s="6">
        <f>(N499/100)*AU$41</f>
      </c>
      <c r="AV499" s="6">
        <f>(O499/1000000)*AV$41</f>
      </c>
      <c r="AW499" s="6">
        <f>(P499/100)*AW$41</f>
      </c>
      <c r="AX499" s="6">
        <f>(Q499/100)*AX$41</f>
      </c>
      <c r="AY499" s="6">
        <f>(R499/100)*AY$41</f>
      </c>
      <c r="AZ499" s="6">
        <f>(S499/100)*AZ$41</f>
      </c>
      <c r="BA499" s="6">
        <f>(T499/100)*BA$41</f>
      </c>
      <c r="BB499" s="6">
        <f>(U499/100)*BB$41</f>
      </c>
      <c r="BC499" s="6"/>
      <c r="BD499" s="3"/>
      <c r="BE499" s="3"/>
      <c r="BF499" s="7">
        <f>AF499*E499</f>
      </c>
      <c r="BG499" s="6"/>
      <c r="BH499" s="3"/>
      <c r="BI499" s="6"/>
    </row>
    <row x14ac:dyDescent="0.25" r="500" customHeight="1" ht="12.75">
      <c r="A500" s="5" t="s">
        <v>89</v>
      </c>
      <c r="B500" s="38" t="s">
        <v>859</v>
      </c>
      <c r="C500" s="43" t="s">
        <v>866</v>
      </c>
      <c r="D500" s="34" t="s">
        <v>989</v>
      </c>
      <c r="E500" s="23">
        <v>0.044216927999999996</v>
      </c>
      <c r="F500" s="6">
        <v>7.94</v>
      </c>
      <c r="G500" s="6">
        <v>6.74</v>
      </c>
      <c r="H500" s="6">
        <v>161.1</v>
      </c>
      <c r="I500" s="6"/>
      <c r="J500" s="7">
        <v>4.456569664902998</v>
      </c>
      <c r="K500" s="7"/>
      <c r="L500" s="6"/>
      <c r="M500" s="6"/>
      <c r="N500" s="23"/>
      <c r="O500" s="5"/>
      <c r="P500" s="6"/>
      <c r="Q500" s="6"/>
      <c r="R500" s="6"/>
      <c r="S500" s="6"/>
      <c r="T500" s="6"/>
      <c r="U500" s="6"/>
      <c r="V500" s="5"/>
      <c r="W500" s="6"/>
      <c r="X500" s="6">
        <f>E500*F500/100</f>
      </c>
      <c r="Y500" s="6">
        <f>E500*G500/100</f>
      </c>
      <c r="Z500" s="7">
        <f>E500*H500</f>
      </c>
      <c r="AA500" s="7">
        <f>E500*J500</f>
      </c>
      <c r="AB500" s="6">
        <f>E500*I500/100</f>
      </c>
      <c r="AC500" s="15">
        <f>X500+Y500+AB500</f>
      </c>
      <c r="AD500" s="6">
        <f>F500+G500+I500</f>
      </c>
      <c r="AE500" s="3"/>
      <c r="AF500" s="6">
        <f>SUM(AM500:BC500)</f>
      </c>
      <c r="AG500" s="5">
        <f>IF(SUM(AM500:AO500)&gt;0.7*AF500,1,0)</f>
      </c>
      <c r="AH500" s="5">
        <f>IF(AN500&gt;0.4*AF500,1,0)</f>
      </c>
      <c r="AI500" s="5">
        <f>IF(SUM(AP500:AQ500)&gt;0.3*AF500,1,0)</f>
      </c>
      <c r="AJ500" s="5">
        <f>IF(AQ500&gt;0.2*AF500,1,0)</f>
      </c>
      <c r="AK500" s="5">
        <f>IF(SUM(AR500:BC500)&gt;0.3*AF500,1,0)</f>
      </c>
      <c r="AL500" s="3"/>
      <c r="AM500" s="6">
        <f>(F500/100)*AM$41</f>
      </c>
      <c r="AN500" s="6">
        <f>(G500/100)*AN$41</f>
      </c>
      <c r="AO500" s="6">
        <f>(H500/1000000)*AO$41</f>
      </c>
      <c r="AP500" s="6">
        <f>(I500/100)*AP$41</f>
      </c>
      <c r="AQ500" s="6">
        <f>(J500/1000000)*AQ$41</f>
      </c>
      <c r="AR500" s="6">
        <f>(K500/100)*AR$41</f>
      </c>
      <c r="AS500" s="6">
        <f>(L500/100)*AS$41</f>
      </c>
      <c r="AT500" s="6">
        <f>(M500/100)*AT$41</f>
      </c>
      <c r="AU500" s="6">
        <f>(N500/100)*AU$41</f>
      </c>
      <c r="AV500" s="6">
        <f>(O500/1000000)*AV$41</f>
      </c>
      <c r="AW500" s="6">
        <f>(P500/100)*AW$41</f>
      </c>
      <c r="AX500" s="6">
        <f>(Q500/100)*AX$41</f>
      </c>
      <c r="AY500" s="6">
        <f>(R500/100)*AY$41</f>
      </c>
      <c r="AZ500" s="6">
        <f>(S500/100)*AZ$41</f>
      </c>
      <c r="BA500" s="6">
        <f>(T500/100)*BA$41</f>
      </c>
      <c r="BB500" s="6">
        <f>(U500/100)*BB$41</f>
      </c>
      <c r="BC500" s="6"/>
      <c r="BD500" s="3"/>
      <c r="BE500" s="3"/>
      <c r="BF500" s="7">
        <f>AF500*E500</f>
      </c>
      <c r="BG500" s="6"/>
      <c r="BH500" s="3"/>
      <c r="BI500" s="6"/>
    </row>
    <row x14ac:dyDescent="0.25" r="501" customHeight="1" ht="12.75">
      <c r="A501" s="5" t="s">
        <v>246</v>
      </c>
      <c r="B501" s="38" t="s">
        <v>859</v>
      </c>
      <c r="C501" s="43" t="s">
        <v>866</v>
      </c>
      <c r="D501" s="34" t="s">
        <v>1002</v>
      </c>
      <c r="E501" s="23">
        <v>0.072431</v>
      </c>
      <c r="F501" s="6">
        <v>2.84</v>
      </c>
      <c r="G501" s="6">
        <v>6.03</v>
      </c>
      <c r="H501" s="6">
        <v>366.7</v>
      </c>
      <c r="I501" s="6"/>
      <c r="J501" s="6"/>
      <c r="K501" s="7"/>
      <c r="L501" s="6"/>
      <c r="M501" s="6"/>
      <c r="N501" s="23"/>
      <c r="O501" s="5"/>
      <c r="P501" s="6"/>
      <c r="Q501" s="6"/>
      <c r="R501" s="6"/>
      <c r="S501" s="6"/>
      <c r="T501" s="6"/>
      <c r="U501" s="6"/>
      <c r="V501" s="5"/>
      <c r="W501" s="6"/>
      <c r="X501" s="6">
        <f>E501*F501/100</f>
      </c>
      <c r="Y501" s="6">
        <f>E501*G501/100</f>
      </c>
      <c r="Z501" s="7">
        <f>E501*H501</f>
      </c>
      <c r="AA501" s="7">
        <f>E501*J501</f>
      </c>
      <c r="AB501" s="6">
        <f>E501*I501/100</f>
      </c>
      <c r="AC501" s="15">
        <f>X501+Y501+AB501</f>
      </c>
      <c r="AD501" s="6">
        <f>F501+G501+I501</f>
      </c>
      <c r="AE501" s="3"/>
      <c r="AF501" s="6">
        <f>SUM(AM501:BC501)</f>
      </c>
      <c r="AG501" s="5">
        <f>IF(SUM(AM501:AO501)&gt;0.7*AF501,1,0)</f>
      </c>
      <c r="AH501" s="5">
        <f>IF(AN501&gt;0.4*AF501,1,0)</f>
      </c>
      <c r="AI501" s="5">
        <f>IF(SUM(AP501:AQ501)&gt;0.3*AF501,1,0)</f>
      </c>
      <c r="AJ501" s="5">
        <f>IF(AQ501&gt;0.2*AF501,1,0)</f>
      </c>
      <c r="AK501" s="5">
        <f>IF(SUM(AR501:BC501)&gt;0.3*AF501,1,0)</f>
      </c>
      <c r="AL501" s="3"/>
      <c r="AM501" s="6">
        <f>(F501/100)*AM$41</f>
      </c>
      <c r="AN501" s="6">
        <f>(G501/100)*AN$41</f>
      </c>
      <c r="AO501" s="6">
        <f>(H501/1000000)*AO$41</f>
      </c>
      <c r="AP501" s="6">
        <f>(I501/100)*AP$41</f>
      </c>
      <c r="AQ501" s="6">
        <f>(J501/1000000)*AQ$41</f>
      </c>
      <c r="AR501" s="6">
        <f>(K501/100)*AR$41</f>
      </c>
      <c r="AS501" s="6">
        <f>(L501/100)*AS$41</f>
      </c>
      <c r="AT501" s="6">
        <f>(M501/100)*AT$41</f>
      </c>
      <c r="AU501" s="6">
        <f>(N501/100)*AU$41</f>
      </c>
      <c r="AV501" s="6">
        <f>(O501/1000000)*AV$41</f>
      </c>
      <c r="AW501" s="6">
        <f>(P501/100)*AW$41</f>
      </c>
      <c r="AX501" s="6">
        <f>(Q501/100)*AX$41</f>
      </c>
      <c r="AY501" s="6">
        <f>(R501/100)*AY$41</f>
      </c>
      <c r="AZ501" s="6">
        <f>(S501/100)*AZ$41</f>
      </c>
      <c r="BA501" s="6">
        <f>(T501/100)*BA$41</f>
      </c>
      <c r="BB501" s="6">
        <f>(U501/100)*BB$41</f>
      </c>
      <c r="BC501" s="6"/>
      <c r="BD501" s="3"/>
      <c r="BE501" s="3"/>
      <c r="BF501" s="7">
        <f>AF501*E501</f>
      </c>
      <c r="BG501" s="6"/>
      <c r="BH501" s="3"/>
      <c r="BI501" s="6"/>
    </row>
    <row x14ac:dyDescent="0.25" r="502" customHeight="1" ht="12.75">
      <c r="A502" s="5" t="s">
        <v>69</v>
      </c>
      <c r="B502" s="38" t="s">
        <v>859</v>
      </c>
      <c r="C502" s="43" t="s">
        <v>866</v>
      </c>
      <c r="D502" s="34" t="s">
        <v>988</v>
      </c>
      <c r="E502" s="6">
        <v>0.025</v>
      </c>
      <c r="F502" s="6">
        <v>3.7</v>
      </c>
      <c r="G502" s="6">
        <v>15.6</v>
      </c>
      <c r="H502" s="6">
        <v>76.3</v>
      </c>
      <c r="I502" s="6"/>
      <c r="J502" s="6"/>
      <c r="K502" s="7"/>
      <c r="L502" s="6"/>
      <c r="M502" s="6"/>
      <c r="N502" s="23"/>
      <c r="O502" s="5"/>
      <c r="P502" s="6"/>
      <c r="Q502" s="6"/>
      <c r="R502" s="6"/>
      <c r="S502" s="6"/>
      <c r="T502" s="6"/>
      <c r="U502" s="6"/>
      <c r="V502" s="5"/>
      <c r="W502" s="6"/>
      <c r="X502" s="6">
        <f>E502*F502/100</f>
      </c>
      <c r="Y502" s="6">
        <f>E502*G502/100</f>
      </c>
      <c r="Z502" s="7">
        <f>E502*H502</f>
      </c>
      <c r="AA502" s="7">
        <f>E502*J502</f>
      </c>
      <c r="AB502" s="6">
        <f>E502*I502/100</f>
      </c>
      <c r="AC502" s="15">
        <f>X502+Y502+AB502</f>
      </c>
      <c r="AD502" s="6">
        <f>F502+G502+I502</f>
      </c>
      <c r="AE502" s="3"/>
      <c r="AF502" s="6">
        <f>SUM(AM502:BC502)</f>
      </c>
      <c r="AG502" s="5">
        <f>IF(SUM(AM502:AO502)&gt;0.7*AF502,1,0)</f>
      </c>
      <c r="AH502" s="5">
        <f>IF(AN502&gt;0.4*AF502,1,0)</f>
      </c>
      <c r="AI502" s="5">
        <f>IF(SUM(AP502:AQ502)&gt;0.3*AF502,1,0)</f>
      </c>
      <c r="AJ502" s="5">
        <f>IF(AQ502&gt;0.2*AF502,1,0)</f>
      </c>
      <c r="AK502" s="5">
        <f>IF(SUM(AR502:BC502)&gt;0.3*AF502,1,0)</f>
      </c>
      <c r="AL502" s="3"/>
      <c r="AM502" s="6">
        <f>(F502/100)*AM$41</f>
      </c>
      <c r="AN502" s="6">
        <f>(G502/100)*AN$41</f>
      </c>
      <c r="AO502" s="6">
        <f>(H502/1000000)*AO$41</f>
      </c>
      <c r="AP502" s="6">
        <f>(I502/100)*AP$41</f>
      </c>
      <c r="AQ502" s="6">
        <f>(J502/1000000)*AQ$41</f>
      </c>
      <c r="AR502" s="6">
        <f>(K502/100)*AR$41</f>
      </c>
      <c r="AS502" s="6">
        <f>(L502/100)*AS$41</f>
      </c>
      <c r="AT502" s="6">
        <f>(M502/100)*AT$41</f>
      </c>
      <c r="AU502" s="6">
        <f>(N502/100)*AU$41</f>
      </c>
      <c r="AV502" s="6">
        <f>(O502/1000000)*AV$41</f>
      </c>
      <c r="AW502" s="6">
        <f>(P502/100)*AW$41</f>
      </c>
      <c r="AX502" s="6">
        <f>(Q502/100)*AX$41</f>
      </c>
      <c r="AY502" s="6">
        <f>(R502/100)*AY$41</f>
      </c>
      <c r="AZ502" s="6">
        <f>(S502/100)*AZ$41</f>
      </c>
      <c r="BA502" s="6">
        <f>(T502/100)*BA$41</f>
      </c>
      <c r="BB502" s="6">
        <f>(U502/100)*BB$41</f>
      </c>
      <c r="BC502" s="6"/>
      <c r="BD502" s="3"/>
      <c r="BE502" s="3"/>
      <c r="BF502" s="7">
        <f>AF502*E502</f>
      </c>
      <c r="BG502" s="6"/>
      <c r="BH502" s="3"/>
      <c r="BI502" s="6"/>
    </row>
    <row x14ac:dyDescent="0.25" r="503" customHeight="1" ht="12.75">
      <c r="A503" s="5" t="s">
        <v>224</v>
      </c>
      <c r="B503" s="38" t="s">
        <v>859</v>
      </c>
      <c r="C503" s="43" t="s">
        <v>866</v>
      </c>
      <c r="D503" s="34" t="s">
        <v>988</v>
      </c>
      <c r="E503" s="6">
        <v>0.03</v>
      </c>
      <c r="F503" s="6"/>
      <c r="G503" s="6">
        <v>12.03</v>
      </c>
      <c r="H503" s="7"/>
      <c r="I503" s="6"/>
      <c r="J503" s="6"/>
      <c r="K503" s="7"/>
      <c r="L503" s="6"/>
      <c r="M503" s="6"/>
      <c r="N503" s="23"/>
      <c r="O503" s="5"/>
      <c r="P503" s="6"/>
      <c r="Q503" s="6"/>
      <c r="R503" s="6"/>
      <c r="S503" s="6"/>
      <c r="T503" s="6"/>
      <c r="U503" s="6"/>
      <c r="V503" s="5"/>
      <c r="W503" s="6"/>
      <c r="X503" s="6">
        <f>E503*F503/100</f>
      </c>
      <c r="Y503" s="6">
        <f>E503*G503/100</f>
      </c>
      <c r="Z503" s="7">
        <f>E503*H503</f>
      </c>
      <c r="AA503" s="7">
        <f>E503*J503</f>
      </c>
      <c r="AB503" s="6">
        <f>E503*I503/100</f>
      </c>
      <c r="AC503" s="15">
        <f>X503+Y503+AB503</f>
      </c>
      <c r="AD503" s="6">
        <f>F503+G503+I503</f>
      </c>
      <c r="AE503" s="3"/>
      <c r="AF503" s="6">
        <f>SUM(AM503:BC503)</f>
      </c>
      <c r="AG503" s="5">
        <f>IF(SUM(AM503:AO503)&gt;0.7*AF503,1,0)</f>
      </c>
      <c r="AH503" s="5">
        <f>IF(AN503&gt;0.4*AF503,1,0)</f>
      </c>
      <c r="AI503" s="5">
        <f>IF(SUM(AP503:AQ503)&gt;0.3*AF503,1,0)</f>
      </c>
      <c r="AJ503" s="5">
        <f>IF(AQ503&gt;0.2*AF503,1,0)</f>
      </c>
      <c r="AK503" s="5">
        <f>IF(SUM(AR503:BC503)&gt;0.3*AF503,1,0)</f>
      </c>
      <c r="AL503" s="3"/>
      <c r="AM503" s="6">
        <f>(F503/100)*AM$41</f>
      </c>
      <c r="AN503" s="6">
        <f>(G503/100)*AN$41</f>
      </c>
      <c r="AO503" s="6">
        <f>(H503/1000000)*AO$41</f>
      </c>
      <c r="AP503" s="6">
        <f>(I503/100)*AP$41</f>
      </c>
      <c r="AQ503" s="6">
        <f>(J503/1000000)*AQ$41</f>
      </c>
      <c r="AR503" s="6">
        <f>(K503/100)*AR$41</f>
      </c>
      <c r="AS503" s="6">
        <f>(L503/100)*AS$41</f>
      </c>
      <c r="AT503" s="6">
        <f>(M503/100)*AT$41</f>
      </c>
      <c r="AU503" s="6">
        <f>(N503/100)*AU$41</f>
      </c>
      <c r="AV503" s="6">
        <f>(O503/1000000)*AV$41</f>
      </c>
      <c r="AW503" s="6">
        <f>(P503/100)*AW$41</f>
      </c>
      <c r="AX503" s="6">
        <f>(Q503/100)*AX$41</f>
      </c>
      <c r="AY503" s="6">
        <f>(R503/100)*AY$41</f>
      </c>
      <c r="AZ503" s="6">
        <f>(S503/100)*AZ$41</f>
      </c>
      <c r="BA503" s="6">
        <f>(T503/100)*BA$41</f>
      </c>
      <c r="BB503" s="6">
        <f>(U503/100)*BB$41</f>
      </c>
      <c r="BC503" s="6"/>
      <c r="BD503" s="3"/>
      <c r="BE503" s="3"/>
      <c r="BF503" s="7">
        <f>AF503*E503</f>
      </c>
      <c r="BG503" s="6"/>
      <c r="BH503" s="3"/>
      <c r="BI503" s="6"/>
    </row>
    <row x14ac:dyDescent="0.25" r="504" customHeight="1" ht="12.75">
      <c r="A504" s="5" t="s">
        <v>754</v>
      </c>
      <c r="B504" s="38" t="s">
        <v>859</v>
      </c>
      <c r="C504" s="43" t="s">
        <v>866</v>
      </c>
      <c r="D504" s="34" t="s">
        <v>988</v>
      </c>
      <c r="E504" s="6">
        <v>0.05</v>
      </c>
      <c r="F504" s="6"/>
      <c r="G504" s="6">
        <v>4.5</v>
      </c>
      <c r="H504" s="7"/>
      <c r="I504" s="6"/>
      <c r="J504" s="6"/>
      <c r="K504" s="7"/>
      <c r="L504" s="6"/>
      <c r="M504" s="6"/>
      <c r="N504" s="23"/>
      <c r="O504" s="5"/>
      <c r="P504" s="6"/>
      <c r="Q504" s="6"/>
      <c r="R504" s="6"/>
      <c r="S504" s="6"/>
      <c r="T504" s="6"/>
      <c r="U504" s="6"/>
      <c r="V504" s="5"/>
      <c r="W504" s="6"/>
      <c r="X504" s="6">
        <f>E504*F504/100</f>
      </c>
      <c r="Y504" s="6">
        <f>E504*G504/100</f>
      </c>
      <c r="Z504" s="7">
        <f>E504*H504</f>
      </c>
      <c r="AA504" s="7">
        <f>E504*J504</f>
      </c>
      <c r="AB504" s="6">
        <f>E504*I504/100</f>
      </c>
      <c r="AC504" s="15">
        <f>X504+Y504+AB504</f>
      </c>
      <c r="AD504" s="6">
        <f>F504+G504+I504</f>
      </c>
      <c r="AE504" s="3"/>
      <c r="AF504" s="6">
        <f>SUM(AM504:BC504)</f>
      </c>
      <c r="AG504" s="5">
        <f>IF(SUM(AM504:AO504)&gt;0.7*AF504,1,0)</f>
      </c>
      <c r="AH504" s="5">
        <f>IF(AN504&gt;0.4*AF504,1,0)</f>
      </c>
      <c r="AI504" s="5">
        <f>IF(SUM(AP504:AQ504)&gt;0.3*AF504,1,0)</f>
      </c>
      <c r="AJ504" s="5">
        <f>IF(AQ504&gt;0.2*AF504,1,0)</f>
      </c>
      <c r="AK504" s="5">
        <f>IF(SUM(AR504:BC504)&gt;0.3*AF504,1,0)</f>
      </c>
      <c r="AL504" s="3"/>
      <c r="AM504" s="6">
        <f>(F504/100)*AM$41</f>
      </c>
      <c r="AN504" s="6">
        <f>(G504/100)*AN$41</f>
      </c>
      <c r="AO504" s="6">
        <f>(H504/1000000)*AO$41</f>
      </c>
      <c r="AP504" s="6">
        <f>(I504/100)*AP$41</f>
      </c>
      <c r="AQ504" s="6">
        <f>(J504/1000000)*AQ$41</f>
      </c>
      <c r="AR504" s="6">
        <f>(K504/100)*AR$41</f>
      </c>
      <c r="AS504" s="6">
        <f>(L504/100)*AS$41</f>
      </c>
      <c r="AT504" s="6">
        <f>(M504/100)*AT$41</f>
      </c>
      <c r="AU504" s="6">
        <f>(N504/100)*AU$41</f>
      </c>
      <c r="AV504" s="6">
        <f>(O504/1000000)*AV$41</f>
      </c>
      <c r="AW504" s="6">
        <f>(P504/100)*AW$41</f>
      </c>
      <c r="AX504" s="6">
        <f>(Q504/100)*AX$41</f>
      </c>
      <c r="AY504" s="6">
        <f>(R504/100)*AY$41</f>
      </c>
      <c r="AZ504" s="6">
        <f>(S504/100)*AZ$41</f>
      </c>
      <c r="BA504" s="6">
        <f>(T504/100)*BA$41</f>
      </c>
      <c r="BB504" s="6">
        <f>(U504/100)*BB$41</f>
      </c>
      <c r="BC504" s="6"/>
      <c r="BD504" s="3"/>
      <c r="BE504" s="3"/>
      <c r="BF504" s="7">
        <f>AF504*E504</f>
      </c>
      <c r="BG504" s="6"/>
      <c r="BH504" s="3"/>
      <c r="BI504" s="6"/>
    </row>
    <row x14ac:dyDescent="0.25" r="505" customHeight="1" ht="12.75">
      <c r="A505" s="5" t="s">
        <v>778</v>
      </c>
      <c r="B505" s="38" t="s">
        <v>859</v>
      </c>
      <c r="C505" s="43" t="s">
        <v>866</v>
      </c>
      <c r="D505" s="34" t="s">
        <v>989</v>
      </c>
      <c r="E505" s="23">
        <v>0.036287</v>
      </c>
      <c r="F505" s="6">
        <v>0.1</v>
      </c>
      <c r="G505" s="6">
        <v>4.1</v>
      </c>
      <c r="H505" s="7"/>
      <c r="I505" s="6"/>
      <c r="J505" s="6"/>
      <c r="K505" s="7"/>
      <c r="L505" s="6"/>
      <c r="M505" s="6"/>
      <c r="N505" s="23"/>
      <c r="O505" s="5"/>
      <c r="P505" s="6"/>
      <c r="Q505" s="6"/>
      <c r="R505" s="6"/>
      <c r="S505" s="6"/>
      <c r="T505" s="6"/>
      <c r="U505" s="6"/>
      <c r="V505" s="5"/>
      <c r="W505" s="6"/>
      <c r="X505" s="6">
        <f>E505*F505/100</f>
      </c>
      <c r="Y505" s="6">
        <f>E505*G505/100</f>
      </c>
      <c r="Z505" s="7">
        <f>E505*H505</f>
      </c>
      <c r="AA505" s="7">
        <f>E505*J505</f>
      </c>
      <c r="AB505" s="6">
        <f>E505*I505/100</f>
      </c>
      <c r="AC505" s="15">
        <f>X505+Y505+AB505</f>
      </c>
      <c r="AD505" s="6">
        <f>F505+G505+I505</f>
      </c>
      <c r="AE505" s="3"/>
      <c r="AF505" s="6">
        <f>SUM(AM505:BC505)</f>
      </c>
      <c r="AG505" s="5">
        <f>IF(SUM(AM505:AO505)&gt;0.7*AF505,1,0)</f>
      </c>
      <c r="AH505" s="5">
        <f>IF(AN505&gt;0.4*AF505,1,0)</f>
      </c>
      <c r="AI505" s="5">
        <f>IF(SUM(AP505:AQ505)&gt;0.3*AF505,1,0)</f>
      </c>
      <c r="AJ505" s="5">
        <f>IF(AQ505&gt;0.2*AF505,1,0)</f>
      </c>
      <c r="AK505" s="5">
        <f>IF(SUM(AR505:BC505)&gt;0.3*AF505,1,0)</f>
      </c>
      <c r="AL505" s="3"/>
      <c r="AM505" s="6">
        <f>(F505/100)*AM$41</f>
      </c>
      <c r="AN505" s="6">
        <f>(G505/100)*AN$41</f>
      </c>
      <c r="AO505" s="6">
        <f>(H505/1000000)*AO$41</f>
      </c>
      <c r="AP505" s="6">
        <f>(I505/100)*AP$41</f>
      </c>
      <c r="AQ505" s="6">
        <f>(J505/1000000)*AQ$41</f>
      </c>
      <c r="AR505" s="6">
        <f>(K505/100)*AR$41</f>
      </c>
      <c r="AS505" s="6">
        <f>(L505/100)*AS$41</f>
      </c>
      <c r="AT505" s="6">
        <f>(M505/100)*AT$41</f>
      </c>
      <c r="AU505" s="6">
        <f>(N505/100)*AU$41</f>
      </c>
      <c r="AV505" s="6">
        <f>(O505/1000000)*AV$41</f>
      </c>
      <c r="AW505" s="6">
        <f>(P505/100)*AW$41</f>
      </c>
      <c r="AX505" s="6">
        <f>(Q505/100)*AX$41</f>
      </c>
      <c r="AY505" s="6">
        <f>(R505/100)*AY$41</f>
      </c>
      <c r="AZ505" s="6">
        <f>(S505/100)*AZ$41</f>
      </c>
      <c r="BA505" s="6">
        <f>(T505/100)*BA$41</f>
      </c>
      <c r="BB505" s="6">
        <f>(U505/100)*BB$41</f>
      </c>
      <c r="BC505" s="6"/>
      <c r="BD505" s="3"/>
      <c r="BE505" s="3"/>
      <c r="BF505" s="7">
        <f>AF505*E505</f>
      </c>
      <c r="BG505" s="6"/>
      <c r="BH505" s="3"/>
      <c r="BI505" s="6"/>
    </row>
    <row x14ac:dyDescent="0.25" r="506" customHeight="1" ht="12.75">
      <c r="A506" s="5" t="s">
        <v>810</v>
      </c>
      <c r="B506" s="38" t="s">
        <v>859</v>
      </c>
      <c r="C506" s="43" t="s">
        <v>866</v>
      </c>
      <c r="D506" s="34" t="s">
        <v>989</v>
      </c>
      <c r="E506" s="6">
        <v>0.025</v>
      </c>
      <c r="F506" s="6">
        <v>1.75</v>
      </c>
      <c r="G506" s="6">
        <v>1.75</v>
      </c>
      <c r="H506" s="7"/>
      <c r="I506" s="6"/>
      <c r="J506" s="6"/>
      <c r="K506" s="7">
        <v>5.88408951655405</v>
      </c>
      <c r="L506" s="6"/>
      <c r="M506" s="6"/>
      <c r="N506" s="23"/>
      <c r="O506" s="5"/>
      <c r="P506" s="6"/>
      <c r="Q506" s="6"/>
      <c r="R506" s="6"/>
      <c r="S506" s="6"/>
      <c r="T506" s="6"/>
      <c r="U506" s="6"/>
      <c r="V506" s="5">
        <v>15</v>
      </c>
      <c r="W506" s="6" t="s">
        <v>997</v>
      </c>
      <c r="X506" s="6">
        <f>E506*F506/100</f>
      </c>
      <c r="Y506" s="6">
        <f>E506*G506/100</f>
      </c>
      <c r="Z506" s="7">
        <f>E506*H506</f>
      </c>
      <c r="AA506" s="7">
        <f>E506*J506</f>
      </c>
      <c r="AB506" s="6">
        <f>E506*I506/100</f>
      </c>
      <c r="AC506" s="15">
        <f>X506+Y506+AB506</f>
      </c>
      <c r="AD506" s="6">
        <f>F506+G506+I506</f>
      </c>
      <c r="AE506" s="3"/>
      <c r="AF506" s="6">
        <f>SUM(AM506:BC506)</f>
      </c>
      <c r="AG506" s="5">
        <f>IF(SUM(AM506:AO506)&gt;0.7*AF506,1,0)</f>
      </c>
      <c r="AH506" s="5">
        <f>IF(AN506&gt;0.4*AF506,1,0)</f>
      </c>
      <c r="AI506" s="5">
        <f>IF(SUM(AP506:AQ506)&gt;0.3*AF506,1,0)</f>
      </c>
      <c r="AJ506" s="5">
        <f>IF(AQ506&gt;0.2*AF506,1,0)</f>
      </c>
      <c r="AK506" s="5">
        <f>IF(SUM(AR506:BC506)&gt;0.3*AF506,1,0)</f>
      </c>
      <c r="AL506" s="3"/>
      <c r="AM506" s="6">
        <f>(F506/100)*AM$41</f>
      </c>
      <c r="AN506" s="6">
        <f>(G506/100)*AN$41</f>
      </c>
      <c r="AO506" s="6">
        <f>(H506/1000000)*AO$41</f>
      </c>
      <c r="AP506" s="6">
        <f>(I506/100)*AP$41</f>
      </c>
      <c r="AQ506" s="6">
        <f>(J506/1000000)*AQ$41</f>
      </c>
      <c r="AR506" s="6">
        <f>(K506/100)*AR$41</f>
      </c>
      <c r="AS506" s="6">
        <f>(L506/100)*AS$41</f>
      </c>
      <c r="AT506" s="6">
        <f>(M506/100)*AT$41</f>
      </c>
      <c r="AU506" s="6">
        <f>(N506/100)*AU$41</f>
      </c>
      <c r="AV506" s="6">
        <f>(O506/1000000)*AV$41</f>
      </c>
      <c r="AW506" s="6">
        <f>(P506/100)*AW$41</f>
      </c>
      <c r="AX506" s="6">
        <f>(Q506/100)*AX$41</f>
      </c>
      <c r="AY506" s="6">
        <f>(R506/100)*AY$41</f>
      </c>
      <c r="AZ506" s="6">
        <f>(S506/100)*AZ$41</f>
      </c>
      <c r="BA506" s="6">
        <f>(T506/100)*BA$41</f>
      </c>
      <c r="BB506" s="6">
        <f>(U506/100)*BB$41</f>
      </c>
      <c r="BC506" s="6">
        <f>(V506/100)*350</f>
      </c>
      <c r="BD506" s="3" t="s">
        <v>998</v>
      </c>
      <c r="BE506" s="3"/>
      <c r="BF506" s="7">
        <f>AF506*E506</f>
      </c>
      <c r="BG506" s="6"/>
      <c r="BH506" s="3"/>
      <c r="BI506" s="6"/>
    </row>
    <row x14ac:dyDescent="0.25" r="507" customHeight="1" ht="12.75">
      <c r="A507" s="5" t="s">
        <v>1078</v>
      </c>
      <c r="B507" s="16" t="s">
        <v>867</v>
      </c>
      <c r="C507" s="43" t="s">
        <v>866</v>
      </c>
      <c r="D507" s="34" t="s">
        <v>992</v>
      </c>
      <c r="E507" s="6">
        <v>0.12</v>
      </c>
      <c r="F507" s="6">
        <v>3.5</v>
      </c>
      <c r="G507" s="5">
        <v>24</v>
      </c>
      <c r="H507" s="5">
        <v>160</v>
      </c>
      <c r="I507" s="6"/>
      <c r="J507" s="6"/>
      <c r="K507" s="7"/>
      <c r="L507" s="6"/>
      <c r="M507" s="6"/>
      <c r="N507" s="23"/>
      <c r="O507" s="5"/>
      <c r="P507" s="6"/>
      <c r="Q507" s="6"/>
      <c r="R507" s="6"/>
      <c r="S507" s="6"/>
      <c r="T507" s="6"/>
      <c r="U507" s="6"/>
      <c r="V507" s="5"/>
      <c r="W507" s="6"/>
      <c r="X507" s="6">
        <f>E507*F507/100</f>
      </c>
      <c r="Y507" s="6">
        <f>E507*G507/100</f>
      </c>
      <c r="Z507" s="7">
        <f>E507*H507</f>
      </c>
      <c r="AA507" s="7">
        <f>E507*J507</f>
      </c>
      <c r="AB507" s="6">
        <f>E507*I507/100</f>
      </c>
      <c r="AC507" s="15">
        <f>X507+Y507+AB507</f>
      </c>
      <c r="AD507" s="6">
        <f>F507+G507+I507</f>
      </c>
      <c r="AE507" s="3"/>
      <c r="AF507" s="6">
        <f>SUM(AM507:BC507)</f>
      </c>
      <c r="AG507" s="5">
        <f>IF(SUM(AM507:AO507)&gt;0.7*AF507,1,0)</f>
      </c>
      <c r="AH507" s="5">
        <f>IF(AN507&gt;0.4*AF507,1,0)</f>
      </c>
      <c r="AI507" s="5">
        <f>IF(SUM(AP507:AQ507)&gt;0.3*AF507,1,0)</f>
      </c>
      <c r="AJ507" s="5">
        <f>IF(AQ507&gt;0.2*AF507,1,0)</f>
      </c>
      <c r="AK507" s="5">
        <f>IF(SUM(AR507:BC507)&gt;0.3*AF507,1,0)</f>
      </c>
      <c r="AL507" s="3"/>
      <c r="AM507" s="6">
        <f>(F507/100)*AM$41</f>
      </c>
      <c r="AN507" s="6">
        <f>(G507/100)*AN$41</f>
      </c>
      <c r="AO507" s="6">
        <f>(H507/1000000)*AO$41</f>
      </c>
      <c r="AP507" s="6">
        <f>(I507/100)*AP$41</f>
      </c>
      <c r="AQ507" s="6">
        <f>(J507/1000000)*AQ$41</f>
      </c>
      <c r="AR507" s="6">
        <f>(K507/100)*AR$41</f>
      </c>
      <c r="AS507" s="6">
        <f>(L507/100)*AS$41</f>
      </c>
      <c r="AT507" s="6">
        <f>(M507/100)*AT$41</f>
      </c>
      <c r="AU507" s="6">
        <f>(N507/100)*AU$41</f>
      </c>
      <c r="AV507" s="6">
        <f>(O507/1000000)*AV$41</f>
      </c>
      <c r="AW507" s="6">
        <f>(P507/100)*AW$41</f>
      </c>
      <c r="AX507" s="6">
        <f>(Q507/100)*AX$41</f>
      </c>
      <c r="AY507" s="6">
        <f>(R507/100)*AY$41</f>
      </c>
      <c r="AZ507" s="6">
        <f>(S507/100)*AZ$41</f>
      </c>
      <c r="BA507" s="6">
        <f>(T507/100)*BA$41</f>
      </c>
      <c r="BB507" s="6">
        <f>(U507/100)*BB$41</f>
      </c>
      <c r="BC507" s="6"/>
      <c r="BD507" s="3"/>
      <c r="BE507" s="3"/>
      <c r="BF507" s="7">
        <f>AF507*E507</f>
      </c>
      <c r="BG507" s="6"/>
      <c r="BH507" s="3"/>
      <c r="BI507" s="6"/>
    </row>
    <row x14ac:dyDescent="0.25" r="508" customHeight="1" ht="12.75">
      <c r="A508" s="5" t="s">
        <v>45</v>
      </c>
      <c r="B508" s="3" t="s">
        <v>855</v>
      </c>
      <c r="C508" s="43" t="s">
        <v>1007</v>
      </c>
      <c r="D508" s="34"/>
      <c r="E508" s="5">
        <v>3062</v>
      </c>
      <c r="F508" s="7"/>
      <c r="G508" s="23">
        <v>0.04198595689092097</v>
      </c>
      <c r="H508" s="31"/>
      <c r="I508" s="23">
        <v>0.011971913781841934</v>
      </c>
      <c r="J508" s="6"/>
      <c r="K508" s="7"/>
      <c r="L508" s="23">
        <v>0.034</v>
      </c>
      <c r="M508" s="6"/>
      <c r="N508" s="23"/>
      <c r="O508" s="5"/>
      <c r="P508" s="6"/>
      <c r="Q508" s="6"/>
      <c r="R508" s="6"/>
      <c r="S508" s="23">
        <v>0.017028086218158066</v>
      </c>
      <c r="T508" s="6"/>
      <c r="U508" s="6"/>
      <c r="V508" s="5"/>
      <c r="W508" s="6"/>
      <c r="X508" s="6">
        <f>E508*F508/100</f>
      </c>
      <c r="Y508" s="6">
        <f>E508*G508/100</f>
      </c>
      <c r="Z508" s="7">
        <f>E508*H508</f>
      </c>
      <c r="AA508" s="7">
        <f>E508*J508</f>
      </c>
      <c r="AB508" s="6">
        <f>E508*I508/100</f>
      </c>
      <c r="AC508" s="15">
        <f>X508+Y508+AB508</f>
      </c>
      <c r="AD508" s="6">
        <f>F508+G508+I508</f>
      </c>
      <c r="AE508" s="3"/>
      <c r="AF508" s="6">
        <f>SUM(AM508:BC508)</f>
      </c>
      <c r="AG508" s="5">
        <f>IF(SUM(AM508:AO508)&gt;0.7*AF508,1,0)</f>
      </c>
      <c r="AH508" s="5">
        <f>IF(AN508&gt;0.4*AF508,1,0)</f>
      </c>
      <c r="AI508" s="5">
        <f>IF(SUM(AP508:AQ508)&gt;0.3*AF508,1,0)</f>
      </c>
      <c r="AJ508" s="5">
        <f>IF(AQ508&gt;0.2*AF508,1,0)</f>
      </c>
      <c r="AK508" s="5">
        <f>IF(SUM(AR508:BC508)&gt;0.3*AF508,1,0)</f>
      </c>
      <c r="AL508" s="3"/>
      <c r="AM508" s="6">
        <f>(F508/100)*AM$41</f>
      </c>
      <c r="AN508" s="6">
        <f>(G508/100)*AN$41</f>
      </c>
      <c r="AO508" s="6">
        <f>(H508/1000000)*AO$41</f>
      </c>
      <c r="AP508" s="6">
        <f>(I508/100)*AP$41</f>
      </c>
      <c r="AQ508" s="6">
        <f>(J508/1000000)*AQ$41</f>
      </c>
      <c r="AR508" s="6">
        <f>(K508/100)*AR$41</f>
      </c>
      <c r="AS508" s="6">
        <f>(L508/100)*AS$41</f>
      </c>
      <c r="AT508" s="6">
        <f>(M508/100)*AT$41</f>
      </c>
      <c r="AU508" s="6">
        <f>(N508/100)*AU$41</f>
      </c>
      <c r="AV508" s="6">
        <f>(O508/1000000)*AV$41</f>
      </c>
      <c r="AW508" s="6">
        <f>(P508/100)*AW$41</f>
      </c>
      <c r="AX508" s="6">
        <f>(Q508/100)*AX$41</f>
      </c>
      <c r="AY508" s="6">
        <f>(R508/100)*AY$41</f>
      </c>
      <c r="AZ508" s="6">
        <f>(S508/100)*AZ$41</f>
      </c>
      <c r="BA508" s="6">
        <f>(T508/100)*BA$41</f>
      </c>
      <c r="BB508" s="6">
        <f>(U508/100)*BB$41</f>
      </c>
      <c r="BC508" s="6"/>
      <c r="BD508" s="3"/>
      <c r="BE508" s="3"/>
      <c r="BF508" s="7">
        <f>AF508*E508</f>
      </c>
      <c r="BG508" s="6"/>
      <c r="BH508" s="3"/>
      <c r="BI508" s="6"/>
    </row>
    <row x14ac:dyDescent="0.25" r="509" customHeight="1" ht="12.75">
      <c r="A509" s="5" t="s">
        <v>26</v>
      </c>
      <c r="B509" s="3" t="s">
        <v>855</v>
      </c>
      <c r="C509" s="43" t="s">
        <v>1007</v>
      </c>
      <c r="D509" s="34"/>
      <c r="E509" s="5">
        <v>2350</v>
      </c>
      <c r="F509" s="6"/>
      <c r="G509" s="23">
        <v>0.0431</v>
      </c>
      <c r="H509" s="7"/>
      <c r="I509" s="6"/>
      <c r="J509" s="6"/>
      <c r="K509" s="7"/>
      <c r="L509" s="23">
        <v>0.0316</v>
      </c>
      <c r="M509" s="6"/>
      <c r="N509" s="23"/>
      <c r="O509" s="5"/>
      <c r="P509" s="6">
        <v>0.0207</v>
      </c>
      <c r="Q509" s="6"/>
      <c r="R509" s="6"/>
      <c r="S509" s="23">
        <v>0.0155</v>
      </c>
      <c r="T509" s="6"/>
      <c r="U509" s="6">
        <v>0.1519</v>
      </c>
      <c r="V509" s="5"/>
      <c r="W509" s="6"/>
      <c r="X509" s="6">
        <f>E509*F509/100</f>
      </c>
      <c r="Y509" s="6">
        <f>E509*G509/100</f>
      </c>
      <c r="Z509" s="7">
        <f>E509*H509</f>
      </c>
      <c r="AA509" s="7">
        <f>E509*J509</f>
      </c>
      <c r="AB509" s="6">
        <f>E509*I509/100</f>
      </c>
      <c r="AC509" s="15">
        <f>X509+Y509+AB509</f>
      </c>
      <c r="AD509" s="6">
        <f>F509+G509+I509</f>
      </c>
      <c r="AE509" s="3"/>
      <c r="AF509" s="6">
        <f>SUM(AM509:BC509)</f>
      </c>
      <c r="AG509" s="5">
        <f>IF(SUM(AM509:AO509)&gt;0.7*AF509,1,0)</f>
      </c>
      <c r="AH509" s="5">
        <f>IF(AN509&gt;0.4*AF509,1,0)</f>
      </c>
      <c r="AI509" s="5">
        <f>IF(SUM(AP509:AQ509)&gt;0.3*AF509,1,0)</f>
      </c>
      <c r="AJ509" s="5">
        <f>IF(AQ509&gt;0.2*AF509,1,0)</f>
      </c>
      <c r="AK509" s="5">
        <f>IF(SUM(AR509:BC509)&gt;0.3*AF509,1,0)</f>
      </c>
      <c r="AL509" s="3"/>
      <c r="AM509" s="6">
        <f>(F509/100)*AM$41</f>
      </c>
      <c r="AN509" s="6">
        <f>(G509/100)*AN$41</f>
      </c>
      <c r="AO509" s="6">
        <f>(H509/1000000)*AO$41</f>
      </c>
      <c r="AP509" s="6">
        <f>(I509/100)*AP$41</f>
      </c>
      <c r="AQ509" s="6">
        <f>(J509/1000000)*AQ$41</f>
      </c>
      <c r="AR509" s="6">
        <f>(K509/100)*AR$41</f>
      </c>
      <c r="AS509" s="6">
        <f>(L509/100)*AS$41</f>
      </c>
      <c r="AT509" s="6">
        <f>(M509/100)*AT$41</f>
      </c>
      <c r="AU509" s="6">
        <f>(N509/100)*AU$41</f>
      </c>
      <c r="AV509" s="6">
        <f>(O509/1000000)*AV$41</f>
      </c>
      <c r="AW509" s="6">
        <f>(P509/100)*AW$41</f>
      </c>
      <c r="AX509" s="6">
        <f>(Q509/100)*AX$41</f>
      </c>
      <c r="AY509" s="6">
        <f>(R509/100)*AY$41</f>
      </c>
      <c r="AZ509" s="6">
        <f>(S509/100)*AZ$41</f>
      </c>
      <c r="BA509" s="6">
        <f>(T509/100)*BA$41</f>
      </c>
      <c r="BB509" s="6">
        <f>(U509/100)*BB$41</f>
      </c>
      <c r="BC509" s="6"/>
      <c r="BD509" s="3"/>
      <c r="BE509" s="3"/>
      <c r="BF509" s="7">
        <f>AF509*E509</f>
      </c>
      <c r="BG509" s="6"/>
      <c r="BH509" s="3"/>
      <c r="BI509" s="6"/>
    </row>
    <row x14ac:dyDescent="0.25" r="510" customHeight="1" ht="12.75">
      <c r="A510" s="5" t="s">
        <v>23</v>
      </c>
      <c r="B510" s="3" t="s">
        <v>855</v>
      </c>
      <c r="C510" s="43" t="s">
        <v>1003</v>
      </c>
      <c r="D510" s="34" t="s">
        <v>1004</v>
      </c>
      <c r="E510" s="7">
        <v>2052.8</v>
      </c>
      <c r="F510" s="6"/>
      <c r="G510" s="6">
        <v>0.5002542868277474</v>
      </c>
      <c r="H510" s="7"/>
      <c r="I510" s="6">
        <v>0.12999999999999998</v>
      </c>
      <c r="J510" s="6"/>
      <c r="K510" s="7"/>
      <c r="L510" s="6">
        <v>0.22270946999220576</v>
      </c>
      <c r="M510" s="6">
        <v>0.02</v>
      </c>
      <c r="N510" s="23"/>
      <c r="O510" s="5"/>
      <c r="P510" s="6"/>
      <c r="Q510" s="6"/>
      <c r="R510" s="6"/>
      <c r="S510" s="6">
        <v>0.0017</v>
      </c>
      <c r="T510" s="6"/>
      <c r="U510" s="6"/>
      <c r="V510" s="5"/>
      <c r="W510" s="6"/>
      <c r="X510" s="6">
        <f>E510*F510/100</f>
      </c>
      <c r="Y510" s="6">
        <f>E510*G510/100</f>
      </c>
      <c r="Z510" s="7">
        <f>E510*H510</f>
      </c>
      <c r="AA510" s="7">
        <f>E510*J510</f>
      </c>
      <c r="AB510" s="6">
        <f>E510*I510/100</f>
      </c>
      <c r="AC510" s="15">
        <f>X510+Y510+AB510</f>
      </c>
      <c r="AD510" s="6">
        <f>F510+G510+I510</f>
      </c>
      <c r="AE510" s="3"/>
      <c r="AF510" s="6">
        <f>SUM(AM510:BC510)</f>
      </c>
      <c r="AG510" s="5">
        <f>IF(SUM(AM510:AO510)&gt;0.7*AF510,1,0)</f>
      </c>
      <c r="AH510" s="5">
        <f>IF(AN510&gt;0.4*AF510,1,0)</f>
      </c>
      <c r="AI510" s="5">
        <f>IF(SUM(AP510:AQ510)&gt;0.3*AF510,1,0)</f>
      </c>
      <c r="AJ510" s="5">
        <f>IF(AQ510&gt;0.2*AF510,1,0)</f>
      </c>
      <c r="AK510" s="5">
        <f>IF(SUM(AR510:BC510)&gt;0.3*AF510,1,0)</f>
      </c>
      <c r="AL510" s="3"/>
      <c r="AM510" s="6">
        <f>(F510/100)*AM$41</f>
      </c>
      <c r="AN510" s="6">
        <f>(G510/100)*AN$41</f>
      </c>
      <c r="AO510" s="6">
        <f>(H510/1000000)*AO$41</f>
      </c>
      <c r="AP510" s="6">
        <f>(I510/100)*AP$41</f>
      </c>
      <c r="AQ510" s="6">
        <f>(J510/1000000)*AQ$41</f>
      </c>
      <c r="AR510" s="6">
        <f>(K510/100)*AR$41</f>
      </c>
      <c r="AS510" s="6">
        <f>(L510/100)*AS$41</f>
      </c>
      <c r="AT510" s="6">
        <f>(M510/100)*AT$41</f>
      </c>
      <c r="AU510" s="6">
        <f>(N510/100)*AU$41</f>
      </c>
      <c r="AV510" s="6">
        <f>(O510/1000000)*AV$41</f>
      </c>
      <c r="AW510" s="6">
        <f>(P510/100)*AW$41</f>
      </c>
      <c r="AX510" s="6">
        <f>(Q510/100)*AX$41</f>
      </c>
      <c r="AY510" s="6">
        <f>(R510/100)*AY$41</f>
      </c>
      <c r="AZ510" s="6">
        <f>(S510/100)*AZ$41</f>
      </c>
      <c r="BA510" s="6">
        <f>(T510/100)*BA$41</f>
      </c>
      <c r="BB510" s="6">
        <f>(U510/100)*BB$41</f>
      </c>
      <c r="BC510" s="6"/>
      <c r="BD510" s="3"/>
      <c r="BE510" s="3"/>
      <c r="BF510" s="7">
        <f>AF510*E510</f>
      </c>
      <c r="BG510" s="6"/>
      <c r="BH510" s="3"/>
      <c r="BI510" s="6"/>
    </row>
    <row x14ac:dyDescent="0.25" r="511" customHeight="1" ht="12.75">
      <c r="A511" s="5" t="s">
        <v>123</v>
      </c>
      <c r="B511" s="3" t="s">
        <v>855</v>
      </c>
      <c r="C511" s="43" t="s">
        <v>1003</v>
      </c>
      <c r="D511" s="34" t="s">
        <v>1004</v>
      </c>
      <c r="E511" s="6">
        <v>10.1</v>
      </c>
      <c r="F511" s="6">
        <v>4.029029702970297</v>
      </c>
      <c r="G511" s="6">
        <v>10.152178217821783</v>
      </c>
      <c r="H511" s="31">
        <v>84.45148514851486</v>
      </c>
      <c r="I511" s="6">
        <v>1.7774257425742577</v>
      </c>
      <c r="J511" s="6">
        <v>0.5505346534653466</v>
      </c>
      <c r="K511" s="7"/>
      <c r="L511" s="6"/>
      <c r="M511" s="6"/>
      <c r="N511" s="23"/>
      <c r="O511" s="5"/>
      <c r="P511" s="6"/>
      <c r="Q511" s="6"/>
      <c r="R511" s="6"/>
      <c r="S511" s="6"/>
      <c r="T511" s="6"/>
      <c r="U511" s="6"/>
      <c r="V511" s="5"/>
      <c r="W511" s="6"/>
      <c r="X511" s="6">
        <f>E511*F511/100</f>
      </c>
      <c r="Y511" s="6">
        <f>E511*G511/100</f>
      </c>
      <c r="Z511" s="7">
        <f>E511*H511</f>
      </c>
      <c r="AA511" s="7">
        <f>E511*J511</f>
      </c>
      <c r="AB511" s="6">
        <f>E511*I511/100</f>
      </c>
      <c r="AC511" s="15">
        <f>X511+Y511+AB511</f>
      </c>
      <c r="AD511" s="6">
        <f>F511+G511+I511</f>
      </c>
      <c r="AE511" s="3"/>
      <c r="AF511" s="6">
        <f>SUM(AM511:BC511)</f>
      </c>
      <c r="AG511" s="5">
        <f>IF(SUM(AM511:AO511)&gt;0.7*AF511,1,0)</f>
      </c>
      <c r="AH511" s="5">
        <f>IF(AN511&gt;0.4*AF511,1,0)</f>
      </c>
      <c r="AI511" s="5">
        <f>IF(SUM(AP511:AQ511)&gt;0.3*AF511,1,0)</f>
      </c>
      <c r="AJ511" s="5">
        <f>IF(AQ511&gt;0.2*AF511,1,0)</f>
      </c>
      <c r="AK511" s="5">
        <f>IF(SUM(AR511:BC511)&gt;0.3*AF511,1,0)</f>
      </c>
      <c r="AL511" s="3"/>
      <c r="AM511" s="6">
        <f>(F511/100)*AM$41</f>
      </c>
      <c r="AN511" s="6">
        <f>(G511/100)*AN$41</f>
      </c>
      <c r="AO511" s="6">
        <f>(H511/1000000)*AO$41</f>
      </c>
      <c r="AP511" s="6">
        <f>(I511/100)*AP$41</f>
      </c>
      <c r="AQ511" s="6">
        <f>(J511/1000000)*AQ$41</f>
      </c>
      <c r="AR511" s="6">
        <f>(K511/100)*AR$41</f>
      </c>
      <c r="AS511" s="6">
        <f>(L511/100)*AS$41</f>
      </c>
      <c r="AT511" s="6">
        <f>(M511/100)*AT$41</f>
      </c>
      <c r="AU511" s="6">
        <f>(N511/100)*AU$41</f>
      </c>
      <c r="AV511" s="6">
        <f>(O511/1000000)*AV$41</f>
      </c>
      <c r="AW511" s="6">
        <f>(P511/100)*AW$41</f>
      </c>
      <c r="AX511" s="6">
        <f>(Q511/100)*AX$41</f>
      </c>
      <c r="AY511" s="6">
        <f>(R511/100)*AY$41</f>
      </c>
      <c r="AZ511" s="6">
        <f>(S511/100)*AZ$41</f>
      </c>
      <c r="BA511" s="6">
        <f>(T511/100)*BA$41</f>
      </c>
      <c r="BB511" s="6">
        <f>(U511/100)*BB$41</f>
      </c>
      <c r="BC511" s="6"/>
      <c r="BD511" s="3"/>
      <c r="BE511" s="3"/>
      <c r="BF511" s="7">
        <f>AF511*E511</f>
      </c>
      <c r="BG511" s="6"/>
      <c r="BH511" s="3"/>
      <c r="BI511" s="6"/>
    </row>
    <row x14ac:dyDescent="0.25" r="512" customHeight="1" ht="12.75">
      <c r="A512" s="5" t="s">
        <v>622</v>
      </c>
      <c r="B512" s="3" t="s">
        <v>855</v>
      </c>
      <c r="C512" s="43" t="s">
        <v>1003</v>
      </c>
      <c r="D512" s="34" t="s">
        <v>1004</v>
      </c>
      <c r="E512" s="6">
        <v>34.4</v>
      </c>
      <c r="F512" s="6"/>
      <c r="G512" s="6">
        <v>0.38</v>
      </c>
      <c r="H512" s="7"/>
      <c r="I512" s="6">
        <v>0.1</v>
      </c>
      <c r="J512" s="6"/>
      <c r="K512" s="7"/>
      <c r="L512" s="6">
        <v>0.19</v>
      </c>
      <c r="M512" s="6"/>
      <c r="N512" s="23"/>
      <c r="O512" s="5"/>
      <c r="P512" s="6"/>
      <c r="Q512" s="6"/>
      <c r="R512" s="6"/>
      <c r="S512" s="6"/>
      <c r="T512" s="6"/>
      <c r="U512" s="6"/>
      <c r="V512" s="5"/>
      <c r="W512" s="6"/>
      <c r="X512" s="6">
        <f>E512*F512/100</f>
      </c>
      <c r="Y512" s="6">
        <f>E512*G512/100</f>
      </c>
      <c r="Z512" s="7">
        <f>E512*H512</f>
      </c>
      <c r="AA512" s="7">
        <f>E512*J512</f>
      </c>
      <c r="AB512" s="6">
        <f>E512*I512/100</f>
      </c>
      <c r="AC512" s="15">
        <f>X512+Y512+AB512</f>
      </c>
      <c r="AD512" s="6">
        <f>F512+G512+I512</f>
      </c>
      <c r="AE512" s="3"/>
      <c r="AF512" s="6">
        <f>SUM(AM512:BC512)</f>
      </c>
      <c r="AG512" s="5">
        <f>IF(SUM(AM512:AO512)&gt;0.7*AF512,1,0)</f>
      </c>
      <c r="AH512" s="5">
        <f>IF(AN512&gt;0.4*AF512,1,0)</f>
      </c>
      <c r="AI512" s="5">
        <f>IF(SUM(AP512:AQ512)&gt;0.3*AF512,1,0)</f>
      </c>
      <c r="AJ512" s="5">
        <f>IF(AQ512&gt;0.2*AF512,1,0)</f>
      </c>
      <c r="AK512" s="5">
        <f>IF(SUM(AR512:BC512)&gt;0.3*AF512,1,0)</f>
      </c>
      <c r="AL512" s="3"/>
      <c r="AM512" s="6">
        <f>(F512/100)*AM$41</f>
      </c>
      <c r="AN512" s="6">
        <f>(G512/100)*AN$41</f>
      </c>
      <c r="AO512" s="6">
        <f>(H512/1000000)*AO$41</f>
      </c>
      <c r="AP512" s="6">
        <f>(I512/100)*AP$41</f>
      </c>
      <c r="AQ512" s="6">
        <f>(J512/1000000)*AQ$41</f>
      </c>
      <c r="AR512" s="6">
        <f>(K512/100)*AR$41</f>
      </c>
      <c r="AS512" s="6">
        <f>(L512/100)*AS$41</f>
      </c>
      <c r="AT512" s="6">
        <f>(M512/100)*AT$41</f>
      </c>
      <c r="AU512" s="6">
        <f>(N512/100)*AU$41</f>
      </c>
      <c r="AV512" s="6">
        <f>(O512/1000000)*AV$41</f>
      </c>
      <c r="AW512" s="6">
        <f>(P512/100)*AW$41</f>
      </c>
      <c r="AX512" s="6">
        <f>(Q512/100)*AX$41</f>
      </c>
      <c r="AY512" s="6">
        <f>(R512/100)*AY$41</f>
      </c>
      <c r="AZ512" s="6">
        <f>(S512/100)*AZ$41</f>
      </c>
      <c r="BA512" s="6">
        <f>(T512/100)*BA$41</f>
      </c>
      <c r="BB512" s="6">
        <f>(U512/100)*BB$41</f>
      </c>
      <c r="BC512" s="6"/>
      <c r="BD512" s="3"/>
      <c r="BE512" s="3"/>
      <c r="BF512" s="7">
        <f>AF512*E512</f>
      </c>
      <c r="BG512" s="6"/>
      <c r="BH512" s="3"/>
      <c r="BI512" s="6"/>
    </row>
    <row x14ac:dyDescent="0.25" r="513" customHeight="1" ht="12.75">
      <c r="A513" s="5" t="s">
        <v>226</v>
      </c>
      <c r="B513" s="3" t="s">
        <v>855</v>
      </c>
      <c r="C513" s="43" t="s">
        <v>963</v>
      </c>
      <c r="D513" s="34"/>
      <c r="E513" s="6">
        <v>54.5</v>
      </c>
      <c r="F513" s="6">
        <v>3.094935779816514</v>
      </c>
      <c r="G513" s="6">
        <v>0.6040917431192661</v>
      </c>
      <c r="H513" s="18">
        <v>12.143120567375886</v>
      </c>
      <c r="I513" s="6">
        <v>0.4310642201834863</v>
      </c>
      <c r="J513" s="6"/>
      <c r="K513" s="7"/>
      <c r="L513" s="23">
        <v>0.08207339449541286</v>
      </c>
      <c r="M513" s="6">
        <v>0.09862385321100918</v>
      </c>
      <c r="N513" s="23"/>
      <c r="O513" s="5"/>
      <c r="P513" s="6"/>
      <c r="Q513" s="6"/>
      <c r="R513" s="6"/>
      <c r="S513" s="6"/>
      <c r="T513" s="6"/>
      <c r="U513" s="6"/>
      <c r="V513" s="5"/>
      <c r="W513" s="6"/>
      <c r="X513" s="6">
        <f>E513*F513/100</f>
      </c>
      <c r="Y513" s="6">
        <f>E513*G513/100</f>
      </c>
      <c r="Z513" s="7">
        <f>E513*H513</f>
      </c>
      <c r="AA513" s="7">
        <f>E513*J513</f>
      </c>
      <c r="AB513" s="6">
        <f>E513*I513/100</f>
      </c>
      <c r="AC513" s="15">
        <f>X513+Y513+AB513</f>
      </c>
      <c r="AD513" s="6">
        <f>F513+G513+I513</f>
      </c>
      <c r="AE513" s="3"/>
      <c r="AF513" s="6">
        <f>SUM(AM513:BC513)</f>
      </c>
      <c r="AG513" s="5">
        <f>IF(SUM(AM513:AO513)&gt;0.7*AF513,1,0)</f>
      </c>
      <c r="AH513" s="5">
        <f>IF(AN513&gt;0.4*AF513,1,0)</f>
      </c>
      <c r="AI513" s="5">
        <f>IF(SUM(AP513:AQ513)&gt;0.3*AF513,1,0)</f>
      </c>
      <c r="AJ513" s="5">
        <f>IF(AQ513&gt;0.2*AF513,1,0)</f>
      </c>
      <c r="AK513" s="5">
        <f>IF(SUM(AR513:BC513)&gt;0.3*AF513,1,0)</f>
      </c>
      <c r="AL513" s="3"/>
      <c r="AM513" s="6">
        <f>(F513/100)*AM$41</f>
      </c>
      <c r="AN513" s="6">
        <f>(G513/100)*AN$41</f>
      </c>
      <c r="AO513" s="6">
        <f>(H513/1000000)*AO$41</f>
      </c>
      <c r="AP513" s="6">
        <f>(I513/100)*AP$41</f>
      </c>
      <c r="AQ513" s="6">
        <f>(J513/1000000)*AQ$41</f>
      </c>
      <c r="AR513" s="6">
        <f>(K513/100)*AR$41</f>
      </c>
      <c r="AS513" s="6">
        <f>(L513/100)*AS$41</f>
      </c>
      <c r="AT513" s="6">
        <f>(M513/100)*AT$41</f>
      </c>
      <c r="AU513" s="6">
        <f>(N513/100)*AU$41</f>
      </c>
      <c r="AV513" s="6">
        <f>(O513/1000000)*AV$41</f>
      </c>
      <c r="AW513" s="6">
        <f>(P513/100)*AW$41</f>
      </c>
      <c r="AX513" s="6">
        <f>(Q513/100)*AX$41</f>
      </c>
      <c r="AY513" s="6">
        <f>(R513/100)*AY$41</f>
      </c>
      <c r="AZ513" s="6">
        <f>(S513/100)*AZ$41</f>
      </c>
      <c r="BA513" s="6">
        <f>(T513/100)*BA$41</f>
      </c>
      <c r="BB513" s="6">
        <f>(U513/100)*BB$41</f>
      </c>
      <c r="BC513" s="6"/>
      <c r="BD513" s="3"/>
      <c r="BE513" s="3"/>
      <c r="BF513" s="7">
        <f>AF513*E513</f>
      </c>
      <c r="BG513" s="6"/>
      <c r="BH513" s="3"/>
      <c r="BI513" s="6"/>
    </row>
    <row x14ac:dyDescent="0.25" r="514" customHeight="1" ht="12.75">
      <c r="A514" s="5" t="s">
        <v>7</v>
      </c>
      <c r="B514" s="3" t="s">
        <v>855</v>
      </c>
      <c r="C514" s="43" t="s">
        <v>1008</v>
      </c>
      <c r="D514" s="34"/>
      <c r="E514" s="7">
        <v>5008.7480000000005</v>
      </c>
      <c r="F514" s="6"/>
      <c r="G514" s="23">
        <v>0.017247699241407233</v>
      </c>
      <c r="H514" s="7"/>
      <c r="I514" s="23">
        <v>0.004132823162594724</v>
      </c>
      <c r="J514" s="6"/>
      <c r="K514" s="7"/>
      <c r="L514" s="23">
        <v>0.006873871753979238</v>
      </c>
      <c r="M514" s="23">
        <v>0.0015435868504464591</v>
      </c>
      <c r="N514" s="23"/>
      <c r="O514" s="5"/>
      <c r="P514" s="15">
        <v>0.001615811332451756</v>
      </c>
      <c r="Q514" s="6"/>
      <c r="R514" s="6"/>
      <c r="S514" s="15">
        <v>0.0011085777224168593</v>
      </c>
      <c r="T514" s="6"/>
      <c r="U514" s="23">
        <v>0.03510999954608588</v>
      </c>
      <c r="V514" s="23">
        <v>0.025609670614293232</v>
      </c>
      <c r="W514" s="6" t="s">
        <v>1009</v>
      </c>
      <c r="X514" s="6">
        <f>E514*F514/100</f>
      </c>
      <c r="Y514" s="6">
        <f>E514*G514/100</f>
      </c>
      <c r="Z514" s="7">
        <f>E514*H514</f>
      </c>
      <c r="AA514" s="7">
        <f>E514*J514</f>
      </c>
      <c r="AB514" s="6">
        <f>E514*I514/100</f>
      </c>
      <c r="AC514" s="15">
        <f>X514+Y514+AB514</f>
      </c>
      <c r="AD514" s="6">
        <f>F514+G514+I514</f>
      </c>
      <c r="AE514" s="3"/>
      <c r="AF514" s="6">
        <f>SUM(AM514:BC514)</f>
      </c>
      <c r="AG514" s="5">
        <f>IF(SUM(AM514:AO514)&gt;0.7*AF514,1,0)</f>
      </c>
      <c r="AH514" s="5">
        <f>IF(AN514&gt;0.4*AF514,1,0)</f>
      </c>
      <c r="AI514" s="5">
        <f>IF(SUM(AP514:AQ514)&gt;0.3*AF514,1,0)</f>
      </c>
      <c r="AJ514" s="5">
        <f>IF(AQ514&gt;0.2*AF514,1,0)</f>
      </c>
      <c r="AK514" s="5">
        <f>IF(SUM(AR514:BC514)&gt;0.3*AF514,1,0)</f>
      </c>
      <c r="AL514" s="3"/>
      <c r="AM514" s="6">
        <f>(F514/100)*AM$41</f>
      </c>
      <c r="AN514" s="6">
        <f>(G514/100)*AN$41</f>
      </c>
      <c r="AO514" s="6">
        <f>(H514/1000000)*AO$41</f>
      </c>
      <c r="AP514" s="6">
        <f>(I514/100)*AP$41</f>
      </c>
      <c r="AQ514" s="6">
        <f>(J514/1000000)*AQ$41</f>
      </c>
      <c r="AR514" s="6">
        <f>(K514/100)*AR$41</f>
      </c>
      <c r="AS514" s="6">
        <f>(L514/100)*AS$41</f>
      </c>
      <c r="AT514" s="6">
        <f>(M514/100)*AT$41</f>
      </c>
      <c r="AU514" s="6">
        <f>(N514/100)*AU$41</f>
      </c>
      <c r="AV514" s="6">
        <f>(O514/1000000)*AV$41</f>
      </c>
      <c r="AW514" s="6">
        <f>(P514/100)*AW$41</f>
      </c>
      <c r="AX514" s="6">
        <f>(Q514/100)*AX$41</f>
      </c>
      <c r="AY514" s="6">
        <f>(R514/100)*AY$41</f>
      </c>
      <c r="AZ514" s="6">
        <f>(S514/100)*AZ$41</f>
      </c>
      <c r="BA514" s="6">
        <f>(T514/100)*BA$41</f>
      </c>
      <c r="BB514" s="6">
        <f>(U514/100)*BB$41</f>
      </c>
      <c r="BC514" s="6">
        <f>(V514/100)*20000+(10.9/1000000)*134000000+(70.2/1000000)*6600</f>
      </c>
      <c r="BD514" s="50" t="s">
        <v>1010</v>
      </c>
      <c r="BE514" s="3"/>
      <c r="BF514" s="7">
        <f>AF514*E514</f>
      </c>
      <c r="BG514" s="6"/>
      <c r="BH514" s="3"/>
      <c r="BI514" s="6"/>
    </row>
    <row x14ac:dyDescent="0.25" r="515" customHeight="1" ht="12.75">
      <c r="A515" s="5" t="s">
        <v>183</v>
      </c>
      <c r="B515" s="3" t="s">
        <v>855</v>
      </c>
      <c r="C515" s="43" t="s">
        <v>868</v>
      </c>
      <c r="D515" s="34"/>
      <c r="E515" s="6">
        <v>8.7</v>
      </c>
      <c r="F515" s="6"/>
      <c r="G515" s="7">
        <v>2.8137931034482757</v>
      </c>
      <c r="H515" s="7">
        <v>3.3586206896551727</v>
      </c>
      <c r="I515" s="6"/>
      <c r="J515" s="6"/>
      <c r="K515" s="7"/>
      <c r="L515" s="7">
        <v>0.20000000000000004</v>
      </c>
      <c r="M515" s="6"/>
      <c r="N515" s="23"/>
      <c r="O515" s="5"/>
      <c r="P515" s="15">
        <v>0.0616551724137931</v>
      </c>
      <c r="Q515" s="6"/>
      <c r="R515" s="6"/>
      <c r="S515" s="6">
        <v>0.11000000000000001</v>
      </c>
      <c r="T515" s="6"/>
      <c r="U515" s="7">
        <v>0.4931034482758621</v>
      </c>
      <c r="V515" s="6">
        <v>9.331034482758621</v>
      </c>
      <c r="W515" s="6" t="s">
        <v>1005</v>
      </c>
      <c r="X515" s="6">
        <f>E515*F515/100</f>
      </c>
      <c r="Y515" s="6">
        <f>E515*G515/100</f>
      </c>
      <c r="Z515" s="7">
        <f>E515*H515</f>
      </c>
      <c r="AA515" s="7">
        <f>E515*J515</f>
      </c>
      <c r="AB515" s="6">
        <f>E515*I515/100</f>
      </c>
      <c r="AC515" s="15">
        <f>X515+Y515+AB515</f>
      </c>
      <c r="AD515" s="6">
        <f>F515+G515+I515</f>
      </c>
      <c r="AE515" s="3"/>
      <c r="AF515" s="6">
        <f>SUM(AM515:BC515)</f>
      </c>
      <c r="AG515" s="5">
        <f>IF(SUM(AM515:AO515)&gt;0.7*AF515,1,0)</f>
      </c>
      <c r="AH515" s="5">
        <f>IF(AN515&gt;0.4*AF515,1,0)</f>
      </c>
      <c r="AI515" s="5">
        <f>IF(SUM(AP515:AQ515)&gt;0.3*AF515,1,0)</f>
      </c>
      <c r="AJ515" s="5">
        <f>IF(AQ515&gt;0.2*AF515,1,0)</f>
      </c>
      <c r="AK515" s="5">
        <f>IF(SUM(AR515:BC515)&gt;0.3*AF515,1,0)</f>
      </c>
      <c r="AL515" s="3"/>
      <c r="AM515" s="6">
        <f>(F515/100)*AM$41</f>
      </c>
      <c r="AN515" s="6">
        <f>(G515/100)*AN$41</f>
      </c>
      <c r="AO515" s="6">
        <f>(H515/1000000)*AO$41</f>
      </c>
      <c r="AP515" s="6">
        <f>(I515/100)*AP$41</f>
      </c>
      <c r="AQ515" s="6">
        <f>(J515/1000000)*AQ$41</f>
      </c>
      <c r="AR515" s="6">
        <f>(K515/100)*AR$41</f>
      </c>
      <c r="AS515" s="6">
        <f>(L515/100)*AS$41</f>
      </c>
      <c r="AT515" s="6">
        <f>(M515/100)*AT$41</f>
      </c>
      <c r="AU515" s="6">
        <f>(N515/100)*AU$41</f>
      </c>
      <c r="AV515" s="6">
        <f>(O515/1000000)*AV$41</f>
      </c>
      <c r="AW515" s="6">
        <f>(P515/100)*AW$41</f>
      </c>
      <c r="AX515" s="6">
        <f>(Q515/100)*AX$41</f>
      </c>
      <c r="AY515" s="6">
        <f>(R515/100)*AY$41</f>
      </c>
      <c r="AZ515" s="6">
        <f>(S515/100)*AZ$41</f>
      </c>
      <c r="BA515" s="6">
        <f>(T515/100)*BA$41</f>
      </c>
      <c r="BB515" s="6">
        <f>(U515/100)*BB$41</f>
      </c>
      <c r="BC515" s="6">
        <f>(V515/100)*90+(497/1000000)*60000+(101/1000000)*56000+(6.9/1000000)*3000000+(37.3/100)*375</f>
      </c>
      <c r="BD515" s="50" t="s">
        <v>1006</v>
      </c>
      <c r="BE515" s="3"/>
      <c r="BF515" s="7">
        <f>AF515*E515</f>
      </c>
      <c r="BG515" s="6"/>
      <c r="BH515" s="3"/>
      <c r="BI515" s="6"/>
    </row>
    <row x14ac:dyDescent="0.25" r="516" customHeight="1" ht="12.75">
      <c r="A516" s="5" t="s">
        <v>12</v>
      </c>
      <c r="B516" s="38" t="s">
        <v>859</v>
      </c>
      <c r="C516" s="43" t="s">
        <v>1011</v>
      </c>
      <c r="D516" s="34" t="s">
        <v>1012</v>
      </c>
      <c r="E516" s="23">
        <v>0.019958</v>
      </c>
      <c r="F516" s="6">
        <v>26.7</v>
      </c>
      <c r="G516" s="6">
        <v>7.3</v>
      </c>
      <c r="H516" s="5">
        <v>1027.4</v>
      </c>
      <c r="I516" s="6"/>
      <c r="J516" s="6"/>
      <c r="K516" s="7"/>
      <c r="L516" s="6"/>
      <c r="M516" s="6"/>
      <c r="N516" s="23"/>
      <c r="O516" s="5"/>
      <c r="P516" s="6"/>
      <c r="Q516" s="6"/>
      <c r="R516" s="6"/>
      <c r="S516" s="6"/>
      <c r="T516" s="6"/>
      <c r="U516" s="6"/>
      <c r="V516" s="5"/>
      <c r="W516" s="6"/>
      <c r="X516" s="6">
        <f>E516*F516/100</f>
      </c>
      <c r="Y516" s="6">
        <f>E516*G516/100</f>
      </c>
      <c r="Z516" s="7">
        <f>E516*H516</f>
      </c>
      <c r="AA516" s="7">
        <f>E516*J516</f>
      </c>
      <c r="AB516" s="6">
        <f>E516*I516/100</f>
      </c>
      <c r="AC516" s="15">
        <f>X516+Y516+AB516</f>
      </c>
      <c r="AD516" s="6">
        <f>F516+G516+I516</f>
      </c>
      <c r="AE516" s="3"/>
      <c r="AF516" s="6">
        <f>SUM(AM516:BC516)</f>
      </c>
      <c r="AG516" s="5">
        <f>IF(SUM(AM516:AO516)&gt;0.7*AF516,1,0)</f>
      </c>
      <c r="AH516" s="5">
        <f>IF(AN516&gt;0.4*AF516,1,0)</f>
      </c>
      <c r="AI516" s="5">
        <f>IF(SUM(AP516:AQ516)&gt;0.3*AF516,1,0)</f>
      </c>
      <c r="AJ516" s="5">
        <f>IF(AQ516&gt;0.2*AF516,1,0)</f>
      </c>
      <c r="AK516" s="5">
        <f>IF(SUM(AR516:BC516)&gt;0.3*AF516,1,0)</f>
      </c>
      <c r="AL516" s="3"/>
      <c r="AM516" s="6">
        <f>(F516/100)*AM$41</f>
      </c>
      <c r="AN516" s="6">
        <f>(G516/100)*AN$41</f>
      </c>
      <c r="AO516" s="6">
        <f>(H516/1000000)*AO$41</f>
      </c>
      <c r="AP516" s="6">
        <f>(I516/100)*AP$41</f>
      </c>
      <c r="AQ516" s="6">
        <f>(J516/1000000)*AQ$41</f>
      </c>
      <c r="AR516" s="6">
        <f>(K516/100)*AR$41</f>
      </c>
      <c r="AS516" s="6">
        <f>(L516/100)*AS$41</f>
      </c>
      <c r="AT516" s="6">
        <f>(M516/100)*AT$41</f>
      </c>
      <c r="AU516" s="6">
        <f>(N516/100)*AU$41</f>
      </c>
      <c r="AV516" s="6">
        <f>(O516/1000000)*AV$41</f>
      </c>
      <c r="AW516" s="6">
        <f>(P516/100)*AW$41</f>
      </c>
      <c r="AX516" s="6">
        <f>(Q516/100)*AX$41</f>
      </c>
      <c r="AY516" s="6">
        <f>(R516/100)*AY$41</f>
      </c>
      <c r="AZ516" s="6">
        <f>(S516/100)*AZ$41</f>
      </c>
      <c r="BA516" s="6">
        <f>(T516/100)*BA$41</f>
      </c>
      <c r="BB516" s="6">
        <f>(U516/100)*BB$41</f>
      </c>
      <c r="BC516" s="6"/>
      <c r="BD516" s="3"/>
      <c r="BE516" s="3"/>
      <c r="BF516" s="7">
        <f>AF516*E516</f>
      </c>
      <c r="BG516" s="6"/>
      <c r="BH516" s="3"/>
      <c r="BI516" s="6"/>
    </row>
    <row x14ac:dyDescent="0.25" r="517" customHeight="1" ht="12.75">
      <c r="A517" s="5" t="s">
        <v>4</v>
      </c>
      <c r="B517" s="3" t="s">
        <v>855</v>
      </c>
      <c r="C517" s="43" t="s">
        <v>869</v>
      </c>
      <c r="D517" s="34" t="s">
        <v>1020</v>
      </c>
      <c r="E517" s="5">
        <v>2121</v>
      </c>
      <c r="F517" s="6"/>
      <c r="G517" s="6">
        <v>0.6544507307873644</v>
      </c>
      <c r="H517" s="7">
        <v>10.296888260254597</v>
      </c>
      <c r="I517" s="6">
        <v>0.834068835454974</v>
      </c>
      <c r="J517" s="6"/>
      <c r="K517" s="7"/>
      <c r="L517" s="6"/>
      <c r="M517" s="6"/>
      <c r="N517" s="23"/>
      <c r="O517" s="5"/>
      <c r="P517" s="23">
        <v>0.017445073078736443</v>
      </c>
      <c r="Q517" s="6"/>
      <c r="R517" s="6"/>
      <c r="S517" s="6"/>
      <c r="T517" s="6"/>
      <c r="U517" s="6"/>
      <c r="V517" s="5"/>
      <c r="W517" s="6"/>
      <c r="X517" s="6">
        <f>E517*F517/100</f>
      </c>
      <c r="Y517" s="6">
        <f>E517*G517/100</f>
      </c>
      <c r="Z517" s="7">
        <f>E517*H517</f>
      </c>
      <c r="AA517" s="7">
        <f>E517*J517</f>
      </c>
      <c r="AB517" s="6">
        <f>E517*I517/100</f>
      </c>
      <c r="AC517" s="15">
        <f>X517+Y517+AB517</f>
      </c>
      <c r="AD517" s="6">
        <f>F517+G517+I517</f>
      </c>
      <c r="AE517" s="3"/>
      <c r="AF517" s="6">
        <f>SUM(AM517:BC517)</f>
      </c>
      <c r="AG517" s="5">
        <f>IF(SUM(AM517:AO517)&gt;0.7*AF517,1,0)</f>
      </c>
      <c r="AH517" s="5">
        <f>IF(AN517&gt;0.4*AF517,1,0)</f>
      </c>
      <c r="AI517" s="5">
        <f>IF(SUM(AP517:AQ517)&gt;0.3*AF517,1,0)</f>
      </c>
      <c r="AJ517" s="5">
        <f>IF(AQ517&gt;0.2*AF517,1,0)</f>
      </c>
      <c r="AK517" s="5">
        <f>IF(SUM(AR517:BC517)&gt;0.3*AF517,1,0)</f>
      </c>
      <c r="AL517" s="3"/>
      <c r="AM517" s="6">
        <f>(F517/100)*AM$41</f>
      </c>
      <c r="AN517" s="6">
        <f>(G517/100)*AN$41</f>
      </c>
      <c r="AO517" s="6">
        <f>(H517/1000000)*AO$41</f>
      </c>
      <c r="AP517" s="6">
        <f>(I517/100)*AP$41</f>
      </c>
      <c r="AQ517" s="6">
        <f>(J517/1000000)*AQ$41</f>
      </c>
      <c r="AR517" s="6">
        <f>(K517/100)*AR$41</f>
      </c>
      <c r="AS517" s="6">
        <f>(L517/100)*AS$41</f>
      </c>
      <c r="AT517" s="6">
        <f>(M517/100)*AT$41</f>
      </c>
      <c r="AU517" s="6">
        <f>(N517/100)*AU$41</f>
      </c>
      <c r="AV517" s="6">
        <f>(O517/1000000)*AV$41</f>
      </c>
      <c r="AW517" s="6">
        <f>(P517/100)*AW$41</f>
      </c>
      <c r="AX517" s="6">
        <f>(Q517/100)*AX$41</f>
      </c>
      <c r="AY517" s="6">
        <f>(R517/100)*AY$41</f>
      </c>
      <c r="AZ517" s="6">
        <f>(S517/100)*AZ$41</f>
      </c>
      <c r="BA517" s="6">
        <f>(T517/100)*BA$41</f>
      </c>
      <c r="BB517" s="6">
        <f>(U517/100)*BB$41</f>
      </c>
      <c r="BC517" s="6"/>
      <c r="BD517" s="3"/>
      <c r="BE517" s="3"/>
      <c r="BF517" s="7">
        <f>AF517*E517</f>
      </c>
      <c r="BG517" s="6"/>
      <c r="BH517" s="3"/>
      <c r="BI517" s="6"/>
    </row>
    <row x14ac:dyDescent="0.25" r="518" customHeight="1" ht="12.75">
      <c r="A518" s="5" t="s">
        <v>54</v>
      </c>
      <c r="B518" s="3" t="s">
        <v>855</v>
      </c>
      <c r="C518" s="43" t="s">
        <v>869</v>
      </c>
      <c r="D518" s="34"/>
      <c r="E518" s="6">
        <v>851.37</v>
      </c>
      <c r="F518" s="6">
        <v>0.3042597225648073</v>
      </c>
      <c r="G518" s="6">
        <v>0.8263523497421802</v>
      </c>
      <c r="H518" s="7">
        <v>30.65408811679998</v>
      </c>
      <c r="I518" s="6"/>
      <c r="J518" s="6">
        <v>0.4833944113605131</v>
      </c>
      <c r="K518" s="7"/>
      <c r="L518" s="6"/>
      <c r="M518" s="6"/>
      <c r="N518" s="23"/>
      <c r="O518" s="5"/>
      <c r="P518" s="6"/>
      <c r="Q518" s="6"/>
      <c r="R518" s="6"/>
      <c r="S518" s="6"/>
      <c r="T518" s="6"/>
      <c r="U518" s="6"/>
      <c r="V518" s="5"/>
      <c r="W518" s="6"/>
      <c r="X518" s="6">
        <f>E518*F518/100</f>
      </c>
      <c r="Y518" s="6">
        <f>E518*G518/100</f>
      </c>
      <c r="Z518" s="7">
        <f>E518*H518</f>
      </c>
      <c r="AA518" s="7">
        <f>E518*J518</f>
      </c>
      <c r="AB518" s="6">
        <f>E518*I518/100</f>
      </c>
      <c r="AC518" s="15">
        <f>X518+Y518+AB518</f>
      </c>
      <c r="AD518" s="6">
        <f>F518+G518+I518</f>
      </c>
      <c r="AE518" s="3"/>
      <c r="AF518" s="6">
        <f>SUM(AM518:BC518)</f>
      </c>
      <c r="AG518" s="5">
        <f>IF(SUM(AM518:AO518)&gt;0.7*AF518,1,0)</f>
      </c>
      <c r="AH518" s="5">
        <f>IF(AN518&gt;0.4*AF518,1,0)</f>
      </c>
      <c r="AI518" s="5">
        <f>IF(SUM(AP518:AQ518)&gt;0.3*AF518,1,0)</f>
      </c>
      <c r="AJ518" s="5">
        <f>IF(AQ518&gt;0.2*AF518,1,0)</f>
      </c>
      <c r="AK518" s="5">
        <f>IF(SUM(AR518:BC518)&gt;0.3*AF518,1,0)</f>
      </c>
      <c r="AL518" s="3"/>
      <c r="AM518" s="6">
        <f>(F518/100)*AM$41</f>
      </c>
      <c r="AN518" s="6">
        <f>(G518/100)*AN$41</f>
      </c>
      <c r="AO518" s="6">
        <f>(H518/1000000)*AO$41</f>
      </c>
      <c r="AP518" s="6">
        <f>(I518/100)*AP$41</f>
      </c>
      <c r="AQ518" s="6">
        <f>(J518/1000000)*AQ$41</f>
      </c>
      <c r="AR518" s="6">
        <f>(K518/100)*AR$41</f>
      </c>
      <c r="AS518" s="6">
        <f>(L518/100)*AS$41</f>
      </c>
      <c r="AT518" s="6">
        <f>(M518/100)*AT$41</f>
      </c>
      <c r="AU518" s="6">
        <f>(N518/100)*AU$41</f>
      </c>
      <c r="AV518" s="6">
        <f>(O518/1000000)*AV$41</f>
      </c>
      <c r="AW518" s="6">
        <f>(P518/100)*AW$41</f>
      </c>
      <c r="AX518" s="6">
        <f>(Q518/100)*AX$41</f>
      </c>
      <c r="AY518" s="6">
        <f>(R518/100)*AY$41</f>
      </c>
      <c r="AZ518" s="6">
        <f>(S518/100)*AZ$41</f>
      </c>
      <c r="BA518" s="6">
        <f>(T518/100)*BA$41</f>
      </c>
      <c r="BB518" s="6">
        <f>(U518/100)*BB$41</f>
      </c>
      <c r="BC518" s="6"/>
      <c r="BD518" s="3"/>
      <c r="BE518" s="3"/>
      <c r="BF518" s="7">
        <f>AF518*E518</f>
      </c>
      <c r="BG518" s="6"/>
      <c r="BH518" s="3"/>
      <c r="BI518" s="6"/>
    </row>
    <row x14ac:dyDescent="0.25" r="519" customHeight="1" ht="12.75">
      <c r="A519" s="5" t="s">
        <v>146</v>
      </c>
      <c r="B519" s="3" t="s">
        <v>855</v>
      </c>
      <c r="C519" s="43" t="s">
        <v>869</v>
      </c>
      <c r="D519" s="34"/>
      <c r="E519" s="6">
        <v>71.745</v>
      </c>
      <c r="F519" s="6">
        <v>0.7704001672590424</v>
      </c>
      <c r="G519" s="6">
        <v>4.4857249982577185</v>
      </c>
      <c r="H519" s="7">
        <v>109.82996752386926</v>
      </c>
      <c r="I519" s="6">
        <v>0.21626426928705833</v>
      </c>
      <c r="J519" s="6"/>
      <c r="K519" s="7"/>
      <c r="L519" s="6"/>
      <c r="M519" s="6"/>
      <c r="N519" s="23"/>
      <c r="O519" s="5"/>
      <c r="P519" s="6"/>
      <c r="Q519" s="6"/>
      <c r="R519" s="6"/>
      <c r="S519" s="6"/>
      <c r="T519" s="6"/>
      <c r="U519" s="6"/>
      <c r="V519" s="5"/>
      <c r="W519" s="6"/>
      <c r="X519" s="6">
        <f>E519*F519/100</f>
      </c>
      <c r="Y519" s="6">
        <f>E519*G519/100</f>
      </c>
      <c r="Z519" s="7">
        <f>E519*H519</f>
      </c>
      <c r="AA519" s="7">
        <f>E519*J519</f>
      </c>
      <c r="AB519" s="6">
        <f>E519*I519/100</f>
      </c>
      <c r="AC519" s="15">
        <f>X519+Y519+AB519</f>
      </c>
      <c r="AD519" s="6">
        <f>F519+G519+I519</f>
      </c>
      <c r="AE519" s="3"/>
      <c r="AF519" s="6">
        <f>SUM(AM519:BC519)</f>
      </c>
      <c r="AG519" s="5">
        <f>IF(SUM(AM519:AO519)&gt;0.7*AF519,1,0)</f>
      </c>
      <c r="AH519" s="5">
        <f>IF(AN519&gt;0.4*AF519,1,0)</f>
      </c>
      <c r="AI519" s="5">
        <f>IF(SUM(AP519:AQ519)&gt;0.3*AF519,1,0)</f>
      </c>
      <c r="AJ519" s="5">
        <f>IF(AQ519&gt;0.2*AF519,1,0)</f>
      </c>
      <c r="AK519" s="5">
        <f>IF(SUM(AR519:BC519)&gt;0.3*AF519,1,0)</f>
      </c>
      <c r="AL519" s="3"/>
      <c r="AM519" s="6">
        <f>(F519/100)*AM$41</f>
      </c>
      <c r="AN519" s="6">
        <f>(G519/100)*AN$41</f>
      </c>
      <c r="AO519" s="6">
        <f>(H519/1000000)*AO$41</f>
      </c>
      <c r="AP519" s="6">
        <f>(I519/100)*AP$41</f>
      </c>
      <c r="AQ519" s="6">
        <f>(J519/1000000)*AQ$41</f>
      </c>
      <c r="AR519" s="6">
        <f>(K519/100)*AR$41</f>
      </c>
      <c r="AS519" s="6">
        <f>(L519/100)*AS$41</f>
      </c>
      <c r="AT519" s="6">
        <f>(M519/100)*AT$41</f>
      </c>
      <c r="AU519" s="6">
        <f>(N519/100)*AU$41</f>
      </c>
      <c r="AV519" s="6">
        <f>(O519/1000000)*AV$41</f>
      </c>
      <c r="AW519" s="6">
        <f>(P519/100)*AW$41</f>
      </c>
      <c r="AX519" s="6">
        <f>(Q519/100)*AX$41</f>
      </c>
      <c r="AY519" s="6">
        <f>(R519/100)*AY$41</f>
      </c>
      <c r="AZ519" s="6">
        <f>(S519/100)*AZ$41</f>
      </c>
      <c r="BA519" s="6">
        <f>(T519/100)*BA$41</f>
      </c>
      <c r="BB519" s="6">
        <f>(U519/100)*BB$41</f>
      </c>
      <c r="BC519" s="6"/>
      <c r="BD519" s="3"/>
      <c r="BE519" s="3"/>
      <c r="BF519" s="7">
        <f>AF519*E519</f>
      </c>
      <c r="BG519" s="6"/>
      <c r="BH519" s="3"/>
      <c r="BI519" s="6"/>
    </row>
    <row x14ac:dyDescent="0.25" r="520" customHeight="1" ht="12.75">
      <c r="A520" s="5" t="s">
        <v>165</v>
      </c>
      <c r="B520" s="3" t="s">
        <v>855</v>
      </c>
      <c r="C520" s="43" t="s">
        <v>869</v>
      </c>
      <c r="D520" s="34"/>
      <c r="E520" s="23">
        <v>60.45558</v>
      </c>
      <c r="F520" s="6">
        <v>0.65</v>
      </c>
      <c r="G520" s="6">
        <v>4.38</v>
      </c>
      <c r="H520" s="7">
        <v>30.478</v>
      </c>
      <c r="I520" s="6">
        <v>0.06</v>
      </c>
      <c r="J520" s="6"/>
      <c r="K520" s="7"/>
      <c r="L520" s="6"/>
      <c r="M520" s="6"/>
      <c r="N520" s="23"/>
      <c r="O520" s="5"/>
      <c r="P520" s="6"/>
      <c r="Q520" s="6"/>
      <c r="R520" s="6"/>
      <c r="S520" s="6"/>
      <c r="T520" s="6"/>
      <c r="U520" s="6"/>
      <c r="V520" s="5"/>
      <c r="W520" s="6"/>
      <c r="X520" s="6">
        <f>E520*F520/100</f>
      </c>
      <c r="Y520" s="6">
        <f>E520*G520/100</f>
      </c>
      <c r="Z520" s="7">
        <f>E520*H520</f>
      </c>
      <c r="AA520" s="7">
        <f>E520*J520</f>
      </c>
      <c r="AB520" s="6">
        <f>E520*I520/100</f>
      </c>
      <c r="AC520" s="15">
        <f>X520+Y520+AB520</f>
      </c>
      <c r="AD520" s="6">
        <f>F520+G520+I520</f>
      </c>
      <c r="AE520" s="3"/>
      <c r="AF520" s="6">
        <f>SUM(AM520:BC520)</f>
      </c>
      <c r="AG520" s="5">
        <f>IF(SUM(AM520:AO520)&gt;0.7*AF520,1,0)</f>
      </c>
      <c r="AH520" s="5">
        <f>IF(AN520&gt;0.4*AF520,1,0)</f>
      </c>
      <c r="AI520" s="5">
        <f>IF(SUM(AP520:AQ520)&gt;0.3*AF520,1,0)</f>
      </c>
      <c r="AJ520" s="5">
        <f>IF(AQ520&gt;0.2*AF520,1,0)</f>
      </c>
      <c r="AK520" s="5">
        <f>IF(SUM(AR520:BC520)&gt;0.3*AF520,1,0)</f>
      </c>
      <c r="AL520" s="3"/>
      <c r="AM520" s="6">
        <f>(F520/100)*AM$41</f>
      </c>
      <c r="AN520" s="6">
        <f>(G520/100)*AN$41</f>
      </c>
      <c r="AO520" s="6">
        <f>(H520/1000000)*AO$41</f>
      </c>
      <c r="AP520" s="6">
        <f>(I520/100)*AP$41</f>
      </c>
      <c r="AQ520" s="6">
        <f>(J520/1000000)*AQ$41</f>
      </c>
      <c r="AR520" s="6">
        <f>(K520/100)*AR$41</f>
      </c>
      <c r="AS520" s="6">
        <f>(L520/100)*AS$41</f>
      </c>
      <c r="AT520" s="6">
        <f>(M520/100)*AT$41</f>
      </c>
      <c r="AU520" s="6">
        <f>(N520/100)*AU$41</f>
      </c>
      <c r="AV520" s="6">
        <f>(O520/1000000)*AV$41</f>
      </c>
      <c r="AW520" s="6">
        <f>(P520/100)*AW$41</f>
      </c>
      <c r="AX520" s="6">
        <f>(Q520/100)*AX$41</f>
      </c>
      <c r="AY520" s="6">
        <f>(R520/100)*AY$41</f>
      </c>
      <c r="AZ520" s="6">
        <f>(S520/100)*AZ$41</f>
      </c>
      <c r="BA520" s="6">
        <f>(T520/100)*BA$41</f>
      </c>
      <c r="BB520" s="6">
        <f>(U520/100)*BB$41</f>
      </c>
      <c r="BC520" s="6"/>
      <c r="BD520" s="3"/>
      <c r="BE520" s="3"/>
      <c r="BF520" s="7">
        <f>AF520*E520</f>
      </c>
      <c r="BG520" s="6"/>
      <c r="BH520" s="3"/>
      <c r="BI520" s="6"/>
    </row>
    <row x14ac:dyDescent="0.25" r="521" customHeight="1" ht="12.75">
      <c r="A521" s="5" t="s">
        <v>216</v>
      </c>
      <c r="B521" s="3" t="s">
        <v>855</v>
      </c>
      <c r="C521" s="43" t="s">
        <v>869</v>
      </c>
      <c r="D521" s="34"/>
      <c r="E521" s="23">
        <v>40.972762</v>
      </c>
      <c r="F521" s="6">
        <v>0.89</v>
      </c>
      <c r="G521" s="6">
        <v>4.64</v>
      </c>
      <c r="H521" s="7">
        <v>60.334</v>
      </c>
      <c r="I521" s="6">
        <v>0.27</v>
      </c>
      <c r="J521" s="6"/>
      <c r="K521" s="7"/>
      <c r="L521" s="6"/>
      <c r="M521" s="6"/>
      <c r="N521" s="23"/>
      <c r="O521" s="5"/>
      <c r="P521" s="6"/>
      <c r="Q521" s="6"/>
      <c r="R521" s="6"/>
      <c r="S521" s="6"/>
      <c r="T521" s="6"/>
      <c r="U521" s="6"/>
      <c r="V521" s="5"/>
      <c r="W521" s="6"/>
      <c r="X521" s="6">
        <f>E521*F521/100</f>
      </c>
      <c r="Y521" s="6">
        <f>E521*G521/100</f>
      </c>
      <c r="Z521" s="7">
        <f>E521*H521</f>
      </c>
      <c r="AA521" s="7">
        <f>E521*J521</f>
      </c>
      <c r="AB521" s="6">
        <f>E521*I521/100</f>
      </c>
      <c r="AC521" s="15">
        <f>X521+Y521+AB521</f>
      </c>
      <c r="AD521" s="6">
        <f>F521+G521+I521</f>
      </c>
      <c r="AE521" s="3"/>
      <c r="AF521" s="6">
        <f>SUM(AM521:BC521)</f>
      </c>
      <c r="AG521" s="5">
        <f>IF(SUM(AM521:AO521)&gt;0.7*AF521,1,0)</f>
      </c>
      <c r="AH521" s="5">
        <f>IF(AN521&gt;0.4*AF521,1,0)</f>
      </c>
      <c r="AI521" s="5">
        <f>IF(SUM(AP521:AQ521)&gt;0.3*AF521,1,0)</f>
      </c>
      <c r="AJ521" s="5">
        <f>IF(AQ521&gt;0.2*AF521,1,0)</f>
      </c>
      <c r="AK521" s="5">
        <f>IF(SUM(AR521:BC521)&gt;0.3*AF521,1,0)</f>
      </c>
      <c r="AL521" s="3"/>
      <c r="AM521" s="6">
        <f>(F521/100)*AM$41</f>
      </c>
      <c r="AN521" s="6">
        <f>(G521/100)*AN$41</f>
      </c>
      <c r="AO521" s="6">
        <f>(H521/1000000)*AO$41</f>
      </c>
      <c r="AP521" s="6">
        <f>(I521/100)*AP$41</f>
      </c>
      <c r="AQ521" s="6">
        <f>(J521/1000000)*AQ$41</f>
      </c>
      <c r="AR521" s="6">
        <f>(K521/100)*AR$41</f>
      </c>
      <c r="AS521" s="6">
        <f>(L521/100)*AS$41</f>
      </c>
      <c r="AT521" s="6">
        <f>(M521/100)*AT$41</f>
      </c>
      <c r="AU521" s="6">
        <f>(N521/100)*AU$41</f>
      </c>
      <c r="AV521" s="6">
        <f>(O521/1000000)*AV$41</f>
      </c>
      <c r="AW521" s="6">
        <f>(P521/100)*AW$41</f>
      </c>
      <c r="AX521" s="6">
        <f>(Q521/100)*AX$41</f>
      </c>
      <c r="AY521" s="6">
        <f>(R521/100)*AY$41</f>
      </c>
      <c r="AZ521" s="6">
        <f>(S521/100)*AZ$41</f>
      </c>
      <c r="BA521" s="6">
        <f>(T521/100)*BA$41</f>
      </c>
      <c r="BB521" s="6">
        <f>(U521/100)*BB$41</f>
      </c>
      <c r="BC521" s="6"/>
      <c r="BD521" s="3"/>
      <c r="BE521" s="3"/>
      <c r="BF521" s="7">
        <f>AF521*E521</f>
      </c>
      <c r="BG521" s="6"/>
      <c r="BH521" s="3"/>
      <c r="BI521" s="6"/>
    </row>
    <row x14ac:dyDescent="0.25" r="522" customHeight="1" ht="12.75">
      <c r="A522" s="5" t="s">
        <v>242</v>
      </c>
      <c r="B522" s="3" t="s">
        <v>855</v>
      </c>
      <c r="C522" s="43" t="s">
        <v>869</v>
      </c>
      <c r="D522" s="34"/>
      <c r="E522" s="6">
        <v>49.4</v>
      </c>
      <c r="F522" s="6">
        <v>0.4</v>
      </c>
      <c r="G522" s="6">
        <v>4.1</v>
      </c>
      <c r="H522" s="6">
        <v>23.9</v>
      </c>
      <c r="I522" s="6"/>
      <c r="J522" s="6">
        <v>0.5</v>
      </c>
      <c r="K522" s="7"/>
      <c r="L522" s="6"/>
      <c r="M522" s="6"/>
      <c r="N522" s="23"/>
      <c r="O522" s="5"/>
      <c r="P522" s="6"/>
      <c r="Q522" s="6"/>
      <c r="R522" s="6"/>
      <c r="S522" s="6"/>
      <c r="T522" s="6"/>
      <c r="U522" s="6"/>
      <c r="V522" s="5"/>
      <c r="W522" s="6"/>
      <c r="X522" s="6">
        <f>E522*F522/100</f>
      </c>
      <c r="Y522" s="6">
        <f>E522*G522/100</f>
      </c>
      <c r="Z522" s="7">
        <f>E522*H522</f>
      </c>
      <c r="AA522" s="7">
        <f>E522*J522</f>
      </c>
      <c r="AB522" s="6">
        <f>E522*I522/100</f>
      </c>
      <c r="AC522" s="15">
        <f>X522+Y522+AB522</f>
      </c>
      <c r="AD522" s="6">
        <f>F522+G522+I522</f>
      </c>
      <c r="AE522" s="3"/>
      <c r="AF522" s="6">
        <f>SUM(AM522:BC522)</f>
      </c>
      <c r="AG522" s="5">
        <f>IF(SUM(AM522:AO522)&gt;0.7*AF522,1,0)</f>
      </c>
      <c r="AH522" s="5">
        <f>IF(AN522&gt;0.4*AF522,1,0)</f>
      </c>
      <c r="AI522" s="5">
        <f>IF(SUM(AP522:AQ522)&gt;0.3*AF522,1,0)</f>
      </c>
      <c r="AJ522" s="5">
        <f>IF(AQ522&gt;0.2*AF522,1,0)</f>
      </c>
      <c r="AK522" s="5">
        <f>IF(SUM(AR522:BC522)&gt;0.3*AF522,1,0)</f>
      </c>
      <c r="AL522" s="3"/>
      <c r="AM522" s="6">
        <f>(F522/100)*AM$41</f>
      </c>
      <c r="AN522" s="6">
        <f>(G522/100)*AN$41</f>
      </c>
      <c r="AO522" s="6">
        <f>(H522/1000000)*AO$41</f>
      </c>
      <c r="AP522" s="6">
        <f>(I522/100)*AP$41</f>
      </c>
      <c r="AQ522" s="6">
        <f>(J522/1000000)*AQ$41</f>
      </c>
      <c r="AR522" s="6">
        <f>(K522/100)*AR$41</f>
      </c>
      <c r="AS522" s="6">
        <f>(L522/100)*AS$41</f>
      </c>
      <c r="AT522" s="6">
        <f>(M522/100)*AT$41</f>
      </c>
      <c r="AU522" s="6">
        <f>(N522/100)*AU$41</f>
      </c>
      <c r="AV522" s="6">
        <f>(O522/1000000)*AV$41</f>
      </c>
      <c r="AW522" s="6">
        <f>(P522/100)*AW$41</f>
      </c>
      <c r="AX522" s="6">
        <f>(Q522/100)*AX$41</f>
      </c>
      <c r="AY522" s="6">
        <f>(R522/100)*AY$41</f>
      </c>
      <c r="AZ522" s="6">
        <f>(S522/100)*AZ$41</f>
      </c>
      <c r="BA522" s="6">
        <f>(T522/100)*BA$41</f>
      </c>
      <c r="BB522" s="6">
        <f>(U522/100)*BB$41</f>
      </c>
      <c r="BC522" s="6"/>
      <c r="BD522" s="3"/>
      <c r="BE522" s="3"/>
      <c r="BF522" s="7">
        <f>AF522*E522</f>
      </c>
      <c r="BG522" s="6"/>
      <c r="BH522" s="3"/>
      <c r="BI522" s="6"/>
    </row>
    <row x14ac:dyDescent="0.25" r="523" customHeight="1" ht="12.75">
      <c r="A523" s="5" t="s">
        <v>68</v>
      </c>
      <c r="B523" s="3" t="s">
        <v>855</v>
      </c>
      <c r="C523" s="43" t="s">
        <v>869</v>
      </c>
      <c r="D523" s="34"/>
      <c r="E523" s="6">
        <v>20.918</v>
      </c>
      <c r="F523" s="7">
        <v>4.284601778372694</v>
      </c>
      <c r="G523" s="7">
        <v>5.510894923032795</v>
      </c>
      <c r="H523" s="31">
        <v>127.41399751410269</v>
      </c>
      <c r="I523" s="6"/>
      <c r="J523" s="6">
        <v>8.35623195334162</v>
      </c>
      <c r="K523" s="7"/>
      <c r="L523" s="6"/>
      <c r="M523" s="6"/>
      <c r="N523" s="23"/>
      <c r="O523" s="5"/>
      <c r="P523" s="6"/>
      <c r="Q523" s="6"/>
      <c r="R523" s="6"/>
      <c r="S523" s="6"/>
      <c r="T523" s="6"/>
      <c r="U523" s="6"/>
      <c r="V523" s="5"/>
      <c r="W523" s="6"/>
      <c r="X523" s="6">
        <f>E523*F523/100</f>
      </c>
      <c r="Y523" s="6">
        <f>E523*G523/100</f>
      </c>
      <c r="Z523" s="7">
        <f>E523*H523</f>
      </c>
      <c r="AA523" s="7">
        <f>E523*J523</f>
      </c>
      <c r="AB523" s="6">
        <f>E523*I523/100</f>
      </c>
      <c r="AC523" s="15">
        <f>X523+Y523+AB523</f>
      </c>
      <c r="AD523" s="6">
        <f>F523+G523+I523</f>
      </c>
      <c r="AE523" s="3"/>
      <c r="AF523" s="6">
        <f>SUM(AM523:BC523)</f>
      </c>
      <c r="AG523" s="5">
        <f>IF(SUM(AM523:AO523)&gt;0.7*AF523,1,0)</f>
      </c>
      <c r="AH523" s="5">
        <f>IF(AN523&gt;0.4*AF523,1,0)</f>
      </c>
      <c r="AI523" s="5">
        <f>IF(SUM(AP523:AQ523)&gt;0.3*AF523,1,0)</f>
      </c>
      <c r="AJ523" s="5">
        <f>IF(AQ523&gt;0.2*AF523,1,0)</f>
      </c>
      <c r="AK523" s="5">
        <f>IF(SUM(AR523:BC523)&gt;0.3*AF523,1,0)</f>
      </c>
      <c r="AL523" s="3"/>
      <c r="AM523" s="6">
        <f>(F523/100)*AM$41</f>
      </c>
      <c r="AN523" s="6">
        <f>(G523/100)*AN$41</f>
      </c>
      <c r="AO523" s="6">
        <f>(H523/1000000)*AO$41</f>
      </c>
      <c r="AP523" s="6">
        <f>(I523/100)*AP$41</f>
      </c>
      <c r="AQ523" s="6">
        <f>(J523/1000000)*AQ$41</f>
      </c>
      <c r="AR523" s="6">
        <f>(K523/100)*AR$41</f>
      </c>
      <c r="AS523" s="6">
        <f>(L523/100)*AS$41</f>
      </c>
      <c r="AT523" s="6">
        <f>(M523/100)*AT$41</f>
      </c>
      <c r="AU523" s="6">
        <f>(N523/100)*AU$41</f>
      </c>
      <c r="AV523" s="6">
        <f>(O523/1000000)*AV$41</f>
      </c>
      <c r="AW523" s="6">
        <f>(P523/100)*AW$41</f>
      </c>
      <c r="AX523" s="6">
        <f>(Q523/100)*AX$41</f>
      </c>
      <c r="AY523" s="6">
        <f>(R523/100)*AY$41</f>
      </c>
      <c r="AZ523" s="6">
        <f>(S523/100)*AZ$41</f>
      </c>
      <c r="BA523" s="6">
        <f>(T523/100)*BA$41</f>
      </c>
      <c r="BB523" s="6">
        <f>(U523/100)*BB$41</f>
      </c>
      <c r="BC523" s="6"/>
      <c r="BD523" s="3"/>
      <c r="BE523" s="3"/>
      <c r="BF523" s="7">
        <f>AF523*E523</f>
      </c>
      <c r="BG523" s="6"/>
      <c r="BH523" s="3"/>
      <c r="BI523" s="6"/>
    </row>
    <row x14ac:dyDescent="0.25" r="524" customHeight="1" ht="12.75">
      <c r="A524" s="5" t="s">
        <v>306</v>
      </c>
      <c r="B524" s="3" t="s">
        <v>855</v>
      </c>
      <c r="C524" s="43" t="s">
        <v>869</v>
      </c>
      <c r="D524" s="34"/>
      <c r="E524" s="6">
        <v>18.271</v>
      </c>
      <c r="F524" s="6">
        <v>2.121456953642384</v>
      </c>
      <c r="G524" s="6">
        <v>6.623819166985934</v>
      </c>
      <c r="H524" s="7">
        <v>120.20433408133107</v>
      </c>
      <c r="I524" s="6">
        <v>0.25366974987685403</v>
      </c>
      <c r="J524" s="6"/>
      <c r="K524" s="7"/>
      <c r="L524" s="6"/>
      <c r="M524" s="6"/>
      <c r="N524" s="23"/>
      <c r="O524" s="5"/>
      <c r="P524" s="6"/>
      <c r="Q524" s="6"/>
      <c r="R524" s="6"/>
      <c r="S524" s="6"/>
      <c r="T524" s="6"/>
      <c r="U524" s="6"/>
      <c r="V524" s="5"/>
      <c r="W524" s="6"/>
      <c r="X524" s="6">
        <f>E524*F524/100</f>
      </c>
      <c r="Y524" s="6">
        <f>E524*G524/100</f>
      </c>
      <c r="Z524" s="7">
        <f>E524*H524</f>
      </c>
      <c r="AA524" s="7">
        <f>E524*J524</f>
      </c>
      <c r="AB524" s="6">
        <f>E524*I524/100</f>
      </c>
      <c r="AC524" s="15">
        <f>X524+Y524+AB524</f>
      </c>
      <c r="AD524" s="6">
        <f>F524+G524+I524</f>
      </c>
      <c r="AE524" s="3"/>
      <c r="AF524" s="6">
        <f>SUM(AM524:BC524)</f>
      </c>
      <c r="AG524" s="5">
        <f>IF(SUM(AM524:AO524)&gt;0.7*AF524,1,0)</f>
      </c>
      <c r="AH524" s="5">
        <f>IF(AN524&gt;0.4*AF524,1,0)</f>
      </c>
      <c r="AI524" s="5">
        <f>IF(SUM(AP524:AQ524)&gt;0.3*AF524,1,0)</f>
      </c>
      <c r="AJ524" s="5">
        <f>IF(AQ524&gt;0.2*AF524,1,0)</f>
      </c>
      <c r="AK524" s="5">
        <f>IF(SUM(AR524:BC524)&gt;0.3*AF524,1,0)</f>
      </c>
      <c r="AL524" s="3"/>
      <c r="AM524" s="6">
        <f>(F524/100)*AM$41</f>
      </c>
      <c r="AN524" s="6">
        <f>(G524/100)*AN$41</f>
      </c>
      <c r="AO524" s="6">
        <f>(H524/1000000)*AO$41</f>
      </c>
      <c r="AP524" s="6">
        <f>(I524/100)*AP$41</f>
      </c>
      <c r="AQ524" s="6">
        <f>(J524/1000000)*AQ$41</f>
      </c>
      <c r="AR524" s="6">
        <f>(K524/100)*AR$41</f>
      </c>
      <c r="AS524" s="6">
        <f>(L524/100)*AS$41</f>
      </c>
      <c r="AT524" s="6">
        <f>(M524/100)*AT$41</f>
      </c>
      <c r="AU524" s="6">
        <f>(N524/100)*AU$41</f>
      </c>
      <c r="AV524" s="6">
        <f>(O524/1000000)*AV$41</f>
      </c>
      <c r="AW524" s="6">
        <f>(P524/100)*AW$41</f>
      </c>
      <c r="AX524" s="6">
        <f>(Q524/100)*AX$41</f>
      </c>
      <c r="AY524" s="6">
        <f>(R524/100)*AY$41</f>
      </c>
      <c r="AZ524" s="6">
        <f>(S524/100)*AZ$41</f>
      </c>
      <c r="BA524" s="6">
        <f>(T524/100)*BA$41</f>
      </c>
      <c r="BB524" s="6">
        <f>(U524/100)*BB$41</f>
      </c>
      <c r="BC524" s="6"/>
      <c r="BD524" s="3"/>
      <c r="BE524" s="3"/>
      <c r="BF524" s="7">
        <f>AF524*E524</f>
      </c>
      <c r="BG524" s="6"/>
      <c r="BH524" s="3"/>
      <c r="BI524" s="6"/>
    </row>
    <row x14ac:dyDescent="0.25" r="525" customHeight="1" ht="12.75">
      <c r="A525" s="5" t="s">
        <v>316</v>
      </c>
      <c r="B525" s="3" t="s">
        <v>855</v>
      </c>
      <c r="C525" s="43" t="s">
        <v>869</v>
      </c>
      <c r="D525" s="34"/>
      <c r="E525" s="6">
        <v>45.926</v>
      </c>
      <c r="F525" s="6">
        <v>0.86</v>
      </c>
      <c r="G525" s="6">
        <v>2.53</v>
      </c>
      <c r="H525" s="6">
        <v>28.62</v>
      </c>
      <c r="I525" s="6"/>
      <c r="J525" s="6"/>
      <c r="K525" s="7"/>
      <c r="L525" s="6"/>
      <c r="M525" s="6"/>
      <c r="N525" s="23"/>
      <c r="O525" s="5"/>
      <c r="P525" s="6"/>
      <c r="Q525" s="6"/>
      <c r="R525" s="6"/>
      <c r="S525" s="6"/>
      <c r="T525" s="6"/>
      <c r="U525" s="6"/>
      <c r="V525" s="5"/>
      <c r="W525" s="6"/>
      <c r="X525" s="6">
        <f>E525*F525/100</f>
      </c>
      <c r="Y525" s="6">
        <f>E525*G525/100</f>
      </c>
      <c r="Z525" s="7">
        <f>E525*H525</f>
      </c>
      <c r="AA525" s="7">
        <f>E525*J525</f>
      </c>
      <c r="AB525" s="6">
        <f>E525*I525/100</f>
      </c>
      <c r="AC525" s="15">
        <f>X525+Y525+AB525</f>
      </c>
      <c r="AD525" s="6">
        <f>F525+G525+I525</f>
      </c>
      <c r="AE525" s="3"/>
      <c r="AF525" s="6">
        <f>SUM(AM525:BC525)</f>
      </c>
      <c r="AG525" s="5">
        <f>IF(SUM(AM525:AO525)&gt;0.7*AF525,1,0)</f>
      </c>
      <c r="AH525" s="5">
        <f>IF(AN525&gt;0.4*AF525,1,0)</f>
      </c>
      <c r="AI525" s="5">
        <f>IF(SUM(AP525:AQ525)&gt;0.3*AF525,1,0)</f>
      </c>
      <c r="AJ525" s="5">
        <f>IF(AQ525&gt;0.2*AF525,1,0)</f>
      </c>
      <c r="AK525" s="5">
        <f>IF(SUM(AR525:BC525)&gt;0.3*AF525,1,0)</f>
      </c>
      <c r="AL525" s="3"/>
      <c r="AM525" s="6">
        <f>(F525/100)*AM$41</f>
      </c>
      <c r="AN525" s="6">
        <f>(G525/100)*AN$41</f>
      </c>
      <c r="AO525" s="6">
        <f>(H525/1000000)*AO$41</f>
      </c>
      <c r="AP525" s="6">
        <f>(I525/100)*AP$41</f>
      </c>
      <c r="AQ525" s="6">
        <f>(J525/1000000)*AQ$41</f>
      </c>
      <c r="AR525" s="6">
        <f>(K525/100)*AR$41</f>
      </c>
      <c r="AS525" s="6">
        <f>(L525/100)*AS$41</f>
      </c>
      <c r="AT525" s="6">
        <f>(M525/100)*AT$41</f>
      </c>
      <c r="AU525" s="6">
        <f>(N525/100)*AU$41</f>
      </c>
      <c r="AV525" s="6">
        <f>(O525/1000000)*AV$41</f>
      </c>
      <c r="AW525" s="6">
        <f>(P525/100)*AW$41</f>
      </c>
      <c r="AX525" s="6">
        <f>(Q525/100)*AX$41</f>
      </c>
      <c r="AY525" s="6">
        <f>(R525/100)*AY$41</f>
      </c>
      <c r="AZ525" s="6">
        <f>(S525/100)*AZ$41</f>
      </c>
      <c r="BA525" s="6">
        <f>(T525/100)*BA$41</f>
      </c>
      <c r="BB525" s="6">
        <f>(U525/100)*BB$41</f>
      </c>
      <c r="BC525" s="6"/>
      <c r="BD525" s="3"/>
      <c r="BE525" s="3"/>
      <c r="BF525" s="7">
        <f>AF525*E525</f>
      </c>
      <c r="BG525" s="6"/>
      <c r="BH525" s="3"/>
      <c r="BI525" s="6"/>
    </row>
    <row x14ac:dyDescent="0.25" r="526" customHeight="1" ht="12.75">
      <c r="A526" s="5" t="s">
        <v>233</v>
      </c>
      <c r="B526" s="3" t="s">
        <v>855</v>
      </c>
      <c r="C526" s="43" t="s">
        <v>869</v>
      </c>
      <c r="D526" s="34"/>
      <c r="E526" s="6">
        <v>71.113</v>
      </c>
      <c r="F526" s="6"/>
      <c r="G526" s="6">
        <v>1.8791723032356953</v>
      </c>
      <c r="H526" s="7"/>
      <c r="I526" s="6">
        <v>0.2090285883031232</v>
      </c>
      <c r="J526" s="6"/>
      <c r="K526" s="7"/>
      <c r="L526" s="6"/>
      <c r="M526" s="6"/>
      <c r="N526" s="23"/>
      <c r="O526" s="31">
        <v>22.923656715368498</v>
      </c>
      <c r="P526" s="6"/>
      <c r="Q526" s="31">
        <v>42.344718968402404</v>
      </c>
      <c r="R526" s="6"/>
      <c r="S526" s="6"/>
      <c r="T526" s="6"/>
      <c r="U526" s="6"/>
      <c r="V526" s="5"/>
      <c r="W526" s="6"/>
      <c r="X526" s="6">
        <f>E526*F526/100</f>
      </c>
      <c r="Y526" s="6">
        <f>E526*G526/100</f>
      </c>
      <c r="Z526" s="7">
        <f>E526*H526</f>
      </c>
      <c r="AA526" s="7">
        <f>E526*J526</f>
      </c>
      <c r="AB526" s="6">
        <f>E526*I526/100</f>
      </c>
      <c r="AC526" s="15">
        <f>X526+Y526+AB526</f>
      </c>
      <c r="AD526" s="6">
        <f>F526+G526+I526</f>
      </c>
      <c r="AE526" s="3"/>
      <c r="AF526" s="6">
        <f>SUM(AM526:BC526)</f>
      </c>
      <c r="AG526" s="5">
        <f>IF(SUM(AM526:AO526)&gt;0.7*AF526,1,0)</f>
      </c>
      <c r="AH526" s="5">
        <f>IF(AN526&gt;0.4*AF526,1,0)</f>
      </c>
      <c r="AI526" s="5">
        <f>IF(SUM(AP526:AQ526)&gt;0.3*AF526,1,0)</f>
      </c>
      <c r="AJ526" s="5">
        <f>IF(AQ526&gt;0.2*AF526,1,0)</f>
      </c>
      <c r="AK526" s="5">
        <f>IF(SUM(AR526:BC526)&gt;0.3*AF526,1,0)</f>
      </c>
      <c r="AL526" s="3"/>
      <c r="AM526" s="6">
        <f>(F526/100)*AM$41</f>
      </c>
      <c r="AN526" s="6">
        <f>(G526/100)*AN$41</f>
      </c>
      <c r="AO526" s="6">
        <f>(H526/1000000)*AO$41</f>
      </c>
      <c r="AP526" s="6">
        <f>(I526/100)*AP$41</f>
      </c>
      <c r="AQ526" s="6">
        <f>(J526/1000000)*AQ$41</f>
      </c>
      <c r="AR526" s="6">
        <f>(K526/100)*AR$41</f>
      </c>
      <c r="AS526" s="6">
        <f>(L526/100)*AS$41</f>
      </c>
      <c r="AT526" s="6">
        <f>(M526/100)*AT$41</f>
      </c>
      <c r="AU526" s="6">
        <f>(N526/100)*AU$41</f>
      </c>
      <c r="AV526" s="6">
        <f>(O526/1000000)*AV$41</f>
      </c>
      <c r="AW526" s="6">
        <f>(P526/100)*AW$41</f>
      </c>
      <c r="AX526" s="6">
        <f>(Q526/100)*AX$41</f>
      </c>
      <c r="AY526" s="6">
        <f>(R526/100)*AY$41</f>
      </c>
      <c r="AZ526" s="6">
        <f>(S526/100)*AZ$41</f>
      </c>
      <c r="BA526" s="6">
        <f>(T526/100)*BA$41</f>
      </c>
      <c r="BB526" s="6">
        <f>(U526/100)*BB$41</f>
      </c>
      <c r="BC526" s="6"/>
      <c r="BD526" s="3"/>
      <c r="BE526" s="3"/>
      <c r="BF526" s="7">
        <f>AF526*E526</f>
      </c>
      <c r="BG526" s="6"/>
      <c r="BH526" s="3"/>
      <c r="BI526" s="6"/>
    </row>
    <row x14ac:dyDescent="0.25" r="527" customHeight="1" ht="12.75">
      <c r="A527" s="5" t="s">
        <v>269</v>
      </c>
      <c r="B527" s="3" t="s">
        <v>855</v>
      </c>
      <c r="C527" s="43" t="s">
        <v>869</v>
      </c>
      <c r="D527" s="34"/>
      <c r="E527" s="6">
        <v>40.299</v>
      </c>
      <c r="F527" s="6">
        <v>0.9009335219236211</v>
      </c>
      <c r="G527" s="6">
        <v>2.294209037445098</v>
      </c>
      <c r="H527" s="7">
        <v>129.75034169582372</v>
      </c>
      <c r="I527" s="6">
        <v>0.43978634705575825</v>
      </c>
      <c r="J527" s="6"/>
      <c r="K527" s="7"/>
      <c r="L527" s="6"/>
      <c r="M527" s="6"/>
      <c r="N527" s="23"/>
      <c r="O527" s="5"/>
      <c r="P527" s="6"/>
      <c r="Q527" s="6"/>
      <c r="R527" s="6"/>
      <c r="S527" s="6"/>
      <c r="T527" s="6"/>
      <c r="U527" s="6"/>
      <c r="V527" s="5"/>
      <c r="W527" s="6"/>
      <c r="X527" s="6">
        <f>E527*F527/100</f>
      </c>
      <c r="Y527" s="6">
        <f>E527*G527/100</f>
      </c>
      <c r="Z527" s="7">
        <f>E527*H527</f>
      </c>
      <c r="AA527" s="7">
        <f>E527*J527</f>
      </c>
      <c r="AB527" s="6">
        <f>E527*I527/100</f>
      </c>
      <c r="AC527" s="15">
        <f>X527+Y527+AB527</f>
      </c>
      <c r="AD527" s="6">
        <f>F527+G527+I527</f>
      </c>
      <c r="AE527" s="3"/>
      <c r="AF527" s="6">
        <f>SUM(AM527:BC527)</f>
      </c>
      <c r="AG527" s="5">
        <f>IF(SUM(AM527:AO527)&gt;0.7*AF527,1,0)</f>
      </c>
      <c r="AH527" s="5">
        <f>IF(AN527&gt;0.4*AF527,1,0)</f>
      </c>
      <c r="AI527" s="5">
        <f>IF(SUM(AP527:AQ527)&gt;0.3*AF527,1,0)</f>
      </c>
      <c r="AJ527" s="5">
        <f>IF(AQ527&gt;0.2*AF527,1,0)</f>
      </c>
      <c r="AK527" s="5">
        <f>IF(SUM(AR527:BC527)&gt;0.3*AF527,1,0)</f>
      </c>
      <c r="AL527" s="3"/>
      <c r="AM527" s="6">
        <f>(F527/100)*AM$41</f>
      </c>
      <c r="AN527" s="6">
        <f>(G527/100)*AN$41</f>
      </c>
      <c r="AO527" s="6">
        <f>(H527/1000000)*AO$41</f>
      </c>
      <c r="AP527" s="6">
        <f>(I527/100)*AP$41</f>
      </c>
      <c r="AQ527" s="6">
        <f>(J527/1000000)*AQ$41</f>
      </c>
      <c r="AR527" s="6">
        <f>(K527/100)*AR$41</f>
      </c>
      <c r="AS527" s="6">
        <f>(L527/100)*AS$41</f>
      </c>
      <c r="AT527" s="6">
        <f>(M527/100)*AT$41</f>
      </c>
      <c r="AU527" s="6">
        <f>(N527/100)*AU$41</f>
      </c>
      <c r="AV527" s="6">
        <f>(O527/1000000)*AV$41</f>
      </c>
      <c r="AW527" s="6">
        <f>(P527/100)*AW$41</f>
      </c>
      <c r="AX527" s="6">
        <f>(Q527/100)*AX$41</f>
      </c>
      <c r="AY527" s="6">
        <f>(R527/100)*AY$41</f>
      </c>
      <c r="AZ527" s="6">
        <f>(S527/100)*AZ$41</f>
      </c>
      <c r="BA527" s="6">
        <f>(T527/100)*BA$41</f>
      </c>
      <c r="BB527" s="6">
        <f>(U527/100)*BB$41</f>
      </c>
      <c r="BC527" s="6"/>
      <c r="BD527" s="3"/>
      <c r="BE527" s="3"/>
      <c r="BF527" s="7">
        <f>AF527*E527</f>
      </c>
      <c r="BG527" s="6"/>
      <c r="BH527" s="3"/>
      <c r="BI527" s="6"/>
    </row>
    <row x14ac:dyDescent="0.25" r="528" customHeight="1" ht="12.75">
      <c r="A528" s="5" t="s">
        <v>335</v>
      </c>
      <c r="B528" s="3" t="s">
        <v>855</v>
      </c>
      <c r="C528" s="43" t="s">
        <v>869</v>
      </c>
      <c r="D528" s="34"/>
      <c r="E528" s="6">
        <v>29.938</v>
      </c>
      <c r="F528" s="6">
        <v>0.48</v>
      </c>
      <c r="G528" s="6">
        <v>4.21</v>
      </c>
      <c r="H528" s="6">
        <v>26.48</v>
      </c>
      <c r="I528" s="6">
        <v>0.17</v>
      </c>
      <c r="J528" s="6">
        <v>0.25</v>
      </c>
      <c r="K528" s="7"/>
      <c r="L528" s="6"/>
      <c r="M528" s="6"/>
      <c r="N528" s="23"/>
      <c r="O528" s="5"/>
      <c r="P528" s="6"/>
      <c r="Q528" s="6"/>
      <c r="R528" s="6"/>
      <c r="S528" s="6"/>
      <c r="T528" s="6"/>
      <c r="U528" s="6"/>
      <c r="V528" s="5"/>
      <c r="W528" s="6"/>
      <c r="X528" s="6">
        <f>E528*F528/100</f>
      </c>
      <c r="Y528" s="6">
        <f>E528*G528/100</f>
      </c>
      <c r="Z528" s="7">
        <f>E528*H528</f>
      </c>
      <c r="AA528" s="7">
        <f>E528*J528</f>
      </c>
      <c r="AB528" s="6">
        <f>E528*I528/100</f>
      </c>
      <c r="AC528" s="15">
        <f>X528+Y528+AB528</f>
      </c>
      <c r="AD528" s="6">
        <f>F528+G528+I528</f>
      </c>
      <c r="AE528" s="3"/>
      <c r="AF528" s="6">
        <f>SUM(AM528:BC528)</f>
      </c>
      <c r="AG528" s="5">
        <f>IF(SUM(AM528:AO528)&gt;0.7*AF528,1,0)</f>
      </c>
      <c r="AH528" s="5">
        <f>IF(AN528&gt;0.4*AF528,1,0)</f>
      </c>
      <c r="AI528" s="5">
        <f>IF(SUM(AP528:AQ528)&gt;0.3*AF528,1,0)</f>
      </c>
      <c r="AJ528" s="5">
        <f>IF(AQ528&gt;0.2*AF528,1,0)</f>
      </c>
      <c r="AK528" s="5">
        <f>IF(SUM(AR528:BC528)&gt;0.3*AF528,1,0)</f>
      </c>
      <c r="AL528" s="3"/>
      <c r="AM528" s="6">
        <f>(F528/100)*AM$41</f>
      </c>
      <c r="AN528" s="6">
        <f>(G528/100)*AN$41</f>
      </c>
      <c r="AO528" s="6">
        <f>(H528/1000000)*AO$41</f>
      </c>
      <c r="AP528" s="6">
        <f>(I528/100)*AP$41</f>
      </c>
      <c r="AQ528" s="6">
        <f>(J528/1000000)*AQ$41</f>
      </c>
      <c r="AR528" s="6">
        <f>(K528/100)*AR$41</f>
      </c>
      <c r="AS528" s="6">
        <f>(L528/100)*AS$41</f>
      </c>
      <c r="AT528" s="6">
        <f>(M528/100)*AT$41</f>
      </c>
      <c r="AU528" s="6">
        <f>(N528/100)*AU$41</f>
      </c>
      <c r="AV528" s="6">
        <f>(O528/1000000)*AV$41</f>
      </c>
      <c r="AW528" s="6">
        <f>(P528/100)*AW$41</f>
      </c>
      <c r="AX528" s="6">
        <f>(Q528/100)*AX$41</f>
      </c>
      <c r="AY528" s="6">
        <f>(R528/100)*AY$41</f>
      </c>
      <c r="AZ528" s="6">
        <f>(S528/100)*AZ$41</f>
      </c>
      <c r="BA528" s="6">
        <f>(T528/100)*BA$41</f>
      </c>
      <c r="BB528" s="6">
        <f>(U528/100)*BB$41</f>
      </c>
      <c r="BC528" s="6"/>
      <c r="BD528" s="3"/>
      <c r="BE528" s="3"/>
      <c r="BF528" s="7">
        <f>AF528*E528</f>
      </c>
      <c r="BG528" s="6"/>
      <c r="BH528" s="3"/>
      <c r="BI528" s="6"/>
    </row>
    <row x14ac:dyDescent="0.25" r="529" customHeight="1" ht="12.75">
      <c r="A529" s="5" t="s">
        <v>340</v>
      </c>
      <c r="B529" s="3" t="s">
        <v>855</v>
      </c>
      <c r="C529" s="43" t="s">
        <v>869</v>
      </c>
      <c r="D529" s="34"/>
      <c r="E529" s="6">
        <v>47.225</v>
      </c>
      <c r="F529" s="6">
        <v>0.74</v>
      </c>
      <c r="G529" s="6">
        <v>2.17</v>
      </c>
      <c r="H529" s="7">
        <v>20.73</v>
      </c>
      <c r="I529" s="6">
        <v>0.07</v>
      </c>
      <c r="J529" s="6"/>
      <c r="K529" s="7"/>
      <c r="L529" s="6"/>
      <c r="M529" s="6"/>
      <c r="N529" s="23"/>
      <c r="O529" s="5"/>
      <c r="P529" s="6"/>
      <c r="Q529" s="6"/>
      <c r="R529" s="6"/>
      <c r="S529" s="6"/>
      <c r="T529" s="6"/>
      <c r="U529" s="6"/>
      <c r="V529" s="5"/>
      <c r="W529" s="6"/>
      <c r="X529" s="6">
        <f>E529*F529/100</f>
      </c>
      <c r="Y529" s="6">
        <f>E529*G529/100</f>
      </c>
      <c r="Z529" s="7">
        <f>E529*H529</f>
      </c>
      <c r="AA529" s="7">
        <f>E529*J529</f>
      </c>
      <c r="AB529" s="6">
        <f>E529*I529/100</f>
      </c>
      <c r="AC529" s="15">
        <f>X529+Y529+AB529</f>
      </c>
      <c r="AD529" s="6">
        <f>F529+G529+I529</f>
      </c>
      <c r="AE529" s="3"/>
      <c r="AF529" s="6">
        <f>SUM(AM529:BC529)</f>
      </c>
      <c r="AG529" s="5">
        <f>IF(SUM(AM529:AO529)&gt;0.7*AF529,1,0)</f>
      </c>
      <c r="AH529" s="5">
        <f>IF(AN529&gt;0.4*AF529,1,0)</f>
      </c>
      <c r="AI529" s="5">
        <f>IF(SUM(AP529:AQ529)&gt;0.3*AF529,1,0)</f>
      </c>
      <c r="AJ529" s="5">
        <f>IF(AQ529&gt;0.2*AF529,1,0)</f>
      </c>
      <c r="AK529" s="5">
        <f>IF(SUM(AR529:BC529)&gt;0.3*AF529,1,0)</f>
      </c>
      <c r="AL529" s="3"/>
      <c r="AM529" s="6">
        <f>(F529/100)*AM$41</f>
      </c>
      <c r="AN529" s="6">
        <f>(G529/100)*AN$41</f>
      </c>
      <c r="AO529" s="6">
        <f>(H529/1000000)*AO$41</f>
      </c>
      <c r="AP529" s="6">
        <f>(I529/100)*AP$41</f>
      </c>
      <c r="AQ529" s="6">
        <f>(J529/1000000)*AQ$41</f>
      </c>
      <c r="AR529" s="6">
        <f>(K529/100)*AR$41</f>
      </c>
      <c r="AS529" s="6">
        <f>(L529/100)*AS$41</f>
      </c>
      <c r="AT529" s="6">
        <f>(M529/100)*AT$41</f>
      </c>
      <c r="AU529" s="6">
        <f>(N529/100)*AU$41</f>
      </c>
      <c r="AV529" s="6">
        <f>(O529/1000000)*AV$41</f>
      </c>
      <c r="AW529" s="6">
        <f>(P529/100)*AW$41</f>
      </c>
      <c r="AX529" s="6">
        <f>(Q529/100)*AX$41</f>
      </c>
      <c r="AY529" s="6">
        <f>(R529/100)*AY$41</f>
      </c>
      <c r="AZ529" s="6">
        <f>(S529/100)*AZ$41</f>
      </c>
      <c r="BA529" s="6">
        <f>(T529/100)*BA$41</f>
      </c>
      <c r="BB529" s="6">
        <f>(U529/100)*BB$41</f>
      </c>
      <c r="BC529" s="6"/>
      <c r="BD529" s="3"/>
      <c r="BE529" s="3"/>
      <c r="BF529" s="7">
        <f>AF529*E529</f>
      </c>
      <c r="BG529" s="6"/>
      <c r="BH529" s="3"/>
      <c r="BI529" s="6"/>
    </row>
    <row x14ac:dyDescent="0.25" r="530" customHeight="1" ht="12.75">
      <c r="A530" s="5" t="s">
        <v>351</v>
      </c>
      <c r="B530" s="3" t="s">
        <v>855</v>
      </c>
      <c r="C530" s="43" t="s">
        <v>869</v>
      </c>
      <c r="D530" s="34"/>
      <c r="E530" s="6">
        <v>15.881</v>
      </c>
      <c r="F530" s="6">
        <v>7.062468358415716</v>
      </c>
      <c r="G530" s="6">
        <v>1.3194439896731942</v>
      </c>
      <c r="H530" s="7">
        <v>128.73287576349094</v>
      </c>
      <c r="I530" s="6"/>
      <c r="J530" s="6"/>
      <c r="K530" s="7"/>
      <c r="L530" s="6"/>
      <c r="M530" s="6"/>
      <c r="N530" s="23"/>
      <c r="O530" s="5"/>
      <c r="P530" s="6"/>
      <c r="Q530" s="6"/>
      <c r="R530" s="6"/>
      <c r="S530" s="6"/>
      <c r="T530" s="6"/>
      <c r="U530" s="6"/>
      <c r="V530" s="5"/>
      <c r="W530" s="6"/>
      <c r="X530" s="6">
        <f>E530*F530/100</f>
      </c>
      <c r="Y530" s="6">
        <f>E530*G530/100</f>
      </c>
      <c r="Z530" s="7">
        <f>E530*H530</f>
      </c>
      <c r="AA530" s="7">
        <f>E530*J530</f>
      </c>
      <c r="AB530" s="6">
        <f>E530*I530/100</f>
      </c>
      <c r="AC530" s="15">
        <f>X530+Y530+AB530</f>
      </c>
      <c r="AD530" s="6">
        <f>F530+G530+I530</f>
      </c>
      <c r="AE530" s="3"/>
      <c r="AF530" s="6">
        <f>SUM(AM530:BC530)</f>
      </c>
      <c r="AG530" s="5">
        <f>IF(SUM(AM530:AO530)&gt;0.7*AF530,1,0)</f>
      </c>
      <c r="AH530" s="5">
        <f>IF(AN530&gt;0.4*AF530,1,0)</f>
      </c>
      <c r="AI530" s="5">
        <f>IF(SUM(AP530:AQ530)&gt;0.3*AF530,1,0)</f>
      </c>
      <c r="AJ530" s="5">
        <f>IF(AQ530&gt;0.2*AF530,1,0)</f>
      </c>
      <c r="AK530" s="5">
        <f>IF(SUM(AR530:BC530)&gt;0.3*AF530,1,0)</f>
      </c>
      <c r="AL530" s="3"/>
      <c r="AM530" s="6">
        <f>(F530/100)*AM$41</f>
      </c>
      <c r="AN530" s="6">
        <f>(G530/100)*AN$41</f>
      </c>
      <c r="AO530" s="6">
        <f>(H530/1000000)*AO$41</f>
      </c>
      <c r="AP530" s="6">
        <f>(I530/100)*AP$41</f>
      </c>
      <c r="AQ530" s="6">
        <f>(J530/1000000)*AQ$41</f>
      </c>
      <c r="AR530" s="6">
        <f>(K530/100)*AR$41</f>
      </c>
      <c r="AS530" s="6">
        <f>(L530/100)*AS$41</f>
      </c>
      <c r="AT530" s="6">
        <f>(M530/100)*AT$41</f>
      </c>
      <c r="AU530" s="6">
        <f>(N530/100)*AU$41</f>
      </c>
      <c r="AV530" s="6">
        <f>(O530/1000000)*AV$41</f>
      </c>
      <c r="AW530" s="6">
        <f>(P530/100)*AW$41</f>
      </c>
      <c r="AX530" s="6">
        <f>(Q530/100)*AX$41</f>
      </c>
      <c r="AY530" s="6">
        <f>(R530/100)*AY$41</f>
      </c>
      <c r="AZ530" s="6">
        <f>(S530/100)*AZ$41</f>
      </c>
      <c r="BA530" s="6">
        <f>(T530/100)*BA$41</f>
      </c>
      <c r="BB530" s="6">
        <f>(U530/100)*BB$41</f>
      </c>
      <c r="BC530" s="6"/>
      <c r="BD530" s="3"/>
      <c r="BE530" s="3"/>
      <c r="BF530" s="7">
        <f>AF530*E530</f>
      </c>
      <c r="BG530" s="6"/>
      <c r="BH530" s="3"/>
      <c r="BI530" s="6"/>
    </row>
    <row x14ac:dyDescent="0.25" r="531" customHeight="1" ht="12.75">
      <c r="A531" s="5" t="s">
        <v>132</v>
      </c>
      <c r="B531" s="3" t="s">
        <v>855</v>
      </c>
      <c r="C531" s="43" t="s">
        <v>869</v>
      </c>
      <c r="D531" s="34"/>
      <c r="E531" s="23">
        <v>8.501788</v>
      </c>
      <c r="F531" s="6">
        <v>9.4</v>
      </c>
      <c r="G531" s="7">
        <v>6</v>
      </c>
      <c r="H531" s="7">
        <v>256</v>
      </c>
      <c r="I531" s="6"/>
      <c r="J531" s="6"/>
      <c r="K531" s="7"/>
      <c r="L531" s="6"/>
      <c r="M531" s="6"/>
      <c r="N531" s="23"/>
      <c r="O531" s="5"/>
      <c r="P531" s="6"/>
      <c r="Q531" s="6"/>
      <c r="R531" s="6"/>
      <c r="S531" s="6"/>
      <c r="T531" s="6"/>
      <c r="U531" s="6"/>
      <c r="V531" s="5"/>
      <c r="W531" s="6"/>
      <c r="X531" s="6">
        <f>E531*F531/100</f>
      </c>
      <c r="Y531" s="6">
        <f>E531*G531/100</f>
      </c>
      <c r="Z531" s="7">
        <f>E531*H531</f>
      </c>
      <c r="AA531" s="7">
        <f>E531*J531</f>
      </c>
      <c r="AB531" s="6">
        <f>E531*I531/100</f>
      </c>
      <c r="AC531" s="15">
        <f>X531+Y531+AB531</f>
      </c>
      <c r="AD531" s="6">
        <f>F531+G531+I531</f>
      </c>
      <c r="AE531" s="3"/>
      <c r="AF531" s="6">
        <f>SUM(AM531:BC531)</f>
      </c>
      <c r="AG531" s="5">
        <f>IF(SUM(AM531:AO531)&gt;0.7*AF531,1,0)</f>
      </c>
      <c r="AH531" s="5">
        <f>IF(AN531&gt;0.4*AF531,1,0)</f>
      </c>
      <c r="AI531" s="5">
        <f>IF(SUM(AP531:AQ531)&gt;0.3*AF531,1,0)</f>
      </c>
      <c r="AJ531" s="5">
        <f>IF(AQ531&gt;0.2*AF531,1,0)</f>
      </c>
      <c r="AK531" s="5">
        <f>IF(SUM(AR531:BC531)&gt;0.3*AF531,1,0)</f>
      </c>
      <c r="AL531" s="3"/>
      <c r="AM531" s="6">
        <f>(F531/100)*AM$41</f>
      </c>
      <c r="AN531" s="6">
        <f>(G531/100)*AN$41</f>
      </c>
      <c r="AO531" s="6">
        <f>(H531/1000000)*AO$41</f>
      </c>
      <c r="AP531" s="6">
        <f>(I531/100)*AP$41</f>
      </c>
      <c r="AQ531" s="6">
        <f>(J531/1000000)*AQ$41</f>
      </c>
      <c r="AR531" s="6">
        <f>(K531/100)*AR$41</f>
      </c>
      <c r="AS531" s="6">
        <f>(L531/100)*AS$41</f>
      </c>
      <c r="AT531" s="6">
        <f>(M531/100)*AT$41</f>
      </c>
      <c r="AU531" s="6">
        <f>(N531/100)*AU$41</f>
      </c>
      <c r="AV531" s="6">
        <f>(O531/1000000)*AV$41</f>
      </c>
      <c r="AW531" s="6">
        <f>(P531/100)*AW$41</f>
      </c>
      <c r="AX531" s="6">
        <f>(Q531/100)*AX$41</f>
      </c>
      <c r="AY531" s="6">
        <f>(R531/100)*AY$41</f>
      </c>
      <c r="AZ531" s="6">
        <f>(S531/100)*AZ$41</f>
      </c>
      <c r="BA531" s="6">
        <f>(T531/100)*BA$41</f>
      </c>
      <c r="BB531" s="6">
        <f>(U531/100)*BB$41</f>
      </c>
      <c r="BC531" s="6"/>
      <c r="BD531" s="3"/>
      <c r="BE531" s="3"/>
      <c r="BF531" s="7">
        <f>AF531*E531</f>
      </c>
      <c r="BG531" s="6"/>
      <c r="BH531" s="3"/>
      <c r="BI531" s="6"/>
    </row>
    <row x14ac:dyDescent="0.25" r="532" customHeight="1" ht="12.75">
      <c r="A532" s="5" t="s">
        <v>361</v>
      </c>
      <c r="B532" s="3" t="s">
        <v>855</v>
      </c>
      <c r="C532" s="43" t="s">
        <v>869</v>
      </c>
      <c r="D532" s="34" t="s">
        <v>1013</v>
      </c>
      <c r="E532" s="6">
        <v>27.66</v>
      </c>
      <c r="F532" s="6">
        <v>2.1339331164135937</v>
      </c>
      <c r="G532" s="6">
        <v>2.361547360809834</v>
      </c>
      <c r="H532" s="7"/>
      <c r="I532" s="6"/>
      <c r="J532" s="6"/>
      <c r="K532" s="7"/>
      <c r="L532" s="6"/>
      <c r="M532" s="6"/>
      <c r="N532" s="23"/>
      <c r="O532" s="5"/>
      <c r="P532" s="6"/>
      <c r="Q532" s="6"/>
      <c r="R532" s="6"/>
      <c r="S532" s="6"/>
      <c r="T532" s="6"/>
      <c r="U532" s="6"/>
      <c r="V532" s="5"/>
      <c r="W532" s="6"/>
      <c r="X532" s="6">
        <f>E532*F532/100</f>
      </c>
      <c r="Y532" s="6">
        <f>E532*G532/100</f>
      </c>
      <c r="Z532" s="7">
        <f>E532*H532</f>
      </c>
      <c r="AA532" s="7">
        <f>E532*J532</f>
      </c>
      <c r="AB532" s="6">
        <f>E532*I532/100</f>
      </c>
      <c r="AC532" s="15">
        <f>X532+Y532+AB532</f>
      </c>
      <c r="AD532" s="6">
        <f>F532+G532+I532</f>
      </c>
      <c r="AE532" s="3"/>
      <c r="AF532" s="6">
        <f>SUM(AM532:BC532)</f>
      </c>
      <c r="AG532" s="5">
        <f>IF(SUM(AM532:AO532)&gt;0.7*AF532,1,0)</f>
      </c>
      <c r="AH532" s="5">
        <f>IF(AN532&gt;0.4*AF532,1,0)</f>
      </c>
      <c r="AI532" s="5">
        <f>IF(SUM(AP532:AQ532)&gt;0.3*AF532,1,0)</f>
      </c>
      <c r="AJ532" s="5">
        <f>IF(AQ532&gt;0.2*AF532,1,0)</f>
      </c>
      <c r="AK532" s="5">
        <f>IF(SUM(AR532:BC532)&gt;0.3*AF532,1,0)</f>
      </c>
      <c r="AL532" s="3"/>
      <c r="AM532" s="6">
        <f>(F532/100)*AM$41</f>
      </c>
      <c r="AN532" s="6">
        <f>(G532/100)*AN$41</f>
      </c>
      <c r="AO532" s="6">
        <f>(H532/1000000)*AO$41</f>
      </c>
      <c r="AP532" s="6">
        <f>(I532/100)*AP$41</f>
      </c>
      <c r="AQ532" s="6">
        <f>(J532/1000000)*AQ$41</f>
      </c>
      <c r="AR532" s="6">
        <f>(K532/100)*AR$41</f>
      </c>
      <c r="AS532" s="6">
        <f>(L532/100)*AS$41</f>
      </c>
      <c r="AT532" s="6">
        <f>(M532/100)*AT$41</f>
      </c>
      <c r="AU532" s="6">
        <f>(N532/100)*AU$41</f>
      </c>
      <c r="AV532" s="6">
        <f>(O532/1000000)*AV$41</f>
      </c>
      <c r="AW532" s="6">
        <f>(P532/100)*AW$41</f>
      </c>
      <c r="AX532" s="6">
        <f>(Q532/100)*AX$41</f>
      </c>
      <c r="AY532" s="6">
        <f>(R532/100)*AY$41</f>
      </c>
      <c r="AZ532" s="6">
        <f>(S532/100)*AZ$41</f>
      </c>
      <c r="BA532" s="6">
        <f>(T532/100)*BA$41</f>
      </c>
      <c r="BB532" s="6">
        <f>(U532/100)*BB$41</f>
      </c>
      <c r="BC532" s="6"/>
      <c r="BD532" s="3"/>
      <c r="BE532" s="3"/>
      <c r="BF532" s="7">
        <f>AF532*E532</f>
      </c>
      <c r="BG532" s="6"/>
      <c r="BH532" s="3"/>
      <c r="BI532" s="6"/>
    </row>
    <row x14ac:dyDescent="0.25" r="533" customHeight="1" ht="12.75">
      <c r="A533" s="5" t="s">
        <v>363</v>
      </c>
      <c r="B533" s="3" t="s">
        <v>855</v>
      </c>
      <c r="C533" s="43" t="s">
        <v>869</v>
      </c>
      <c r="D533" s="34"/>
      <c r="E533" s="6">
        <v>14.93</v>
      </c>
      <c r="F533" s="6">
        <v>2.55</v>
      </c>
      <c r="G533" s="6">
        <v>5.77</v>
      </c>
      <c r="H533" s="5">
        <v>117</v>
      </c>
      <c r="I533" s="6"/>
      <c r="J533" s="6">
        <v>0.23</v>
      </c>
      <c r="K533" s="7"/>
      <c r="L533" s="6"/>
      <c r="M533" s="6"/>
      <c r="N533" s="23"/>
      <c r="O533" s="5"/>
      <c r="P533" s="6"/>
      <c r="Q533" s="6"/>
      <c r="R533" s="6"/>
      <c r="S533" s="6"/>
      <c r="T533" s="6"/>
      <c r="U533" s="6"/>
      <c r="V533" s="5"/>
      <c r="W533" s="6"/>
      <c r="X533" s="6">
        <f>E533*F533/100</f>
      </c>
      <c r="Y533" s="6">
        <f>E533*G533/100</f>
      </c>
      <c r="Z533" s="7">
        <f>E533*H533</f>
      </c>
      <c r="AA533" s="7">
        <f>E533*J533</f>
      </c>
      <c r="AB533" s="6">
        <f>E533*I533/100</f>
      </c>
      <c r="AC533" s="15">
        <f>X533+Y533+AB533</f>
      </c>
      <c r="AD533" s="6">
        <f>F533+G533+I533</f>
      </c>
      <c r="AE533" s="3"/>
      <c r="AF533" s="6">
        <f>SUM(AM533:BC533)</f>
      </c>
      <c r="AG533" s="5">
        <f>IF(SUM(AM533:AO533)&gt;0.7*AF533,1,0)</f>
      </c>
      <c r="AH533" s="5">
        <f>IF(AN533&gt;0.4*AF533,1,0)</f>
      </c>
      <c r="AI533" s="5">
        <f>IF(SUM(AP533:AQ533)&gt;0.3*AF533,1,0)</f>
      </c>
      <c r="AJ533" s="5">
        <f>IF(AQ533&gt;0.2*AF533,1,0)</f>
      </c>
      <c r="AK533" s="5">
        <f>IF(SUM(AR533:BC533)&gt;0.3*AF533,1,0)</f>
      </c>
      <c r="AL533" s="3"/>
      <c r="AM533" s="6">
        <f>(F533/100)*AM$41</f>
      </c>
      <c r="AN533" s="6">
        <f>(G533/100)*AN$41</f>
      </c>
      <c r="AO533" s="6">
        <f>(H533/1000000)*AO$41</f>
      </c>
      <c r="AP533" s="6">
        <f>(I533/100)*AP$41</f>
      </c>
      <c r="AQ533" s="6">
        <f>(J533/1000000)*AQ$41</f>
      </c>
      <c r="AR533" s="6">
        <f>(K533/100)*AR$41</f>
      </c>
      <c r="AS533" s="6">
        <f>(L533/100)*AS$41</f>
      </c>
      <c r="AT533" s="6">
        <f>(M533/100)*AT$41</f>
      </c>
      <c r="AU533" s="6">
        <f>(N533/100)*AU$41</f>
      </c>
      <c r="AV533" s="6">
        <f>(O533/1000000)*AV$41</f>
      </c>
      <c r="AW533" s="6">
        <f>(P533/100)*AW$41</f>
      </c>
      <c r="AX533" s="6">
        <f>(Q533/100)*AX$41</f>
      </c>
      <c r="AY533" s="6">
        <f>(R533/100)*AY$41</f>
      </c>
      <c r="AZ533" s="6">
        <f>(S533/100)*AZ$41</f>
      </c>
      <c r="BA533" s="6">
        <f>(T533/100)*BA$41</f>
      </c>
      <c r="BB533" s="6">
        <f>(U533/100)*BB$41</f>
      </c>
      <c r="BC533" s="6"/>
      <c r="BD533" s="3"/>
      <c r="BE533" s="3"/>
      <c r="BF533" s="7">
        <f>AF533*E533</f>
      </c>
      <c r="BG533" s="6"/>
      <c r="BH533" s="3"/>
      <c r="BI533" s="6"/>
    </row>
    <row x14ac:dyDescent="0.25" r="534" customHeight="1" ht="12.75">
      <c r="A534" s="5" t="s">
        <v>364</v>
      </c>
      <c r="B534" s="3" t="s">
        <v>855</v>
      </c>
      <c r="C534" s="43" t="s">
        <v>869</v>
      </c>
      <c r="D534" s="34"/>
      <c r="E534" s="6">
        <v>363.98</v>
      </c>
      <c r="F534" s="6">
        <v>0.07502610033518325</v>
      </c>
      <c r="G534" s="6">
        <v>0.26</v>
      </c>
      <c r="H534" s="7">
        <v>8.446211879773614</v>
      </c>
      <c r="I534" s="6"/>
      <c r="J534" s="6"/>
      <c r="K534" s="7"/>
      <c r="L534" s="6"/>
      <c r="M534" s="6"/>
      <c r="N534" s="23"/>
      <c r="O534" s="5"/>
      <c r="P534" s="6"/>
      <c r="Q534" s="6"/>
      <c r="R534" s="6"/>
      <c r="S534" s="6"/>
      <c r="T534" s="6"/>
      <c r="U534" s="6"/>
      <c r="V534" s="5"/>
      <c r="W534" s="6"/>
      <c r="X534" s="6">
        <f>E534*F534/100</f>
      </c>
      <c r="Y534" s="6">
        <f>E534*G534/100</f>
      </c>
      <c r="Z534" s="7">
        <f>E534*H534</f>
      </c>
      <c r="AA534" s="7">
        <f>E534*J534</f>
      </c>
      <c r="AB534" s="6">
        <f>E534*I534/100</f>
      </c>
      <c r="AC534" s="15">
        <f>X534+Y534+AB534</f>
      </c>
      <c r="AD534" s="6">
        <f>F534+G534+I534</f>
      </c>
      <c r="AE534" s="3"/>
      <c r="AF534" s="6">
        <f>SUM(AM534:BC534)</f>
      </c>
      <c r="AG534" s="5">
        <f>IF(SUM(AM534:AO534)&gt;0.7*AF534,1,0)</f>
      </c>
      <c r="AH534" s="5">
        <f>IF(AN534&gt;0.4*AF534,1,0)</f>
      </c>
      <c r="AI534" s="5">
        <f>IF(SUM(AP534:AQ534)&gt;0.3*AF534,1,0)</f>
      </c>
      <c r="AJ534" s="5">
        <f>IF(AQ534&gt;0.2*AF534,1,0)</f>
      </c>
      <c r="AK534" s="5">
        <f>IF(SUM(AR534:BC534)&gt;0.3*AF534,1,0)</f>
      </c>
      <c r="AL534" s="3"/>
      <c r="AM534" s="6">
        <f>(F534/100)*AM$41</f>
      </c>
      <c r="AN534" s="6">
        <f>(G534/100)*AN$41</f>
      </c>
      <c r="AO534" s="6">
        <f>(H534/1000000)*AO$41</f>
      </c>
      <c r="AP534" s="6">
        <f>(I534/100)*AP$41</f>
      </c>
      <c r="AQ534" s="6">
        <f>(J534/1000000)*AQ$41</f>
      </c>
      <c r="AR534" s="6">
        <f>(K534/100)*AR$41</f>
      </c>
      <c r="AS534" s="6">
        <f>(L534/100)*AS$41</f>
      </c>
      <c r="AT534" s="6">
        <f>(M534/100)*AT$41</f>
      </c>
      <c r="AU534" s="6">
        <f>(N534/100)*AU$41</f>
      </c>
      <c r="AV534" s="6">
        <f>(O534/1000000)*AV$41</f>
      </c>
      <c r="AW534" s="6">
        <f>(P534/100)*AW$41</f>
      </c>
      <c r="AX534" s="6">
        <f>(Q534/100)*AX$41</f>
      </c>
      <c r="AY534" s="6">
        <f>(R534/100)*AY$41</f>
      </c>
      <c r="AZ534" s="6">
        <f>(S534/100)*AZ$41</f>
      </c>
      <c r="BA534" s="6">
        <f>(T534/100)*BA$41</f>
      </c>
      <c r="BB534" s="6">
        <f>(U534/100)*BB$41</f>
      </c>
      <c r="BC534" s="6"/>
      <c r="BD534" s="3"/>
      <c r="BE534" s="3"/>
      <c r="BF534" s="7">
        <f>AF534*E534</f>
      </c>
      <c r="BG534" s="6"/>
      <c r="BH534" s="3"/>
      <c r="BI534" s="6"/>
    </row>
    <row x14ac:dyDescent="0.25" r="535" customHeight="1" ht="12.75">
      <c r="A535" s="5" t="s">
        <v>366</v>
      </c>
      <c r="B535" s="3" t="s">
        <v>855</v>
      </c>
      <c r="C535" s="43" t="s">
        <v>869</v>
      </c>
      <c r="D535" s="34"/>
      <c r="E535" s="6">
        <v>31.055</v>
      </c>
      <c r="F535" s="6">
        <v>0.5235923361777493</v>
      </c>
      <c r="G535" s="6">
        <v>3.3182038319111253</v>
      </c>
      <c r="H535" s="31">
        <v>22.677121236515863</v>
      </c>
      <c r="I535" s="6">
        <v>0.08174625664144258</v>
      </c>
      <c r="J535" s="6"/>
      <c r="K535" s="7"/>
      <c r="L535" s="6"/>
      <c r="M535" s="6"/>
      <c r="N535" s="23"/>
      <c r="O535" s="5"/>
      <c r="P535" s="6"/>
      <c r="Q535" s="6"/>
      <c r="R535" s="6"/>
      <c r="S535" s="6"/>
      <c r="T535" s="6"/>
      <c r="U535" s="6"/>
      <c r="V535" s="5"/>
      <c r="W535" s="6"/>
      <c r="X535" s="6">
        <f>E535*F535/100</f>
      </c>
      <c r="Y535" s="6">
        <f>E535*G535/100</f>
      </c>
      <c r="Z535" s="7">
        <f>E535*H535</f>
      </c>
      <c r="AA535" s="7">
        <f>E535*J535</f>
      </c>
      <c r="AB535" s="6">
        <f>E535*I535/100</f>
      </c>
      <c r="AC535" s="15">
        <f>X535+Y535+AB535</f>
      </c>
      <c r="AD535" s="6">
        <f>F535+G535+I535</f>
      </c>
      <c r="AE535" s="3"/>
      <c r="AF535" s="6">
        <f>SUM(AM535:BC535)</f>
      </c>
      <c r="AG535" s="5">
        <f>IF(SUM(AM535:AO535)&gt;0.7*AF535,1,0)</f>
      </c>
      <c r="AH535" s="5">
        <f>IF(AN535&gt;0.4*AF535,1,0)</f>
      </c>
      <c r="AI535" s="5">
        <f>IF(SUM(AP535:AQ535)&gt;0.3*AF535,1,0)</f>
      </c>
      <c r="AJ535" s="5">
        <f>IF(AQ535&gt;0.2*AF535,1,0)</f>
      </c>
      <c r="AK535" s="5">
        <f>IF(SUM(AR535:BC535)&gt;0.3*AF535,1,0)</f>
      </c>
      <c r="AL535" s="3"/>
      <c r="AM535" s="6">
        <f>(F535/100)*AM$41</f>
      </c>
      <c r="AN535" s="6">
        <f>(G535/100)*AN$41</f>
      </c>
      <c r="AO535" s="6">
        <f>(H535/1000000)*AO$41</f>
      </c>
      <c r="AP535" s="6">
        <f>(I535/100)*AP$41</f>
      </c>
      <c r="AQ535" s="6">
        <f>(J535/1000000)*AQ$41</f>
      </c>
      <c r="AR535" s="6">
        <f>(K535/100)*AR$41</f>
      </c>
      <c r="AS535" s="6">
        <f>(L535/100)*AS$41</f>
      </c>
      <c r="AT535" s="6">
        <f>(M535/100)*AT$41</f>
      </c>
      <c r="AU535" s="6">
        <f>(N535/100)*AU$41</f>
      </c>
      <c r="AV535" s="6">
        <f>(O535/1000000)*AV$41</f>
      </c>
      <c r="AW535" s="6">
        <f>(P535/100)*AW$41</f>
      </c>
      <c r="AX535" s="6">
        <f>(Q535/100)*AX$41</f>
      </c>
      <c r="AY535" s="6">
        <f>(R535/100)*AY$41</f>
      </c>
      <c r="AZ535" s="6">
        <f>(S535/100)*AZ$41</f>
      </c>
      <c r="BA535" s="6">
        <f>(T535/100)*BA$41</f>
      </c>
      <c r="BB535" s="6">
        <f>(U535/100)*BB$41</f>
      </c>
      <c r="BC535" s="6"/>
      <c r="BD535" s="3"/>
      <c r="BE535" s="3"/>
      <c r="BF535" s="7">
        <f>AF535*E535</f>
      </c>
      <c r="BG535" s="6"/>
      <c r="BH535" s="3"/>
      <c r="BI535" s="6"/>
    </row>
    <row x14ac:dyDescent="0.25" r="536" customHeight="1" ht="12.75">
      <c r="A536" s="5" t="s">
        <v>257</v>
      </c>
      <c r="B536" s="3" t="s">
        <v>855</v>
      </c>
      <c r="C536" s="43" t="s">
        <v>869</v>
      </c>
      <c r="D536" s="34"/>
      <c r="E536" s="6">
        <v>212.2</v>
      </c>
      <c r="F536" s="6">
        <v>0.06429783223374176</v>
      </c>
      <c r="G536" s="6">
        <v>0.4857021677662583</v>
      </c>
      <c r="H536" s="7">
        <v>12.428934967012253</v>
      </c>
      <c r="I536" s="6"/>
      <c r="J536" s="7">
        <v>0.4000000000000001</v>
      </c>
      <c r="K536" s="7"/>
      <c r="L536" s="6"/>
      <c r="M536" s="6"/>
      <c r="N536" s="23"/>
      <c r="O536" s="5"/>
      <c r="P536" s="6"/>
      <c r="Q536" s="6"/>
      <c r="R536" s="6"/>
      <c r="S536" s="6"/>
      <c r="T536" s="6"/>
      <c r="U536" s="6"/>
      <c r="V536" s="5"/>
      <c r="W536" s="6"/>
      <c r="X536" s="6">
        <f>E536*F536/100</f>
      </c>
      <c r="Y536" s="6">
        <f>E536*G536/100</f>
      </c>
      <c r="Z536" s="7">
        <f>E536*H536</f>
      </c>
      <c r="AA536" s="7">
        <f>E536*J536</f>
      </c>
      <c r="AB536" s="6">
        <f>E536*I536/100</f>
      </c>
      <c r="AC536" s="15">
        <f>X536+Y536+AB536</f>
      </c>
      <c r="AD536" s="6">
        <f>F536+G536+I536</f>
      </c>
      <c r="AE536" s="3"/>
      <c r="AF536" s="6">
        <f>SUM(AM536:BC536)</f>
      </c>
      <c r="AG536" s="5">
        <f>IF(SUM(AM536:AO536)&gt;0.7*AF536,1,0)</f>
      </c>
      <c r="AH536" s="5">
        <f>IF(AN536&gt;0.4*AF536,1,0)</f>
      </c>
      <c r="AI536" s="5">
        <f>IF(SUM(AP536:AQ536)&gt;0.3*AF536,1,0)</f>
      </c>
      <c r="AJ536" s="5">
        <f>IF(AQ536&gt;0.2*AF536,1,0)</f>
      </c>
      <c r="AK536" s="5">
        <f>IF(SUM(AR536:BC536)&gt;0.3*AF536,1,0)</f>
      </c>
      <c r="AL536" s="3"/>
      <c r="AM536" s="6">
        <f>(F536/100)*AM$41</f>
      </c>
      <c r="AN536" s="6">
        <f>(G536/100)*AN$41</f>
      </c>
      <c r="AO536" s="6">
        <f>(H536/1000000)*AO$41</f>
      </c>
      <c r="AP536" s="6">
        <f>(I536/100)*AP$41</f>
      </c>
      <c r="AQ536" s="6">
        <f>(J536/1000000)*AQ$41</f>
      </c>
      <c r="AR536" s="6">
        <f>(K536/100)*AR$41</f>
      </c>
      <c r="AS536" s="6">
        <f>(L536/100)*AS$41</f>
      </c>
      <c r="AT536" s="6">
        <f>(M536/100)*AT$41</f>
      </c>
      <c r="AU536" s="6">
        <f>(N536/100)*AU$41</f>
      </c>
      <c r="AV536" s="6">
        <f>(O536/1000000)*AV$41</f>
      </c>
      <c r="AW536" s="6">
        <f>(P536/100)*AW$41</f>
      </c>
      <c r="AX536" s="6">
        <f>(Q536/100)*AX$41</f>
      </c>
      <c r="AY536" s="6">
        <f>(R536/100)*AY$41</f>
      </c>
      <c r="AZ536" s="6">
        <f>(S536/100)*AZ$41</f>
      </c>
      <c r="BA536" s="6">
        <f>(T536/100)*BA$41</f>
      </c>
      <c r="BB536" s="6">
        <f>(U536/100)*BB$41</f>
      </c>
      <c r="BC536" s="6"/>
      <c r="BD536" s="3"/>
      <c r="BE536" s="3"/>
      <c r="BF536" s="7">
        <f>AF536*E536</f>
      </c>
      <c r="BG536" s="6"/>
      <c r="BH536" s="3"/>
      <c r="BI536" s="6"/>
    </row>
    <row x14ac:dyDescent="0.25" r="537" customHeight="1" ht="12.75">
      <c r="A537" s="5" t="s">
        <v>172</v>
      </c>
      <c r="B537" s="3" t="s">
        <v>855</v>
      </c>
      <c r="C537" s="43" t="s">
        <v>869</v>
      </c>
      <c r="D537" s="34"/>
      <c r="E537" s="6">
        <v>219.8</v>
      </c>
      <c r="F537" s="6"/>
      <c r="G537" s="6">
        <v>0.08</v>
      </c>
      <c r="H537" s="6">
        <v>3.81</v>
      </c>
      <c r="I537" s="6">
        <v>0.43</v>
      </c>
      <c r="J537" s="6">
        <v>0.61</v>
      </c>
      <c r="K537" s="7"/>
      <c r="L537" s="6"/>
      <c r="M537" s="6"/>
      <c r="N537" s="23"/>
      <c r="O537" s="5"/>
      <c r="P537" s="6"/>
      <c r="Q537" s="6"/>
      <c r="R537" s="6"/>
      <c r="S537" s="6"/>
      <c r="T537" s="6"/>
      <c r="U537" s="6"/>
      <c r="V537" s="5"/>
      <c r="W537" s="6"/>
      <c r="X537" s="6">
        <f>E537*F537/100</f>
      </c>
      <c r="Y537" s="6">
        <f>E537*G537/100</f>
      </c>
      <c r="Z537" s="7">
        <f>E537*H537</f>
      </c>
      <c r="AA537" s="7">
        <f>E537*J537</f>
      </c>
      <c r="AB537" s="6">
        <f>E537*I537/100</f>
      </c>
      <c r="AC537" s="15">
        <f>X537+Y537+AB537</f>
      </c>
      <c r="AD537" s="6">
        <f>F537+G537+I537</f>
      </c>
      <c r="AE537" s="3"/>
      <c r="AF537" s="6">
        <f>SUM(AM537:BC537)</f>
      </c>
      <c r="AG537" s="5">
        <f>IF(SUM(AM537:AO537)&gt;0.7*AF537,1,0)</f>
      </c>
      <c r="AH537" s="5">
        <f>IF(AN537&gt;0.4*AF537,1,0)</f>
      </c>
      <c r="AI537" s="5">
        <f>IF(SUM(AP537:AQ537)&gt;0.3*AF537,1,0)</f>
      </c>
      <c r="AJ537" s="5">
        <f>IF(AQ537&gt;0.2*AF537,1,0)</f>
      </c>
      <c r="AK537" s="5">
        <f>IF(SUM(AR537:BC537)&gt;0.3*AF537,1,0)</f>
      </c>
      <c r="AL537" s="3"/>
      <c r="AM537" s="6">
        <f>(F537/100)*AM$41</f>
      </c>
      <c r="AN537" s="6">
        <f>(G537/100)*AN$41</f>
      </c>
      <c r="AO537" s="6">
        <f>(H537/1000000)*AO$41</f>
      </c>
      <c r="AP537" s="6">
        <f>(I537/100)*AP$41</f>
      </c>
      <c r="AQ537" s="6">
        <f>(J537/1000000)*AQ$41</f>
      </c>
      <c r="AR537" s="6">
        <f>(K537/100)*AR$41</f>
      </c>
      <c r="AS537" s="6">
        <f>(L537/100)*AS$41</f>
      </c>
      <c r="AT537" s="6">
        <f>(M537/100)*AT$41</f>
      </c>
      <c r="AU537" s="6">
        <f>(N537/100)*AU$41</f>
      </c>
      <c r="AV537" s="6">
        <f>(O537/1000000)*AV$41</f>
      </c>
      <c r="AW537" s="6">
        <f>(P537/100)*AW$41</f>
      </c>
      <c r="AX537" s="6">
        <f>(Q537/100)*AX$41</f>
      </c>
      <c r="AY537" s="6">
        <f>(R537/100)*AY$41</f>
      </c>
      <c r="AZ537" s="6">
        <f>(S537/100)*AZ$41</f>
      </c>
      <c r="BA537" s="6">
        <f>(T537/100)*BA$41</f>
      </c>
      <c r="BB537" s="6">
        <f>(U537/100)*BB$41</f>
      </c>
      <c r="BC537" s="6"/>
      <c r="BD537" s="3"/>
      <c r="BE537" s="3"/>
      <c r="BF537" s="7">
        <f>AF537*E537</f>
      </c>
      <c r="BG537" s="6"/>
      <c r="BH537" s="3"/>
      <c r="BI537" s="6"/>
    </row>
    <row x14ac:dyDescent="0.25" r="538" customHeight="1" ht="12.75">
      <c r="A538" s="5" t="s">
        <v>410</v>
      </c>
      <c r="B538" s="3" t="s">
        <v>855</v>
      </c>
      <c r="C538" s="43" t="s">
        <v>869</v>
      </c>
      <c r="D538" s="34"/>
      <c r="E538" s="23">
        <v>17.392711</v>
      </c>
      <c r="F538" s="7">
        <v>2.455326337567502</v>
      </c>
      <c r="G538" s="7">
        <v>3.589937106411991</v>
      </c>
      <c r="H538" s="31">
        <v>136.70985972227103</v>
      </c>
      <c r="I538" s="6"/>
      <c r="J538" s="6">
        <v>0.06903634574276547</v>
      </c>
      <c r="K538" s="7"/>
      <c r="L538" s="6"/>
      <c r="M538" s="6"/>
      <c r="N538" s="23"/>
      <c r="O538" s="5"/>
      <c r="P538" s="6"/>
      <c r="Q538" s="6"/>
      <c r="R538" s="6"/>
      <c r="S538" s="6"/>
      <c r="T538" s="6"/>
      <c r="U538" s="6"/>
      <c r="V538" s="5"/>
      <c r="W538" s="6"/>
      <c r="X538" s="6">
        <f>E538*F538/100</f>
      </c>
      <c r="Y538" s="6">
        <f>E538*G538/100</f>
      </c>
      <c r="Z538" s="7">
        <f>E538*H538</f>
      </c>
      <c r="AA538" s="7">
        <f>E538*J538</f>
      </c>
      <c r="AB538" s="6">
        <f>E538*I538/100</f>
      </c>
      <c r="AC538" s="15">
        <f>X538+Y538+AB538</f>
      </c>
      <c r="AD538" s="6">
        <f>F538+G538+I538</f>
      </c>
      <c r="AE538" s="3"/>
      <c r="AF538" s="6">
        <f>SUM(AM538:BC538)</f>
      </c>
      <c r="AG538" s="5">
        <f>IF(SUM(AM538:AO538)&gt;0.7*AF538,1,0)</f>
      </c>
      <c r="AH538" s="5">
        <f>IF(AN538&gt;0.4*AF538,1,0)</f>
      </c>
      <c r="AI538" s="5">
        <f>IF(SUM(AP538:AQ538)&gt;0.3*AF538,1,0)</f>
      </c>
      <c r="AJ538" s="5">
        <f>IF(AQ538&gt;0.2*AF538,1,0)</f>
      </c>
      <c r="AK538" s="5">
        <f>IF(SUM(AR538:BC538)&gt;0.3*AF538,1,0)</f>
      </c>
      <c r="AL538" s="3"/>
      <c r="AM538" s="6">
        <f>(F538/100)*AM$41</f>
      </c>
      <c r="AN538" s="6">
        <f>(G538/100)*AN$41</f>
      </c>
      <c r="AO538" s="6">
        <f>(H538/1000000)*AO$41</f>
      </c>
      <c r="AP538" s="6">
        <f>(I538/100)*AP$41</f>
      </c>
      <c r="AQ538" s="6">
        <f>(J538/1000000)*AQ$41</f>
      </c>
      <c r="AR538" s="6">
        <f>(K538/100)*AR$41</f>
      </c>
      <c r="AS538" s="6">
        <f>(L538/100)*AS$41</f>
      </c>
      <c r="AT538" s="6">
        <f>(M538/100)*AT$41</f>
      </c>
      <c r="AU538" s="6">
        <f>(N538/100)*AU$41</f>
      </c>
      <c r="AV538" s="6">
        <f>(O538/1000000)*AV$41</f>
      </c>
      <c r="AW538" s="6">
        <f>(P538/100)*AW$41</f>
      </c>
      <c r="AX538" s="6">
        <f>(Q538/100)*AX$41</f>
      </c>
      <c r="AY538" s="6">
        <f>(R538/100)*AY$41</f>
      </c>
      <c r="AZ538" s="6">
        <f>(S538/100)*AZ$41</f>
      </c>
      <c r="BA538" s="6">
        <f>(T538/100)*BA$41</f>
      </c>
      <c r="BB538" s="6">
        <f>(U538/100)*BB$41</f>
      </c>
      <c r="BC538" s="6"/>
      <c r="BD538" s="3"/>
      <c r="BE538" s="3"/>
      <c r="BF538" s="7">
        <f>AF538*E538</f>
      </c>
      <c r="BG538" s="6"/>
      <c r="BH538" s="3"/>
      <c r="BI538" s="6"/>
    </row>
    <row x14ac:dyDescent="0.25" r="539" customHeight="1" ht="12.75">
      <c r="A539" s="5" t="s">
        <v>419</v>
      </c>
      <c r="B539" s="3" t="s">
        <v>855</v>
      </c>
      <c r="C539" s="43" t="s">
        <v>869</v>
      </c>
      <c r="D539" s="34"/>
      <c r="E539" s="23">
        <v>18.093468</v>
      </c>
      <c r="F539" s="6">
        <v>1.37</v>
      </c>
      <c r="G539" s="6">
        <v>3.92</v>
      </c>
      <c r="H539" s="7">
        <v>72.774</v>
      </c>
      <c r="I539" s="6">
        <v>0.34</v>
      </c>
      <c r="J539" s="6"/>
      <c r="K539" s="7"/>
      <c r="L539" s="6"/>
      <c r="M539" s="6"/>
      <c r="N539" s="23"/>
      <c r="O539" s="5"/>
      <c r="P539" s="6"/>
      <c r="Q539" s="6"/>
      <c r="R539" s="6"/>
      <c r="S539" s="6"/>
      <c r="T539" s="6"/>
      <c r="U539" s="6"/>
      <c r="V539" s="5"/>
      <c r="W539" s="6"/>
      <c r="X539" s="6">
        <f>E539*F539/100</f>
      </c>
      <c r="Y539" s="6">
        <f>E539*G539/100</f>
      </c>
      <c r="Z539" s="7">
        <f>E539*H539</f>
      </c>
      <c r="AA539" s="7">
        <f>E539*J539</f>
      </c>
      <c r="AB539" s="6">
        <f>E539*I539/100</f>
      </c>
      <c r="AC539" s="15">
        <f>X539+Y539+AB539</f>
      </c>
      <c r="AD539" s="6">
        <f>F539+G539+I539</f>
      </c>
      <c r="AE539" s="3"/>
      <c r="AF539" s="6">
        <f>SUM(AM539:BC539)</f>
      </c>
      <c r="AG539" s="5">
        <f>IF(SUM(AM539:AO539)&gt;0.7*AF539,1,0)</f>
      </c>
      <c r="AH539" s="5">
        <f>IF(AN539&gt;0.4*AF539,1,0)</f>
      </c>
      <c r="AI539" s="5">
        <f>IF(SUM(AP539:AQ539)&gt;0.3*AF539,1,0)</f>
      </c>
      <c r="AJ539" s="5">
        <f>IF(AQ539&gt;0.2*AF539,1,0)</f>
      </c>
      <c r="AK539" s="5">
        <f>IF(SUM(AR539:BC539)&gt;0.3*AF539,1,0)</f>
      </c>
      <c r="AL539" s="3"/>
      <c r="AM539" s="6">
        <f>(F539/100)*AM$41</f>
      </c>
      <c r="AN539" s="6">
        <f>(G539/100)*AN$41</f>
      </c>
      <c r="AO539" s="6">
        <f>(H539/1000000)*AO$41</f>
      </c>
      <c r="AP539" s="6">
        <f>(I539/100)*AP$41</f>
      </c>
      <c r="AQ539" s="6">
        <f>(J539/1000000)*AQ$41</f>
      </c>
      <c r="AR539" s="6">
        <f>(K539/100)*AR$41</f>
      </c>
      <c r="AS539" s="6">
        <f>(L539/100)*AS$41</f>
      </c>
      <c r="AT539" s="6">
        <f>(M539/100)*AT$41</f>
      </c>
      <c r="AU539" s="6">
        <f>(N539/100)*AU$41</f>
      </c>
      <c r="AV539" s="6">
        <f>(O539/1000000)*AV$41</f>
      </c>
      <c r="AW539" s="6">
        <f>(P539/100)*AW$41</f>
      </c>
      <c r="AX539" s="6">
        <f>(Q539/100)*AX$41</f>
      </c>
      <c r="AY539" s="6">
        <f>(R539/100)*AY$41</f>
      </c>
      <c r="AZ539" s="6">
        <f>(S539/100)*AZ$41</f>
      </c>
      <c r="BA539" s="6">
        <f>(T539/100)*BA$41</f>
      </c>
      <c r="BB539" s="6">
        <f>(U539/100)*BB$41</f>
      </c>
      <c r="BC539" s="6"/>
      <c r="BD539" s="3"/>
      <c r="BE539" s="3"/>
      <c r="BF539" s="7">
        <f>AF539*E539</f>
      </c>
      <c r="BG539" s="6"/>
      <c r="BH539" s="3"/>
      <c r="BI539" s="6"/>
    </row>
    <row x14ac:dyDescent="0.25" r="540" customHeight="1" ht="12.75">
      <c r="A540" s="5" t="s">
        <v>428</v>
      </c>
      <c r="B540" s="3" t="s">
        <v>855</v>
      </c>
      <c r="C540" s="43" t="s">
        <v>869</v>
      </c>
      <c r="D540" s="34"/>
      <c r="E540" s="6">
        <v>13.536</v>
      </c>
      <c r="F540" s="6">
        <v>2.19</v>
      </c>
      <c r="G540" s="6">
        <v>5.18</v>
      </c>
      <c r="H540" s="7">
        <v>92.96</v>
      </c>
      <c r="I540" s="6">
        <v>0.09</v>
      </c>
      <c r="J540" s="6">
        <v>0.04</v>
      </c>
      <c r="K540" s="7"/>
      <c r="L540" s="6"/>
      <c r="M540" s="6"/>
      <c r="N540" s="23"/>
      <c r="O540" s="5"/>
      <c r="P540" s="6"/>
      <c r="Q540" s="6"/>
      <c r="R540" s="6"/>
      <c r="S540" s="6"/>
      <c r="T540" s="6"/>
      <c r="U540" s="6"/>
      <c r="V540" s="5"/>
      <c r="W540" s="6"/>
      <c r="X540" s="6">
        <f>E540*F540/100</f>
      </c>
      <c r="Y540" s="6">
        <f>E540*G540/100</f>
      </c>
      <c r="Z540" s="7">
        <f>E540*H540</f>
      </c>
      <c r="AA540" s="7">
        <f>E540*J540</f>
      </c>
      <c r="AB540" s="6">
        <f>E540*I540/100</f>
      </c>
      <c r="AC540" s="15">
        <f>X540+Y540+AB540</f>
      </c>
      <c r="AD540" s="6">
        <f>F540+G540+I540</f>
      </c>
      <c r="AE540" s="3"/>
      <c r="AF540" s="6">
        <f>SUM(AM540:BC540)</f>
      </c>
      <c r="AG540" s="5">
        <f>IF(SUM(AM540:AO540)&gt;0.7*AF540,1,0)</f>
      </c>
      <c r="AH540" s="5">
        <f>IF(AN540&gt;0.4*AF540,1,0)</f>
      </c>
      <c r="AI540" s="5">
        <f>IF(SUM(AP540:AQ540)&gt;0.3*AF540,1,0)</f>
      </c>
      <c r="AJ540" s="5">
        <f>IF(AQ540&gt;0.2*AF540,1,0)</f>
      </c>
      <c r="AK540" s="5">
        <f>IF(SUM(AR540:BC540)&gt;0.3*AF540,1,0)</f>
      </c>
      <c r="AL540" s="3"/>
      <c r="AM540" s="6">
        <f>(F540/100)*AM$41</f>
      </c>
      <c r="AN540" s="6">
        <f>(G540/100)*AN$41</f>
      </c>
      <c r="AO540" s="6">
        <f>(H540/1000000)*AO$41</f>
      </c>
      <c r="AP540" s="6">
        <f>(I540/100)*AP$41</f>
      </c>
      <c r="AQ540" s="6">
        <f>(J540/1000000)*AQ$41</f>
      </c>
      <c r="AR540" s="6">
        <f>(K540/100)*AR$41</f>
      </c>
      <c r="AS540" s="6">
        <f>(L540/100)*AS$41</f>
      </c>
      <c r="AT540" s="6">
        <f>(M540/100)*AT$41</f>
      </c>
      <c r="AU540" s="6">
        <f>(N540/100)*AU$41</f>
      </c>
      <c r="AV540" s="6">
        <f>(O540/1000000)*AV$41</f>
      </c>
      <c r="AW540" s="6">
        <f>(P540/100)*AW$41</f>
      </c>
      <c r="AX540" s="6">
        <f>(Q540/100)*AX$41</f>
      </c>
      <c r="AY540" s="6">
        <f>(R540/100)*AY$41</f>
      </c>
      <c r="AZ540" s="6">
        <f>(S540/100)*AZ$41</f>
      </c>
      <c r="BA540" s="6">
        <f>(T540/100)*BA$41</f>
      </c>
      <c r="BB540" s="6">
        <f>(U540/100)*BB$41</f>
      </c>
      <c r="BC540" s="6"/>
      <c r="BD540" s="3"/>
      <c r="BE540" s="3"/>
      <c r="BF540" s="7">
        <f>AF540*E540</f>
      </c>
      <c r="BG540" s="6"/>
      <c r="BH540" s="3"/>
      <c r="BI540" s="6"/>
    </row>
    <row x14ac:dyDescent="0.25" r="541" customHeight="1" ht="12.75">
      <c r="A541" s="5" t="s">
        <v>433</v>
      </c>
      <c r="B541" s="3" t="s">
        <v>855</v>
      </c>
      <c r="C541" s="43" t="s">
        <v>869</v>
      </c>
      <c r="D541" s="34"/>
      <c r="E541" s="6">
        <v>16.73</v>
      </c>
      <c r="F541" s="6">
        <v>0.6382785415421398</v>
      </c>
      <c r="G541" s="7">
        <v>5.085774058577406</v>
      </c>
      <c r="H541" s="31">
        <v>23.463419007770472</v>
      </c>
      <c r="I541" s="7">
        <v>0.2321637776449492</v>
      </c>
      <c r="J541" s="6"/>
      <c r="K541" s="7"/>
      <c r="L541" s="6"/>
      <c r="M541" s="6"/>
      <c r="N541" s="23"/>
      <c r="O541" s="5"/>
      <c r="P541" s="6"/>
      <c r="Q541" s="6"/>
      <c r="R541" s="6"/>
      <c r="S541" s="6"/>
      <c r="T541" s="6"/>
      <c r="U541" s="6"/>
      <c r="V541" s="5"/>
      <c r="W541" s="6"/>
      <c r="X541" s="6">
        <f>E541*F541/100</f>
      </c>
      <c r="Y541" s="6">
        <f>E541*G541/100</f>
      </c>
      <c r="Z541" s="7">
        <f>E541*H541</f>
      </c>
      <c r="AA541" s="7">
        <f>E541*J541</f>
      </c>
      <c r="AB541" s="6">
        <f>E541*I541/100</f>
      </c>
      <c r="AC541" s="15">
        <f>X541+Y541+AB541</f>
      </c>
      <c r="AD541" s="6">
        <f>F541+G541+I541</f>
      </c>
      <c r="AE541" s="3"/>
      <c r="AF541" s="6">
        <f>SUM(AM541:BC541)</f>
      </c>
      <c r="AG541" s="5">
        <f>IF(SUM(AM541:AO541)&gt;0.7*AF541,1,0)</f>
      </c>
      <c r="AH541" s="5">
        <f>IF(AN541&gt;0.4*AF541,1,0)</f>
      </c>
      <c r="AI541" s="5">
        <f>IF(SUM(AP541:AQ541)&gt;0.3*AF541,1,0)</f>
      </c>
      <c r="AJ541" s="5">
        <f>IF(AQ541&gt;0.2*AF541,1,0)</f>
      </c>
      <c r="AK541" s="5">
        <f>IF(SUM(AR541:BC541)&gt;0.3*AF541,1,0)</f>
      </c>
      <c r="AL541" s="3"/>
      <c r="AM541" s="6">
        <f>(F541/100)*AM$41</f>
      </c>
      <c r="AN541" s="6">
        <f>(G541/100)*AN$41</f>
      </c>
      <c r="AO541" s="6">
        <f>(H541/1000000)*AO$41</f>
      </c>
      <c r="AP541" s="6">
        <f>(I541/100)*AP$41</f>
      </c>
      <c r="AQ541" s="6">
        <f>(J541/1000000)*AQ$41</f>
      </c>
      <c r="AR541" s="6">
        <f>(K541/100)*AR$41</f>
      </c>
      <c r="AS541" s="6">
        <f>(L541/100)*AS$41</f>
      </c>
      <c r="AT541" s="6">
        <f>(M541/100)*AT$41</f>
      </c>
      <c r="AU541" s="6">
        <f>(N541/100)*AU$41</f>
      </c>
      <c r="AV541" s="6">
        <f>(O541/1000000)*AV$41</f>
      </c>
      <c r="AW541" s="6">
        <f>(P541/100)*AW$41</f>
      </c>
      <c r="AX541" s="6">
        <f>(Q541/100)*AX$41</f>
      </c>
      <c r="AY541" s="6">
        <f>(R541/100)*AY$41</f>
      </c>
      <c r="AZ541" s="6">
        <f>(S541/100)*AZ$41</f>
      </c>
      <c r="BA541" s="6">
        <f>(T541/100)*BA$41</f>
      </c>
      <c r="BB541" s="6">
        <f>(U541/100)*BB$41</f>
      </c>
      <c r="BC541" s="6"/>
      <c r="BD541" s="3"/>
      <c r="BE541" s="3"/>
      <c r="BF541" s="7">
        <f>AF541*E541</f>
      </c>
      <c r="BG541" s="6"/>
      <c r="BH541" s="3"/>
      <c r="BI541" s="6"/>
    </row>
    <row x14ac:dyDescent="0.25" r="542" customHeight="1" ht="12.75">
      <c r="A542" s="5" t="s">
        <v>380</v>
      </c>
      <c r="B542" s="3" t="s">
        <v>855</v>
      </c>
      <c r="C542" s="43" t="s">
        <v>869</v>
      </c>
      <c r="D542" s="34"/>
      <c r="E542" s="23">
        <v>9.633233</v>
      </c>
      <c r="F542" s="6">
        <v>0.3896732280844863</v>
      </c>
      <c r="G542" s="6">
        <v>7.799577327777704</v>
      </c>
      <c r="H542" s="7">
        <v>35.04896578334605</v>
      </c>
      <c r="I542" s="6">
        <v>1.083120443572786</v>
      </c>
      <c r="J542" s="6">
        <v>0.16660194350121085</v>
      </c>
      <c r="K542" s="7"/>
      <c r="L542" s="6"/>
      <c r="M542" s="6"/>
      <c r="N542" s="23"/>
      <c r="O542" s="5"/>
      <c r="P542" s="23">
        <v>0.009161273435619467</v>
      </c>
      <c r="Q542" s="6"/>
      <c r="R542" s="6"/>
      <c r="S542" s="6"/>
      <c r="T542" s="6"/>
      <c r="U542" s="6"/>
      <c r="V542" s="5"/>
      <c r="W542" s="6"/>
      <c r="X542" s="6">
        <f>E542*F542/100</f>
      </c>
      <c r="Y542" s="6">
        <f>E542*G542/100</f>
      </c>
      <c r="Z542" s="7">
        <f>E542*H542</f>
      </c>
      <c r="AA542" s="7">
        <f>E542*J542</f>
      </c>
      <c r="AB542" s="6">
        <f>E542*I542/100</f>
      </c>
      <c r="AC542" s="15">
        <f>X542+Y542+AB542</f>
      </c>
      <c r="AD542" s="6">
        <f>F542+G542+I542</f>
      </c>
      <c r="AE542" s="3"/>
      <c r="AF542" s="6">
        <f>SUM(AM542:BC542)</f>
      </c>
      <c r="AG542" s="5">
        <f>IF(SUM(AM542:AO542)&gt;0.7*AF542,1,0)</f>
      </c>
      <c r="AH542" s="5">
        <f>IF(AN542&gt;0.4*AF542,1,0)</f>
      </c>
      <c r="AI542" s="5">
        <f>IF(SUM(AP542:AQ542)&gt;0.3*AF542,1,0)</f>
      </c>
      <c r="AJ542" s="5">
        <f>IF(AQ542&gt;0.2*AF542,1,0)</f>
      </c>
      <c r="AK542" s="5">
        <f>IF(SUM(AR542:BC542)&gt;0.3*AF542,1,0)</f>
      </c>
      <c r="AL542" s="3"/>
      <c r="AM542" s="6">
        <f>(F542/100)*AM$41</f>
      </c>
      <c r="AN542" s="6">
        <f>(G542/100)*AN$41</f>
      </c>
      <c r="AO542" s="6">
        <f>(H542/1000000)*AO$41</f>
      </c>
      <c r="AP542" s="6">
        <f>(I542/100)*AP$41</f>
      </c>
      <c r="AQ542" s="6">
        <f>(J542/1000000)*AQ$41</f>
      </c>
      <c r="AR542" s="6">
        <f>(K542/100)*AR$41</f>
      </c>
      <c r="AS542" s="6">
        <f>(L542/100)*AS$41</f>
      </c>
      <c r="AT542" s="6">
        <f>(M542/100)*AT$41</f>
      </c>
      <c r="AU542" s="6">
        <f>(N542/100)*AU$41</f>
      </c>
      <c r="AV542" s="6">
        <f>(O542/1000000)*AV$41</f>
      </c>
      <c r="AW542" s="6">
        <f>(P542/100)*AW$41</f>
      </c>
      <c r="AX542" s="6">
        <f>(Q542/100)*AX$41</f>
      </c>
      <c r="AY542" s="6">
        <f>(R542/100)*AY$41</f>
      </c>
      <c r="AZ542" s="6">
        <f>(S542/100)*AZ$41</f>
      </c>
      <c r="BA542" s="6">
        <f>(T542/100)*BA$41</f>
      </c>
      <c r="BB542" s="6">
        <f>(U542/100)*BB$41</f>
      </c>
      <c r="BC542" s="6"/>
      <c r="BD542" s="3"/>
      <c r="BE542" s="3"/>
      <c r="BF542" s="7">
        <f>AF542*E542</f>
      </c>
      <c r="BG542" s="6"/>
      <c r="BH542" s="3"/>
      <c r="BI542" s="6"/>
    </row>
    <row x14ac:dyDescent="0.25" r="543" customHeight="1" ht="12.75">
      <c r="A543" s="5" t="s">
        <v>462</v>
      </c>
      <c r="B543" s="3" t="s">
        <v>855</v>
      </c>
      <c r="C543" s="43" t="s">
        <v>869</v>
      </c>
      <c r="D543" s="34"/>
      <c r="E543" s="6">
        <v>13.3</v>
      </c>
      <c r="F543" s="6">
        <v>0.2</v>
      </c>
      <c r="G543" s="6">
        <v>5.9</v>
      </c>
      <c r="H543" s="5">
        <v>14</v>
      </c>
      <c r="I543" s="6"/>
      <c r="J543" s="6"/>
      <c r="K543" s="7"/>
      <c r="L543" s="6"/>
      <c r="M543" s="6"/>
      <c r="N543" s="23"/>
      <c r="O543" s="5">
        <v>68</v>
      </c>
      <c r="P543" s="6"/>
      <c r="Q543" s="6"/>
      <c r="R543" s="6"/>
      <c r="S543" s="6"/>
      <c r="T543" s="6"/>
      <c r="U543" s="6"/>
      <c r="V543" s="5"/>
      <c r="W543" s="6"/>
      <c r="X543" s="6">
        <f>E543*F543/100</f>
      </c>
      <c r="Y543" s="6">
        <f>E543*G543/100</f>
      </c>
      <c r="Z543" s="7">
        <f>E543*H543</f>
      </c>
      <c r="AA543" s="7">
        <f>E543*J543</f>
      </c>
      <c r="AB543" s="6">
        <f>E543*I543/100</f>
      </c>
      <c r="AC543" s="15">
        <f>X543+Y543+AB543</f>
      </c>
      <c r="AD543" s="6">
        <f>F543+G543+I543</f>
      </c>
      <c r="AE543" s="3"/>
      <c r="AF543" s="6">
        <f>SUM(AM543:BC543)</f>
      </c>
      <c r="AG543" s="5">
        <f>IF(SUM(AM543:AO543)&gt;0.7*AF543,1,0)</f>
      </c>
      <c r="AH543" s="5">
        <f>IF(AN543&gt;0.4*AF543,1,0)</f>
      </c>
      <c r="AI543" s="5">
        <f>IF(SUM(AP543:AQ543)&gt;0.3*AF543,1,0)</f>
      </c>
      <c r="AJ543" s="5">
        <f>IF(AQ543&gt;0.2*AF543,1,0)</f>
      </c>
      <c r="AK543" s="5">
        <f>IF(SUM(AR543:BC543)&gt;0.3*AF543,1,0)</f>
      </c>
      <c r="AL543" s="3"/>
      <c r="AM543" s="6">
        <f>(F543/100)*AM$41</f>
      </c>
      <c r="AN543" s="6">
        <f>(G543/100)*AN$41</f>
      </c>
      <c r="AO543" s="6">
        <f>(H543/1000000)*AO$41</f>
      </c>
      <c r="AP543" s="6">
        <f>(I543/100)*AP$41</f>
      </c>
      <c r="AQ543" s="6">
        <f>(J543/1000000)*AQ$41</f>
      </c>
      <c r="AR543" s="6">
        <f>(K543/100)*AR$41</f>
      </c>
      <c r="AS543" s="6">
        <f>(L543/100)*AS$41</f>
      </c>
      <c r="AT543" s="6">
        <f>(M543/100)*AT$41</f>
      </c>
      <c r="AU543" s="6">
        <f>(N543/100)*AU$41</f>
      </c>
      <c r="AV543" s="6">
        <f>(O543/1000000)*AV$41</f>
      </c>
      <c r="AW543" s="6">
        <f>(P543/100)*AW$41</f>
      </c>
      <c r="AX543" s="6">
        <f>(Q543/100)*AX$41</f>
      </c>
      <c r="AY543" s="6">
        <f>(R543/100)*AY$41</f>
      </c>
      <c r="AZ543" s="6">
        <f>(S543/100)*AZ$41</f>
      </c>
      <c r="BA543" s="6">
        <f>(T543/100)*BA$41</f>
      </c>
      <c r="BB543" s="6">
        <f>(U543/100)*BB$41</f>
      </c>
      <c r="BC543" s="6"/>
      <c r="BD543" s="3"/>
      <c r="BE543" s="3"/>
      <c r="BF543" s="7">
        <f>AF543*E543</f>
      </c>
      <c r="BG543" s="6"/>
      <c r="BH543" s="3"/>
      <c r="BI543" s="6"/>
    </row>
    <row x14ac:dyDescent="0.25" r="544" customHeight="1" ht="12.75">
      <c r="A544" s="5" t="s">
        <v>184</v>
      </c>
      <c r="B544" s="3" t="s">
        <v>855</v>
      </c>
      <c r="C544" s="43" t="s">
        <v>869</v>
      </c>
      <c r="D544" s="34"/>
      <c r="E544" s="5">
        <v>78</v>
      </c>
      <c r="F544" s="6">
        <v>0.2472692307692308</v>
      </c>
      <c r="G544" s="6">
        <v>0.5038461538461539</v>
      </c>
      <c r="H544" s="7"/>
      <c r="I544" s="6">
        <v>0.28423076923076923</v>
      </c>
      <c r="J544" s="6"/>
      <c r="K544" s="7"/>
      <c r="L544" s="6"/>
      <c r="M544" s="6"/>
      <c r="N544" s="23"/>
      <c r="O544" s="5"/>
      <c r="P544" s="6"/>
      <c r="Q544" s="6"/>
      <c r="R544" s="6">
        <v>0.32961538461538464</v>
      </c>
      <c r="S544" s="6"/>
      <c r="T544" s="6"/>
      <c r="U544" s="6"/>
      <c r="V544" s="6"/>
      <c r="W544" s="6"/>
      <c r="X544" s="6">
        <f>E544*F544/100</f>
      </c>
      <c r="Y544" s="6">
        <f>E544*G544/100</f>
      </c>
      <c r="Z544" s="7">
        <f>E544*H544</f>
      </c>
      <c r="AA544" s="7">
        <f>E544*J544</f>
      </c>
      <c r="AB544" s="6">
        <f>E544*I544/100</f>
      </c>
      <c r="AC544" s="15">
        <f>X544+Y544+AB544</f>
      </c>
      <c r="AD544" s="6">
        <f>F544+G544+I544</f>
      </c>
      <c r="AE544" s="3"/>
      <c r="AF544" s="6">
        <f>SUM(AM544:BC544)</f>
      </c>
      <c r="AG544" s="5">
        <f>IF(SUM(AM544:AO544)&gt;0.7*AF544,1,0)</f>
      </c>
      <c r="AH544" s="5">
        <f>IF(AN544&gt;0.4*AF544,1,0)</f>
      </c>
      <c r="AI544" s="5">
        <f>IF(SUM(AP544:AQ544)&gt;0.3*AF544,1,0)</f>
      </c>
      <c r="AJ544" s="5">
        <f>IF(AQ544&gt;0.2*AF544,1,0)</f>
      </c>
      <c r="AK544" s="5">
        <f>IF(SUM(AR544:BC544)&gt;0.3*AF544,1,0)</f>
      </c>
      <c r="AL544" s="3"/>
      <c r="AM544" s="6">
        <f>(F544/100)*AM$41</f>
      </c>
      <c r="AN544" s="6">
        <f>(G544/100)*AN$41</f>
      </c>
      <c r="AO544" s="6">
        <f>(H544/1000000)*AO$41</f>
      </c>
      <c r="AP544" s="6">
        <f>(I544/100)*AP$41</f>
      </c>
      <c r="AQ544" s="6">
        <f>(J544/1000000)*AQ$41</f>
      </c>
      <c r="AR544" s="6">
        <f>(K544/100)*AR$41</f>
      </c>
      <c r="AS544" s="6">
        <f>(L544/100)*AS$41</f>
      </c>
      <c r="AT544" s="6">
        <f>(M544/100)*AT$41</f>
      </c>
      <c r="AU544" s="6">
        <f>(N544/100)*AU$41</f>
      </c>
      <c r="AV544" s="6">
        <f>(O544/1000000)*AV$41</f>
      </c>
      <c r="AW544" s="6">
        <f>(P544/100)*AW$41</f>
      </c>
      <c r="AX544" s="6">
        <f>(Q544/100)*AX$41</f>
      </c>
      <c r="AY544" s="6">
        <f>(R544/100)*AY$41</f>
      </c>
      <c r="AZ544" s="6">
        <f>(S544/100)*AZ$41</f>
      </c>
      <c r="BA544" s="6">
        <f>(T544/100)*BA$41</f>
      </c>
      <c r="BB544" s="6">
        <f>(U544/100)*BB$41</f>
      </c>
      <c r="BC544" s="6"/>
      <c r="BD544" s="3"/>
      <c r="BE544" s="3"/>
      <c r="BF544" s="7">
        <f>AF544*E544</f>
      </c>
      <c r="BG544" s="6"/>
      <c r="BH544" s="3"/>
      <c r="BI544" s="6"/>
    </row>
    <row x14ac:dyDescent="0.25" r="545" customHeight="1" ht="12.75">
      <c r="A545" s="5" t="s">
        <v>558</v>
      </c>
      <c r="B545" s="3" t="s">
        <v>855</v>
      </c>
      <c r="C545" s="43" t="s">
        <v>869</v>
      </c>
      <c r="D545" s="34"/>
      <c r="E545" s="6">
        <v>8.944</v>
      </c>
      <c r="F545" s="6">
        <v>2.378852862254025</v>
      </c>
      <c r="G545" s="6">
        <v>4.014948568872987</v>
      </c>
      <c r="H545" s="7">
        <v>54.671498211091226</v>
      </c>
      <c r="I545" s="6">
        <v>0.21032423971377462</v>
      </c>
      <c r="J545" s="6"/>
      <c r="K545" s="7"/>
      <c r="L545" s="6"/>
      <c r="M545" s="6"/>
      <c r="N545" s="23"/>
      <c r="O545" s="5"/>
      <c r="P545" s="6"/>
      <c r="Q545" s="6"/>
      <c r="R545" s="6"/>
      <c r="S545" s="6"/>
      <c r="T545" s="6"/>
      <c r="U545" s="6"/>
      <c r="V545" s="5"/>
      <c r="W545" s="6"/>
      <c r="X545" s="6">
        <f>E545*F545/100</f>
      </c>
      <c r="Y545" s="6">
        <f>E545*G545/100</f>
      </c>
      <c r="Z545" s="7">
        <f>E545*H545</f>
      </c>
      <c r="AA545" s="7">
        <f>E545*J545</f>
      </c>
      <c r="AB545" s="6">
        <f>E545*I545/100</f>
      </c>
      <c r="AC545" s="15">
        <f>X545+Y545+AB545</f>
      </c>
      <c r="AD545" s="6">
        <f>F545+G545+I545</f>
      </c>
      <c r="AE545" s="3"/>
      <c r="AF545" s="6">
        <f>SUM(AM545:BC545)</f>
      </c>
      <c r="AG545" s="5">
        <f>IF(SUM(AM545:AO545)&gt;0.7*AF545,1,0)</f>
      </c>
      <c r="AH545" s="5">
        <f>IF(AN545&gt;0.4*AF545,1,0)</f>
      </c>
      <c r="AI545" s="5">
        <f>IF(SUM(AP545:AQ545)&gt;0.3*AF545,1,0)</f>
      </c>
      <c r="AJ545" s="5">
        <f>IF(AQ545&gt;0.2*AF545,1,0)</f>
      </c>
      <c r="AK545" s="5">
        <f>IF(SUM(AR545:BC545)&gt;0.3*AF545,1,0)</f>
      </c>
      <c r="AL545" s="3"/>
      <c r="AM545" s="6">
        <f>(F545/100)*AM$41</f>
      </c>
      <c r="AN545" s="6">
        <f>(G545/100)*AN$41</f>
      </c>
      <c r="AO545" s="6">
        <f>(H545/1000000)*AO$41</f>
      </c>
      <c r="AP545" s="6">
        <f>(I545/100)*AP$41</f>
      </c>
      <c r="AQ545" s="6">
        <f>(J545/1000000)*AQ$41</f>
      </c>
      <c r="AR545" s="6">
        <f>(K545/100)*AR$41</f>
      </c>
      <c r="AS545" s="6">
        <f>(L545/100)*AS$41</f>
      </c>
      <c r="AT545" s="6">
        <f>(M545/100)*AT$41</f>
      </c>
      <c r="AU545" s="6">
        <f>(N545/100)*AU$41</f>
      </c>
      <c r="AV545" s="6">
        <f>(O545/1000000)*AV$41</f>
      </c>
      <c r="AW545" s="6">
        <f>(P545/100)*AW$41</f>
      </c>
      <c r="AX545" s="6">
        <f>(Q545/100)*AX$41</f>
      </c>
      <c r="AY545" s="6">
        <f>(R545/100)*AY$41</f>
      </c>
      <c r="AZ545" s="6">
        <f>(S545/100)*AZ$41</f>
      </c>
      <c r="BA545" s="6">
        <f>(T545/100)*BA$41</f>
      </c>
      <c r="BB545" s="6">
        <f>(U545/100)*BB$41</f>
      </c>
      <c r="BC545" s="6"/>
      <c r="BD545" s="3"/>
      <c r="BE545" s="3"/>
      <c r="BF545" s="7">
        <f>AF545*E545</f>
      </c>
      <c r="BG545" s="6"/>
      <c r="BH545" s="3"/>
      <c r="BI545" s="6"/>
    </row>
    <row x14ac:dyDescent="0.25" r="546" customHeight="1" ht="12.75">
      <c r="A546" s="5" t="s">
        <v>560</v>
      </c>
      <c r="B546" s="3" t="s">
        <v>855</v>
      </c>
      <c r="C546" s="43" t="s">
        <v>869</v>
      </c>
      <c r="D546" s="34" t="s">
        <v>1013</v>
      </c>
      <c r="E546" s="6">
        <v>8.3</v>
      </c>
      <c r="F546" s="6">
        <v>0.7966301204819276</v>
      </c>
      <c r="G546" s="6">
        <v>6.18769156626506</v>
      </c>
      <c r="H546" s="7"/>
      <c r="I546" s="6"/>
      <c r="J546" s="6"/>
      <c r="K546" s="7"/>
      <c r="L546" s="6"/>
      <c r="M546" s="6"/>
      <c r="N546" s="23"/>
      <c r="O546" s="5"/>
      <c r="P546" s="6"/>
      <c r="Q546" s="6"/>
      <c r="R546" s="6"/>
      <c r="S546" s="6"/>
      <c r="T546" s="6"/>
      <c r="U546" s="6"/>
      <c r="V546" s="5"/>
      <c r="W546" s="6"/>
      <c r="X546" s="6">
        <f>E546*F546/100</f>
      </c>
      <c r="Y546" s="6">
        <f>E546*G546/100</f>
      </c>
      <c r="Z546" s="7">
        <f>E546*H546</f>
      </c>
      <c r="AA546" s="7">
        <f>E546*J546</f>
      </c>
      <c r="AB546" s="6">
        <f>E546*I546/100</f>
      </c>
      <c r="AC546" s="15">
        <f>X546+Y546+AB546</f>
      </c>
      <c r="AD546" s="6">
        <f>F546+G546+I546</f>
      </c>
      <c r="AE546" s="3"/>
      <c r="AF546" s="6">
        <f>SUM(AM546:BC546)</f>
      </c>
      <c r="AG546" s="5">
        <f>IF(SUM(AM546:AO546)&gt;0.7*AF546,1,0)</f>
      </c>
      <c r="AH546" s="5">
        <f>IF(AN546&gt;0.4*AF546,1,0)</f>
      </c>
      <c r="AI546" s="5">
        <f>IF(SUM(AP546:AQ546)&gt;0.3*AF546,1,0)</f>
      </c>
      <c r="AJ546" s="5">
        <f>IF(AQ546&gt;0.2*AF546,1,0)</f>
      </c>
      <c r="AK546" s="5">
        <f>IF(SUM(AR546:BC546)&gt;0.3*AF546,1,0)</f>
      </c>
      <c r="AL546" s="3"/>
      <c r="AM546" s="6">
        <f>(F546/100)*AM$41</f>
      </c>
      <c r="AN546" s="6">
        <f>(G546/100)*AN$41</f>
      </c>
      <c r="AO546" s="6">
        <f>(H546/1000000)*AO$41</f>
      </c>
      <c r="AP546" s="6">
        <f>(I546/100)*AP$41</f>
      </c>
      <c r="AQ546" s="6">
        <f>(J546/1000000)*AQ$41</f>
      </c>
      <c r="AR546" s="6">
        <f>(K546/100)*AR$41</f>
      </c>
      <c r="AS546" s="6">
        <f>(L546/100)*AS$41</f>
      </c>
      <c r="AT546" s="6">
        <f>(M546/100)*AT$41</f>
      </c>
      <c r="AU546" s="6">
        <f>(N546/100)*AU$41</f>
      </c>
      <c r="AV546" s="6">
        <f>(O546/1000000)*AV$41</f>
      </c>
      <c r="AW546" s="6">
        <f>(P546/100)*AW$41</f>
      </c>
      <c r="AX546" s="6">
        <f>(Q546/100)*AX$41</f>
      </c>
      <c r="AY546" s="6">
        <f>(R546/100)*AY$41</f>
      </c>
      <c r="AZ546" s="6">
        <f>(S546/100)*AZ$41</f>
      </c>
      <c r="BA546" s="6">
        <f>(T546/100)*BA$41</f>
      </c>
      <c r="BB546" s="6">
        <f>(U546/100)*BB$41</f>
      </c>
      <c r="BC546" s="6"/>
      <c r="BD546" s="3"/>
      <c r="BE546" s="3"/>
      <c r="BF546" s="7">
        <f>AF546*E546</f>
      </c>
      <c r="BG546" s="6"/>
      <c r="BH546" s="3"/>
      <c r="BI546" s="6"/>
    </row>
    <row x14ac:dyDescent="0.25" r="547" customHeight="1" ht="12.75">
      <c r="A547" s="5" t="s">
        <v>473</v>
      </c>
      <c r="B547" s="3" t="s">
        <v>855</v>
      </c>
      <c r="C547" s="43" t="s">
        <v>869</v>
      </c>
      <c r="D547" s="34"/>
      <c r="E547" s="6">
        <v>34.658</v>
      </c>
      <c r="F547" s="6"/>
      <c r="G547" s="6">
        <v>0.7510984476888453</v>
      </c>
      <c r="H547" s="7">
        <v>14.942682786081136</v>
      </c>
      <c r="I547" s="6">
        <v>0.7919545270933117</v>
      </c>
      <c r="J547" s="7">
        <v>0.19999999999999998</v>
      </c>
      <c r="K547" s="7"/>
      <c r="L547" s="6"/>
      <c r="M547" s="6"/>
      <c r="N547" s="23"/>
      <c r="O547" s="5"/>
      <c r="P547" s="6"/>
      <c r="Q547" s="6"/>
      <c r="R547" s="6"/>
      <c r="S547" s="6"/>
      <c r="T547" s="6"/>
      <c r="U547" s="6"/>
      <c r="V547" s="5"/>
      <c r="W547" s="6"/>
      <c r="X547" s="6">
        <f>E547*F547/100</f>
      </c>
      <c r="Y547" s="6">
        <f>E547*G547/100</f>
      </c>
      <c r="Z547" s="7">
        <f>E547*H547</f>
      </c>
      <c r="AA547" s="7">
        <f>E547*J547</f>
      </c>
      <c r="AB547" s="6">
        <f>E547*I547/100</f>
      </c>
      <c r="AC547" s="15">
        <f>X547+Y547+AB547</f>
      </c>
      <c r="AD547" s="6">
        <f>F547+G547+I547</f>
      </c>
      <c r="AE547" s="3"/>
      <c r="AF547" s="6">
        <f>SUM(AM547:BC547)</f>
      </c>
      <c r="AG547" s="5">
        <f>IF(SUM(AM547:AO547)&gt;0.7*AF547,1,0)</f>
      </c>
      <c r="AH547" s="5">
        <f>IF(AN547&gt;0.4*AF547,1,0)</f>
      </c>
      <c r="AI547" s="5">
        <f>IF(SUM(AP547:AQ547)&gt;0.3*AF547,1,0)</f>
      </c>
      <c r="AJ547" s="5">
        <f>IF(AQ547&gt;0.2*AF547,1,0)</f>
      </c>
      <c r="AK547" s="5">
        <f>IF(SUM(AR547:BC547)&gt;0.3*AF547,1,0)</f>
      </c>
      <c r="AL547" s="3"/>
      <c r="AM547" s="6">
        <f>(F547/100)*AM$41</f>
      </c>
      <c r="AN547" s="6">
        <f>(G547/100)*AN$41</f>
      </c>
      <c r="AO547" s="6">
        <f>(H547/1000000)*AO$41</f>
      </c>
      <c r="AP547" s="6">
        <f>(I547/100)*AP$41</f>
      </c>
      <c r="AQ547" s="6">
        <f>(J547/1000000)*AQ$41</f>
      </c>
      <c r="AR547" s="6">
        <f>(K547/100)*AR$41</f>
      </c>
      <c r="AS547" s="6">
        <f>(L547/100)*AS$41</f>
      </c>
      <c r="AT547" s="6">
        <f>(M547/100)*AT$41</f>
      </c>
      <c r="AU547" s="6">
        <f>(N547/100)*AU$41</f>
      </c>
      <c r="AV547" s="6">
        <f>(O547/1000000)*AV$41</f>
      </c>
      <c r="AW547" s="6">
        <f>(P547/100)*AW$41</f>
      </c>
      <c r="AX547" s="6">
        <f>(Q547/100)*AX$41</f>
      </c>
      <c r="AY547" s="6">
        <f>(R547/100)*AY$41</f>
      </c>
      <c r="AZ547" s="6">
        <f>(S547/100)*AZ$41</f>
      </c>
      <c r="BA547" s="6">
        <f>(T547/100)*BA$41</f>
      </c>
      <c r="BB547" s="6">
        <f>(U547/100)*BB$41</f>
      </c>
      <c r="BC547" s="6"/>
      <c r="BD547" s="3"/>
      <c r="BE547" s="3"/>
      <c r="BF547" s="7">
        <f>AF547*E547</f>
      </c>
      <c r="BG547" s="6"/>
      <c r="BH547" s="3"/>
      <c r="BI547" s="6"/>
    </row>
    <row x14ac:dyDescent="0.25" r="548" customHeight="1" ht="12.75">
      <c r="A548" s="5" t="s">
        <v>489</v>
      </c>
      <c r="B548" s="3" t="s">
        <v>855</v>
      </c>
      <c r="C548" s="43" t="s">
        <v>869</v>
      </c>
      <c r="D548" s="34"/>
      <c r="E548" s="6">
        <v>6.42</v>
      </c>
      <c r="F548" s="6">
        <v>2.2738317757009345</v>
      </c>
      <c r="G548" s="6">
        <v>5.565482866043614</v>
      </c>
      <c r="H548" s="7">
        <v>62.718068535825545</v>
      </c>
      <c r="I548" s="6"/>
      <c r="J548" s="6"/>
      <c r="K548" s="7"/>
      <c r="L548" s="6"/>
      <c r="M548" s="6"/>
      <c r="N548" s="23"/>
      <c r="O548" s="5"/>
      <c r="P548" s="6"/>
      <c r="Q548" s="6"/>
      <c r="R548" s="6"/>
      <c r="S548" s="6"/>
      <c r="T548" s="6"/>
      <c r="U548" s="6"/>
      <c r="V548" s="5"/>
      <c r="W548" s="6"/>
      <c r="X548" s="6">
        <f>E548*F548/100</f>
      </c>
      <c r="Y548" s="6">
        <f>E548*G548/100</f>
      </c>
      <c r="Z548" s="7">
        <f>E548*H548</f>
      </c>
      <c r="AA548" s="7">
        <f>E548*J548</f>
      </c>
      <c r="AB548" s="6">
        <f>E548*I548/100</f>
      </c>
      <c r="AC548" s="15">
        <f>X548+Y548+AB548</f>
      </c>
      <c r="AD548" s="6">
        <f>F548+G548+I548</f>
      </c>
      <c r="AE548" s="3"/>
      <c r="AF548" s="6">
        <f>SUM(AM548:BC548)</f>
      </c>
      <c r="AG548" s="5">
        <f>IF(SUM(AM548:AO548)&gt;0.7*AF548,1,0)</f>
      </c>
      <c r="AH548" s="5">
        <f>IF(AN548&gt;0.4*AF548,1,0)</f>
      </c>
      <c r="AI548" s="5">
        <f>IF(SUM(AP548:AQ548)&gt;0.3*AF548,1,0)</f>
      </c>
      <c r="AJ548" s="5">
        <f>IF(AQ548&gt;0.2*AF548,1,0)</f>
      </c>
      <c r="AK548" s="5">
        <f>IF(SUM(AR548:BC548)&gt;0.3*AF548,1,0)</f>
      </c>
      <c r="AL548" s="3"/>
      <c r="AM548" s="6">
        <f>(F548/100)*AM$41</f>
      </c>
      <c r="AN548" s="6">
        <f>(G548/100)*AN$41</f>
      </c>
      <c r="AO548" s="6">
        <f>(H548/1000000)*AO$41</f>
      </c>
      <c r="AP548" s="6">
        <f>(I548/100)*AP$41</f>
      </c>
      <c r="AQ548" s="6">
        <f>(J548/1000000)*AQ$41</f>
      </c>
      <c r="AR548" s="6">
        <f>(K548/100)*AR$41</f>
      </c>
      <c r="AS548" s="6">
        <f>(L548/100)*AS$41</f>
      </c>
      <c r="AT548" s="6">
        <f>(M548/100)*AT$41</f>
      </c>
      <c r="AU548" s="6">
        <f>(N548/100)*AU$41</f>
      </c>
      <c r="AV548" s="6">
        <f>(O548/1000000)*AV$41</f>
      </c>
      <c r="AW548" s="6">
        <f>(P548/100)*AW$41</f>
      </c>
      <c r="AX548" s="6">
        <f>(Q548/100)*AX$41</f>
      </c>
      <c r="AY548" s="6">
        <f>(R548/100)*AY$41</f>
      </c>
      <c r="AZ548" s="6">
        <f>(S548/100)*AZ$41</f>
      </c>
      <c r="BA548" s="6">
        <f>(T548/100)*BA$41</f>
      </c>
      <c r="BB548" s="6">
        <f>(U548/100)*BB$41</f>
      </c>
      <c r="BC548" s="6"/>
      <c r="BD548" s="3"/>
      <c r="BE548" s="3"/>
      <c r="BF548" s="7">
        <f>AF548*E548</f>
      </c>
      <c r="BG548" s="6"/>
      <c r="BH548" s="3"/>
      <c r="BI548" s="6"/>
    </row>
    <row x14ac:dyDescent="0.25" r="549" customHeight="1" ht="12.75">
      <c r="A549" s="5" t="s">
        <v>479</v>
      </c>
      <c r="B549" s="3" t="s">
        <v>855</v>
      </c>
      <c r="C549" s="43" t="s">
        <v>869</v>
      </c>
      <c r="D549" s="34"/>
      <c r="E549" s="23">
        <v>19.1562</v>
      </c>
      <c r="F549" s="7">
        <v>1.2003451415207609</v>
      </c>
      <c r="G549" s="7">
        <v>1.4189325649137097</v>
      </c>
      <c r="H549" s="31">
        <v>169.4386367860014</v>
      </c>
      <c r="I549" s="6"/>
      <c r="J549" s="6">
        <v>0.013837822741462294</v>
      </c>
      <c r="K549" s="7"/>
      <c r="L549" s="6"/>
      <c r="M549" s="6"/>
      <c r="N549" s="23"/>
      <c r="O549" s="5"/>
      <c r="P549" s="6"/>
      <c r="Q549" s="6"/>
      <c r="R549" s="6"/>
      <c r="S549" s="6"/>
      <c r="T549" s="6"/>
      <c r="U549" s="6"/>
      <c r="V549" s="5"/>
      <c r="W549" s="6"/>
      <c r="X549" s="6">
        <f>E549*F549/100</f>
      </c>
      <c r="Y549" s="6">
        <f>E549*G549/100</f>
      </c>
      <c r="Z549" s="7">
        <f>E549*H549</f>
      </c>
      <c r="AA549" s="7">
        <f>E549*J549</f>
      </c>
      <c r="AB549" s="6">
        <f>E549*I549/100</f>
      </c>
      <c r="AC549" s="15">
        <f>X549+Y549+AB549</f>
      </c>
      <c r="AD549" s="6">
        <f>F549+G549+I549</f>
      </c>
      <c r="AE549" s="3"/>
      <c r="AF549" s="6">
        <f>SUM(AM549:BC549)</f>
      </c>
      <c r="AG549" s="5">
        <f>IF(SUM(AM549:AO549)&gt;0.7*AF549,1,0)</f>
      </c>
      <c r="AH549" s="5">
        <f>IF(AN549&gt;0.4*AF549,1,0)</f>
      </c>
      <c r="AI549" s="5">
        <f>IF(SUM(AP549:AQ549)&gt;0.3*AF549,1,0)</f>
      </c>
      <c r="AJ549" s="5">
        <f>IF(AQ549&gt;0.2*AF549,1,0)</f>
      </c>
      <c r="AK549" s="5">
        <f>IF(SUM(AR549:BC549)&gt;0.3*AF549,1,0)</f>
      </c>
      <c r="AL549" s="3"/>
      <c r="AM549" s="6">
        <f>(F549/100)*AM$41</f>
      </c>
      <c r="AN549" s="6">
        <f>(G549/100)*AN$41</f>
      </c>
      <c r="AO549" s="6">
        <f>(H549/1000000)*AO$41</f>
      </c>
      <c r="AP549" s="6">
        <f>(I549/100)*AP$41</f>
      </c>
      <c r="AQ549" s="6">
        <f>(J549/1000000)*AQ$41</f>
      </c>
      <c r="AR549" s="6">
        <f>(K549/100)*AR$41</f>
      </c>
      <c r="AS549" s="6">
        <f>(L549/100)*AS$41</f>
      </c>
      <c r="AT549" s="6">
        <f>(M549/100)*AT$41</f>
      </c>
      <c r="AU549" s="6">
        <f>(N549/100)*AU$41</f>
      </c>
      <c r="AV549" s="6">
        <f>(O549/1000000)*AV$41</f>
      </c>
      <c r="AW549" s="6">
        <f>(P549/100)*AW$41</f>
      </c>
      <c r="AX549" s="6">
        <f>(Q549/100)*AX$41</f>
      </c>
      <c r="AY549" s="6">
        <f>(R549/100)*AY$41</f>
      </c>
      <c r="AZ549" s="6">
        <f>(S549/100)*AZ$41</f>
      </c>
      <c r="BA549" s="6">
        <f>(T549/100)*BA$41</f>
      </c>
      <c r="BB549" s="6">
        <f>(U549/100)*BB$41</f>
      </c>
      <c r="BC549" s="6"/>
      <c r="BD549" s="3"/>
      <c r="BE549" s="3"/>
      <c r="BF549" s="7">
        <f>AF549*E549</f>
      </c>
      <c r="BG549" s="6"/>
      <c r="BH549" s="3"/>
      <c r="BI549" s="6"/>
    </row>
    <row x14ac:dyDescent="0.25" r="550" customHeight="1" ht="12.75">
      <c r="A550" s="5" t="s">
        <v>578</v>
      </c>
      <c r="B550" s="3" t="s">
        <v>855</v>
      </c>
      <c r="C550" s="43" t="s">
        <v>869</v>
      </c>
      <c r="D550" s="34"/>
      <c r="E550" s="6">
        <v>23.243</v>
      </c>
      <c r="F550" s="6">
        <v>0.6444340231467539</v>
      </c>
      <c r="G550" s="6">
        <v>1.3603897947769221</v>
      </c>
      <c r="H550" s="7">
        <v>60.75797014154801</v>
      </c>
      <c r="I550" s="6">
        <v>0.08831562190767113</v>
      </c>
      <c r="J550" s="6">
        <v>0.11741685668803511</v>
      </c>
      <c r="K550" s="7"/>
      <c r="L550" s="6"/>
      <c r="M550" s="6"/>
      <c r="N550" s="23"/>
      <c r="O550" s="5"/>
      <c r="P550" s="6"/>
      <c r="Q550" s="6"/>
      <c r="R550" s="6"/>
      <c r="S550" s="6"/>
      <c r="T550" s="6"/>
      <c r="U550" s="6"/>
      <c r="V550" s="5"/>
      <c r="W550" s="6"/>
      <c r="X550" s="6">
        <f>E550*F550/100</f>
      </c>
      <c r="Y550" s="6">
        <f>E550*G550/100</f>
      </c>
      <c r="Z550" s="7">
        <f>E550*H550</f>
      </c>
      <c r="AA550" s="7">
        <f>E550*J550</f>
      </c>
      <c r="AB550" s="6">
        <f>E550*I550/100</f>
      </c>
      <c r="AC550" s="15">
        <f>X550+Y550+AB550</f>
      </c>
      <c r="AD550" s="6">
        <f>F550+G550+I550</f>
      </c>
      <c r="AE550" s="3"/>
      <c r="AF550" s="6">
        <f>SUM(AM550:BC550)</f>
      </c>
      <c r="AG550" s="5">
        <f>IF(SUM(AM550:AO550)&gt;0.7*AF550,1,0)</f>
      </c>
      <c r="AH550" s="5">
        <f>IF(AN550&gt;0.4*AF550,1,0)</f>
      </c>
      <c r="AI550" s="5">
        <f>IF(SUM(AP550:AQ550)&gt;0.3*AF550,1,0)</f>
      </c>
      <c r="AJ550" s="5">
        <f>IF(AQ550&gt;0.2*AF550,1,0)</f>
      </c>
      <c r="AK550" s="5">
        <f>IF(SUM(AR550:BC550)&gt;0.3*AF550,1,0)</f>
      </c>
      <c r="AL550" s="3"/>
      <c r="AM550" s="6">
        <f>(F550/100)*AM$41</f>
      </c>
      <c r="AN550" s="6">
        <f>(G550/100)*AN$41</f>
      </c>
      <c r="AO550" s="6">
        <f>(H550/1000000)*AO$41</f>
      </c>
      <c r="AP550" s="6">
        <f>(I550/100)*AP$41</f>
      </c>
      <c r="AQ550" s="6">
        <f>(J550/1000000)*AQ$41</f>
      </c>
      <c r="AR550" s="6">
        <f>(K550/100)*AR$41</f>
      </c>
      <c r="AS550" s="6">
        <f>(L550/100)*AS$41</f>
      </c>
      <c r="AT550" s="6">
        <f>(M550/100)*AT$41</f>
      </c>
      <c r="AU550" s="6">
        <f>(N550/100)*AU$41</f>
      </c>
      <c r="AV550" s="6">
        <f>(O550/1000000)*AV$41</f>
      </c>
      <c r="AW550" s="6">
        <f>(P550/100)*AW$41</f>
      </c>
      <c r="AX550" s="6">
        <f>(Q550/100)*AX$41</f>
      </c>
      <c r="AY550" s="6">
        <f>(R550/100)*AY$41</f>
      </c>
      <c r="AZ550" s="6">
        <f>(S550/100)*AZ$41</f>
      </c>
      <c r="BA550" s="6">
        <f>(T550/100)*BA$41</f>
      </c>
      <c r="BB550" s="6">
        <f>(U550/100)*BB$41</f>
      </c>
      <c r="BC550" s="6"/>
      <c r="BD550" s="3"/>
      <c r="BE550" s="3"/>
      <c r="BF550" s="7">
        <f>AF550*E550</f>
      </c>
      <c r="BG550" s="6"/>
      <c r="BH550" s="3"/>
      <c r="BI550" s="6"/>
    </row>
    <row x14ac:dyDescent="0.25" r="551" customHeight="1" ht="12.75">
      <c r="A551" s="5" t="s">
        <v>606</v>
      </c>
      <c r="B551" s="3" t="s">
        <v>855</v>
      </c>
      <c r="C551" s="43" t="s">
        <v>869</v>
      </c>
      <c r="D551" s="34"/>
      <c r="E551" s="6">
        <v>11.049999999999999</v>
      </c>
      <c r="F551" s="6">
        <v>1.9894932126696834</v>
      </c>
      <c r="G551" s="6">
        <v>2.1031493212669683</v>
      </c>
      <c r="H551" s="7">
        <v>53.52125791855204</v>
      </c>
      <c r="I551" s="6">
        <v>0.18961085972850678</v>
      </c>
      <c r="J551" s="6"/>
      <c r="K551" s="7"/>
      <c r="L551" s="6"/>
      <c r="M551" s="6"/>
      <c r="N551" s="23"/>
      <c r="O551" s="5"/>
      <c r="P551" s="6"/>
      <c r="Q551" s="6"/>
      <c r="R551" s="6"/>
      <c r="S551" s="6"/>
      <c r="T551" s="6"/>
      <c r="U551" s="6"/>
      <c r="V551" s="5"/>
      <c r="W551" s="6"/>
      <c r="X551" s="6">
        <f>E551*F551/100</f>
      </c>
      <c r="Y551" s="6">
        <f>E551*G551/100</f>
      </c>
      <c r="Z551" s="7">
        <f>E551*H551</f>
      </c>
      <c r="AA551" s="7">
        <f>E551*J551</f>
      </c>
      <c r="AB551" s="6">
        <f>E551*I551/100</f>
      </c>
      <c r="AC551" s="15">
        <f>X551+Y551+AB551</f>
      </c>
      <c r="AD551" s="6">
        <f>F551+G551+I551</f>
      </c>
      <c r="AE551" s="3"/>
      <c r="AF551" s="6">
        <f>SUM(AM551:BC551)</f>
      </c>
      <c r="AG551" s="5">
        <f>IF(SUM(AM551:AO551)&gt;0.7*AF551,1,0)</f>
      </c>
      <c r="AH551" s="5">
        <f>IF(AN551&gt;0.4*AF551,1,0)</f>
      </c>
      <c r="AI551" s="5">
        <f>IF(SUM(AP551:AQ551)&gt;0.3*AF551,1,0)</f>
      </c>
      <c r="AJ551" s="5">
        <f>IF(AQ551&gt;0.2*AF551,1,0)</f>
      </c>
      <c r="AK551" s="5">
        <f>IF(SUM(AR551:BC551)&gt;0.3*AF551,1,0)</f>
      </c>
      <c r="AL551" s="3"/>
      <c r="AM551" s="6">
        <f>(F551/100)*AM$41</f>
      </c>
      <c r="AN551" s="6">
        <f>(G551/100)*AN$41</f>
      </c>
      <c r="AO551" s="6">
        <f>(H551/1000000)*AO$41</f>
      </c>
      <c r="AP551" s="6">
        <f>(I551/100)*AP$41</f>
      </c>
      <c r="AQ551" s="6">
        <f>(J551/1000000)*AQ$41</f>
      </c>
      <c r="AR551" s="6">
        <f>(K551/100)*AR$41</f>
      </c>
      <c r="AS551" s="6">
        <f>(L551/100)*AS$41</f>
      </c>
      <c r="AT551" s="6">
        <f>(M551/100)*AT$41</f>
      </c>
      <c r="AU551" s="6">
        <f>(N551/100)*AU$41</f>
      </c>
      <c r="AV551" s="6">
        <f>(O551/1000000)*AV$41</f>
      </c>
      <c r="AW551" s="6">
        <f>(P551/100)*AW$41</f>
      </c>
      <c r="AX551" s="6">
        <f>(Q551/100)*AX$41</f>
      </c>
      <c r="AY551" s="6">
        <f>(R551/100)*AY$41</f>
      </c>
      <c r="AZ551" s="6">
        <f>(S551/100)*AZ$41</f>
      </c>
      <c r="BA551" s="6">
        <f>(T551/100)*BA$41</f>
      </c>
      <c r="BB551" s="6">
        <f>(U551/100)*BB$41</f>
      </c>
      <c r="BC551" s="6"/>
      <c r="BD551" s="3"/>
      <c r="BE551" s="3"/>
      <c r="BF551" s="7">
        <f>AF551*E551</f>
      </c>
      <c r="BG551" s="6"/>
      <c r="BH551" s="3"/>
      <c r="BI551" s="6"/>
    </row>
    <row x14ac:dyDescent="0.25" r="552" customHeight="1" ht="12.75">
      <c r="A552" s="5" t="s">
        <v>394</v>
      </c>
      <c r="B552" s="3" t="s">
        <v>855</v>
      </c>
      <c r="C552" s="43" t="s">
        <v>869</v>
      </c>
      <c r="D552" s="34"/>
      <c r="E552" s="23">
        <v>6.509</v>
      </c>
      <c r="F552" s="6">
        <v>2.5263880780457826</v>
      </c>
      <c r="G552" s="6">
        <v>3.333780918727915</v>
      </c>
      <c r="H552" s="7">
        <v>121.12945152865262</v>
      </c>
      <c r="I552" s="6">
        <v>0.9896143800891074</v>
      </c>
      <c r="J552" s="6">
        <v>0.9746827469657399</v>
      </c>
      <c r="K552" s="7"/>
      <c r="L552" s="6"/>
      <c r="M552" s="6"/>
      <c r="N552" s="23"/>
      <c r="O552" s="5"/>
      <c r="P552" s="6"/>
      <c r="Q552" s="6"/>
      <c r="R552" s="6"/>
      <c r="S552" s="6"/>
      <c r="T552" s="6"/>
      <c r="U552" s="6"/>
      <c r="V552" s="5"/>
      <c r="W552" s="6"/>
      <c r="X552" s="6">
        <f>E552*F552/100</f>
      </c>
      <c r="Y552" s="6">
        <f>E552*G552/100</f>
      </c>
      <c r="Z552" s="7">
        <f>E552*H552</f>
      </c>
      <c r="AA552" s="7">
        <f>E552*J552</f>
      </c>
      <c r="AB552" s="6">
        <f>E552*I552/100</f>
      </c>
      <c r="AC552" s="15">
        <f>X552+Y552+AB552</f>
      </c>
      <c r="AD552" s="6">
        <f>F552+G552+I552</f>
      </c>
      <c r="AE552" s="3"/>
      <c r="AF552" s="6">
        <f>SUM(AM552:BC552)</f>
      </c>
      <c r="AG552" s="5">
        <f>IF(SUM(AM552:AO552)&gt;0.7*AF552,1,0)</f>
      </c>
      <c r="AH552" s="5">
        <f>IF(AN552&gt;0.4*AF552,1,0)</f>
      </c>
      <c r="AI552" s="5">
        <f>IF(SUM(AP552:AQ552)&gt;0.3*AF552,1,0)</f>
      </c>
      <c r="AJ552" s="5">
        <f>IF(AQ552&gt;0.2*AF552,1,0)</f>
      </c>
      <c r="AK552" s="5">
        <f>IF(SUM(AR552:BC552)&gt;0.3*AF552,1,0)</f>
      </c>
      <c r="AL552" s="3"/>
      <c r="AM552" s="6">
        <f>(F552/100)*AM$41</f>
      </c>
      <c r="AN552" s="6">
        <f>(G552/100)*AN$41</f>
      </c>
      <c r="AO552" s="6">
        <f>(H552/1000000)*AO$41</f>
      </c>
      <c r="AP552" s="6">
        <f>(I552/100)*AP$41</f>
      </c>
      <c r="AQ552" s="6">
        <f>(J552/1000000)*AQ$41</f>
      </c>
      <c r="AR552" s="6">
        <f>(K552/100)*AR$41</f>
      </c>
      <c r="AS552" s="6">
        <f>(L552/100)*AS$41</f>
      </c>
      <c r="AT552" s="6">
        <f>(M552/100)*AT$41</f>
      </c>
      <c r="AU552" s="6">
        <f>(N552/100)*AU$41</f>
      </c>
      <c r="AV552" s="6">
        <f>(O552/1000000)*AV$41</f>
      </c>
      <c r="AW552" s="6">
        <f>(P552/100)*AW$41</f>
      </c>
      <c r="AX552" s="6">
        <f>(Q552/100)*AX$41</f>
      </c>
      <c r="AY552" s="6">
        <f>(R552/100)*AY$41</f>
      </c>
      <c r="AZ552" s="6">
        <f>(S552/100)*AZ$41</f>
      </c>
      <c r="BA552" s="6">
        <f>(T552/100)*BA$41</f>
      </c>
      <c r="BB552" s="6">
        <f>(U552/100)*BB$41</f>
      </c>
      <c r="BC552" s="6"/>
      <c r="BD552" s="3"/>
      <c r="BE552" s="3"/>
      <c r="BF552" s="7">
        <f>AF552*E552</f>
      </c>
      <c r="BG552" s="6"/>
      <c r="BH552" s="3"/>
      <c r="BI552" s="6"/>
    </row>
    <row x14ac:dyDescent="0.25" r="553" customHeight="1" ht="12.75">
      <c r="A553" s="5" t="s">
        <v>563</v>
      </c>
      <c r="B553" s="3" t="s">
        <v>855</v>
      </c>
      <c r="C553" s="43" t="s">
        <v>869</v>
      </c>
      <c r="D553" s="34"/>
      <c r="E553" s="6">
        <v>6.142</v>
      </c>
      <c r="F553" s="6">
        <v>0.55</v>
      </c>
      <c r="G553" s="6">
        <v>6.11</v>
      </c>
      <c r="H553" s="7">
        <v>40.25</v>
      </c>
      <c r="I553" s="6">
        <v>0.32</v>
      </c>
      <c r="J553" s="6"/>
      <c r="K553" s="7"/>
      <c r="L553" s="6"/>
      <c r="M553" s="6"/>
      <c r="N553" s="23"/>
      <c r="O553" s="5"/>
      <c r="P553" s="6"/>
      <c r="Q553" s="6"/>
      <c r="R553" s="6"/>
      <c r="S553" s="6"/>
      <c r="T553" s="6"/>
      <c r="U553" s="6"/>
      <c r="V553" s="5"/>
      <c r="W553" s="6"/>
      <c r="X553" s="6">
        <f>E553*F553/100</f>
      </c>
      <c r="Y553" s="6">
        <f>E553*G553/100</f>
      </c>
      <c r="Z553" s="7">
        <f>E553*H553</f>
      </c>
      <c r="AA553" s="7">
        <f>E553*J553</f>
      </c>
      <c r="AB553" s="6">
        <f>E553*I553/100</f>
      </c>
      <c r="AC553" s="15">
        <f>X553+Y553+AB553</f>
      </c>
      <c r="AD553" s="6">
        <f>F553+G553+I553</f>
      </c>
      <c r="AE553" s="3"/>
      <c r="AF553" s="6">
        <f>SUM(AM553:BC553)</f>
      </c>
      <c r="AG553" s="5">
        <f>IF(SUM(AM553:AO553)&gt;0.7*AF553,1,0)</f>
      </c>
      <c r="AH553" s="5">
        <f>IF(AN553&gt;0.4*AF553,1,0)</f>
      </c>
      <c r="AI553" s="5">
        <f>IF(SUM(AP553:AQ553)&gt;0.3*AF553,1,0)</f>
      </c>
      <c r="AJ553" s="5">
        <f>IF(AQ553&gt;0.2*AF553,1,0)</f>
      </c>
      <c r="AK553" s="5">
        <f>IF(SUM(AR553:BC553)&gt;0.3*AF553,1,0)</f>
      </c>
      <c r="AL553" s="3"/>
      <c r="AM553" s="6">
        <f>(F553/100)*AM$41</f>
      </c>
      <c r="AN553" s="6">
        <f>(G553/100)*AN$41</f>
      </c>
      <c r="AO553" s="6">
        <f>(H553/1000000)*AO$41</f>
      </c>
      <c r="AP553" s="6">
        <f>(I553/100)*AP$41</f>
      </c>
      <c r="AQ553" s="6">
        <f>(J553/1000000)*AQ$41</f>
      </c>
      <c r="AR553" s="6">
        <f>(K553/100)*AR$41</f>
      </c>
      <c r="AS553" s="6">
        <f>(L553/100)*AS$41</f>
      </c>
      <c r="AT553" s="6">
        <f>(M553/100)*AT$41</f>
      </c>
      <c r="AU553" s="6">
        <f>(N553/100)*AU$41</f>
      </c>
      <c r="AV553" s="6">
        <f>(O553/1000000)*AV$41</f>
      </c>
      <c r="AW553" s="6">
        <f>(P553/100)*AW$41</f>
      </c>
      <c r="AX553" s="6">
        <f>(Q553/100)*AX$41</f>
      </c>
      <c r="AY553" s="6">
        <f>(R553/100)*AY$41</f>
      </c>
      <c r="AZ553" s="6">
        <f>(S553/100)*AZ$41</f>
      </c>
      <c r="BA553" s="6">
        <f>(T553/100)*BA$41</f>
      </c>
      <c r="BB553" s="6">
        <f>(U553/100)*BB$41</f>
      </c>
      <c r="BC553" s="6"/>
      <c r="BD553" s="3"/>
      <c r="BE553" s="3"/>
      <c r="BF553" s="7">
        <f>AF553*E553</f>
      </c>
      <c r="BG553" s="6"/>
      <c r="BH553" s="3"/>
      <c r="BI553" s="6"/>
    </row>
    <row x14ac:dyDescent="0.25" r="554" customHeight="1" ht="12.75">
      <c r="A554" s="5" t="s">
        <v>436</v>
      </c>
      <c r="B554" s="3" t="s">
        <v>855</v>
      </c>
      <c r="C554" s="43" t="s">
        <v>869</v>
      </c>
      <c r="D554" s="34"/>
      <c r="E554" s="6">
        <v>5.075861838541997</v>
      </c>
      <c r="F554" s="6"/>
      <c r="G554" s="6">
        <v>7.484443274545932</v>
      </c>
      <c r="H554" s="7">
        <v>150.0084232692814</v>
      </c>
      <c r="I554" s="6"/>
      <c r="J554" s="7">
        <v>0.7886285864701236</v>
      </c>
      <c r="K554" s="7"/>
      <c r="L554" s="6"/>
      <c r="M554" s="6"/>
      <c r="N554" s="23"/>
      <c r="O554" s="5"/>
      <c r="P554" s="6"/>
      <c r="Q554" s="6"/>
      <c r="R554" s="6"/>
      <c r="S554" s="6"/>
      <c r="T554" s="6"/>
      <c r="U554" s="6"/>
      <c r="V554" s="5"/>
      <c r="W554" s="6"/>
      <c r="X554" s="6">
        <f>E554*F554/100</f>
      </c>
      <c r="Y554" s="6">
        <f>E554*G554/100</f>
      </c>
      <c r="Z554" s="7">
        <f>E554*H554</f>
      </c>
      <c r="AA554" s="7">
        <f>E554*J554</f>
      </c>
      <c r="AB554" s="6">
        <f>E554*I554/100</f>
      </c>
      <c r="AC554" s="15">
        <f>X554+Y554+AB554</f>
      </c>
      <c r="AD554" s="6">
        <f>F554+G554+I554</f>
      </c>
      <c r="AE554" s="3"/>
      <c r="AF554" s="6">
        <f>SUM(AM554:BC554)</f>
      </c>
      <c r="AG554" s="5">
        <f>IF(SUM(AM554:AO554)&gt;0.7*AF554,1,0)</f>
      </c>
      <c r="AH554" s="5">
        <f>IF(AN554&gt;0.4*AF554,1,0)</f>
      </c>
      <c r="AI554" s="5">
        <f>IF(SUM(AP554:AQ554)&gt;0.3*AF554,1,0)</f>
      </c>
      <c r="AJ554" s="5">
        <f>IF(AQ554&gt;0.2*AF554,1,0)</f>
      </c>
      <c r="AK554" s="5">
        <f>IF(SUM(AR554:BC554)&gt;0.3*AF554,1,0)</f>
      </c>
      <c r="AL554" s="3"/>
      <c r="AM554" s="6">
        <f>(F554/100)*AM$41</f>
      </c>
      <c r="AN554" s="6">
        <f>(G554/100)*AN$41</f>
      </c>
      <c r="AO554" s="6">
        <f>(H554/1000000)*AO$41</f>
      </c>
      <c r="AP554" s="6">
        <f>(I554/100)*AP$41</f>
      </c>
      <c r="AQ554" s="6">
        <f>(J554/1000000)*AQ$41</f>
      </c>
      <c r="AR554" s="6">
        <f>(K554/100)*AR$41</f>
      </c>
      <c r="AS554" s="6">
        <f>(L554/100)*AS$41</f>
      </c>
      <c r="AT554" s="6">
        <f>(M554/100)*AT$41</f>
      </c>
      <c r="AU554" s="6">
        <f>(N554/100)*AU$41</f>
      </c>
      <c r="AV554" s="6">
        <f>(O554/1000000)*AV$41</f>
      </c>
      <c r="AW554" s="6">
        <f>(P554/100)*AW$41</f>
      </c>
      <c r="AX554" s="6">
        <f>(Q554/100)*AX$41</f>
      </c>
      <c r="AY554" s="6">
        <f>(R554/100)*AY$41</f>
      </c>
      <c r="AZ554" s="6">
        <f>(S554/100)*AZ$41</f>
      </c>
      <c r="BA554" s="6">
        <f>(T554/100)*BA$41</f>
      </c>
      <c r="BB554" s="6">
        <f>(U554/100)*BB$41</f>
      </c>
      <c r="BC554" s="6"/>
      <c r="BD554" s="3"/>
      <c r="BE554" s="3"/>
      <c r="BF554" s="7">
        <f>AF554*E554</f>
      </c>
      <c r="BG554" s="6"/>
      <c r="BH554" s="3"/>
      <c r="BI554" s="6"/>
    </row>
    <row x14ac:dyDescent="0.25" r="555" customHeight="1" ht="12.75">
      <c r="A555" s="5" t="s">
        <v>486</v>
      </c>
      <c r="B555" s="3" t="s">
        <v>855</v>
      </c>
      <c r="C555" s="43" t="s">
        <v>869</v>
      </c>
      <c r="D555" s="34"/>
      <c r="E555" s="23">
        <v>4.359615384615385</v>
      </c>
      <c r="F555" s="6">
        <v>2.69</v>
      </c>
      <c r="G555" s="6">
        <v>5.2</v>
      </c>
      <c r="H555" s="6">
        <v>54.16</v>
      </c>
      <c r="I555" s="6"/>
      <c r="J555" s="6"/>
      <c r="K555" s="7"/>
      <c r="L555" s="6"/>
      <c r="M555" s="6"/>
      <c r="N555" s="23"/>
      <c r="O555" s="5"/>
      <c r="P555" s="6"/>
      <c r="Q555" s="6"/>
      <c r="R555" s="6"/>
      <c r="S555" s="6"/>
      <c r="T555" s="6"/>
      <c r="U555" s="6"/>
      <c r="V555" s="5"/>
      <c r="W555" s="6"/>
      <c r="X555" s="6">
        <f>E555*F555/100</f>
      </c>
      <c r="Y555" s="6">
        <f>E555*G555/100</f>
      </c>
      <c r="Z555" s="7">
        <f>E555*H555</f>
      </c>
      <c r="AA555" s="7">
        <f>E555*J555</f>
      </c>
      <c r="AB555" s="6">
        <f>E555*I555/100</f>
      </c>
      <c r="AC555" s="15">
        <f>X555+Y555+AB555</f>
      </c>
      <c r="AD555" s="6">
        <f>F555+G555+I555</f>
      </c>
      <c r="AE555" s="3"/>
      <c r="AF555" s="6">
        <f>SUM(AM555:BC555)</f>
      </c>
      <c r="AG555" s="5">
        <f>IF(SUM(AM555:AO555)&gt;0.7*AF555,1,0)</f>
      </c>
      <c r="AH555" s="5">
        <f>IF(AN555&gt;0.4*AF555,1,0)</f>
      </c>
      <c r="AI555" s="5">
        <f>IF(SUM(AP555:AQ555)&gt;0.3*AF555,1,0)</f>
      </c>
      <c r="AJ555" s="5">
        <f>IF(AQ555&gt;0.2*AF555,1,0)</f>
      </c>
      <c r="AK555" s="5">
        <f>IF(SUM(AR555:BC555)&gt;0.3*AF555,1,0)</f>
      </c>
      <c r="AL555" s="3"/>
      <c r="AM555" s="6">
        <f>(F555/100)*AM$41</f>
      </c>
      <c r="AN555" s="6">
        <f>(G555/100)*AN$41</f>
      </c>
      <c r="AO555" s="6">
        <f>(H555/1000000)*AO$41</f>
      </c>
      <c r="AP555" s="6">
        <f>(I555/100)*AP$41</f>
      </c>
      <c r="AQ555" s="6">
        <f>(J555/1000000)*AQ$41</f>
      </c>
      <c r="AR555" s="6">
        <f>(K555/100)*AR$41</f>
      </c>
      <c r="AS555" s="6">
        <f>(L555/100)*AS$41</f>
      </c>
      <c r="AT555" s="6">
        <f>(M555/100)*AT$41</f>
      </c>
      <c r="AU555" s="6">
        <f>(N555/100)*AU$41</f>
      </c>
      <c r="AV555" s="6">
        <f>(O555/1000000)*AV$41</f>
      </c>
      <c r="AW555" s="6">
        <f>(P555/100)*AW$41</f>
      </c>
      <c r="AX555" s="6">
        <f>(Q555/100)*AX$41</f>
      </c>
      <c r="AY555" s="6">
        <f>(R555/100)*AY$41</f>
      </c>
      <c r="AZ555" s="6">
        <f>(S555/100)*AZ$41</f>
      </c>
      <c r="BA555" s="6">
        <f>(T555/100)*BA$41</f>
      </c>
      <c r="BB555" s="6">
        <f>(U555/100)*BB$41</f>
      </c>
      <c r="BC555" s="6"/>
      <c r="BD555" s="3"/>
      <c r="BE555" s="3"/>
      <c r="BF555" s="7">
        <f>AF555*E555</f>
      </c>
      <c r="BG555" s="6"/>
      <c r="BH555" s="3"/>
      <c r="BI555" s="6"/>
    </row>
    <row x14ac:dyDescent="0.25" r="556" customHeight="1" ht="12.75">
      <c r="A556" s="5" t="s">
        <v>597</v>
      </c>
      <c r="B556" s="3" t="s">
        <v>855</v>
      </c>
      <c r="C556" s="43" t="s">
        <v>869</v>
      </c>
      <c r="D556" s="34"/>
      <c r="E556" s="23">
        <v>10.985329</v>
      </c>
      <c r="F556" s="6"/>
      <c r="G556" s="6">
        <v>1.7922796213021934</v>
      </c>
      <c r="H556" s="7">
        <v>18.32279621302193</v>
      </c>
      <c r="I556" s="6">
        <v>1.1460182284936573</v>
      </c>
      <c r="J556" s="6">
        <v>0.8968693035957321</v>
      </c>
      <c r="K556" s="7"/>
      <c r="L556" s="6"/>
      <c r="M556" s="6"/>
      <c r="N556" s="23"/>
      <c r="O556" s="5"/>
      <c r="P556" s="6"/>
      <c r="Q556" s="6"/>
      <c r="R556" s="6"/>
      <c r="S556" s="6"/>
      <c r="T556" s="6"/>
      <c r="U556" s="6"/>
      <c r="V556" s="5"/>
      <c r="W556" s="6"/>
      <c r="X556" s="6">
        <f>E556*F556/100</f>
      </c>
      <c r="Y556" s="6">
        <f>E556*G556/100</f>
      </c>
      <c r="Z556" s="7">
        <f>E556*H556</f>
      </c>
      <c r="AA556" s="7">
        <f>E556*J556</f>
      </c>
      <c r="AB556" s="6">
        <f>E556*I556/100</f>
      </c>
      <c r="AC556" s="15">
        <f>X556+Y556+AB556</f>
      </c>
      <c r="AD556" s="6">
        <f>F556+G556+I556</f>
      </c>
      <c r="AE556" s="3"/>
      <c r="AF556" s="6">
        <f>SUM(AM556:BC556)</f>
      </c>
      <c r="AG556" s="5">
        <f>IF(SUM(AM556:AO556)&gt;0.7*AF556,1,0)</f>
      </c>
      <c r="AH556" s="5">
        <f>IF(AN556&gt;0.4*AF556,1,0)</f>
      </c>
      <c r="AI556" s="5">
        <f>IF(SUM(AP556:AQ556)&gt;0.3*AF556,1,0)</f>
      </c>
      <c r="AJ556" s="5">
        <f>IF(AQ556&gt;0.2*AF556,1,0)</f>
      </c>
      <c r="AK556" s="5">
        <f>IF(SUM(AR556:BC556)&gt;0.3*AF556,1,0)</f>
      </c>
      <c r="AL556" s="3"/>
      <c r="AM556" s="6">
        <f>(F556/100)*AM$41</f>
      </c>
      <c r="AN556" s="6">
        <f>(G556/100)*AN$41</f>
      </c>
      <c r="AO556" s="6">
        <f>(H556/1000000)*AO$41</f>
      </c>
      <c r="AP556" s="6">
        <f>(I556/100)*AP$41</f>
      </c>
      <c r="AQ556" s="6">
        <f>(J556/1000000)*AQ$41</f>
      </c>
      <c r="AR556" s="6">
        <f>(K556/100)*AR$41</f>
      </c>
      <c r="AS556" s="6">
        <f>(L556/100)*AS$41</f>
      </c>
      <c r="AT556" s="6">
        <f>(M556/100)*AT$41</f>
      </c>
      <c r="AU556" s="6">
        <f>(N556/100)*AU$41</f>
      </c>
      <c r="AV556" s="6">
        <f>(O556/1000000)*AV$41</f>
      </c>
      <c r="AW556" s="6">
        <f>(P556/100)*AW$41</f>
      </c>
      <c r="AX556" s="6">
        <f>(Q556/100)*AX$41</f>
      </c>
      <c r="AY556" s="6">
        <f>(R556/100)*AY$41</f>
      </c>
      <c r="AZ556" s="6">
        <f>(S556/100)*AZ$41</f>
      </c>
      <c r="BA556" s="6">
        <f>(T556/100)*BA$41</f>
      </c>
      <c r="BB556" s="6">
        <f>(U556/100)*BB$41</f>
      </c>
      <c r="BC556" s="6"/>
      <c r="BD556" s="3"/>
      <c r="BE556" s="3"/>
      <c r="BF556" s="7">
        <f>AF556*E556</f>
      </c>
      <c r="BG556" s="6"/>
      <c r="BH556" s="3"/>
      <c r="BI556" s="6"/>
    </row>
    <row x14ac:dyDescent="0.25" r="557" customHeight="1" ht="12.75">
      <c r="A557" s="5" t="s">
        <v>102</v>
      </c>
      <c r="B557" s="3" t="s">
        <v>855</v>
      </c>
      <c r="C557" s="43" t="s">
        <v>869</v>
      </c>
      <c r="D557" s="34"/>
      <c r="E557" s="6">
        <v>1.8339999999999999</v>
      </c>
      <c r="F557" s="7">
        <v>7.261395856052345</v>
      </c>
      <c r="G557" s="7">
        <v>10.101090512540896</v>
      </c>
      <c r="H557" s="31">
        <v>192.28353326063248</v>
      </c>
      <c r="I557" s="6"/>
      <c r="J557" s="6"/>
      <c r="K557" s="7"/>
      <c r="L557" s="6"/>
      <c r="M557" s="6"/>
      <c r="N557" s="23"/>
      <c r="O557" s="5"/>
      <c r="P557" s="6"/>
      <c r="Q557" s="6"/>
      <c r="R557" s="6"/>
      <c r="S557" s="6"/>
      <c r="T557" s="6"/>
      <c r="U557" s="6"/>
      <c r="V557" s="5"/>
      <c r="W557" s="6"/>
      <c r="X557" s="6">
        <f>E557*F557/100</f>
      </c>
      <c r="Y557" s="6">
        <f>E557*G557/100</f>
      </c>
      <c r="Z557" s="7">
        <f>E557*H557</f>
      </c>
      <c r="AA557" s="7">
        <f>E557*J557</f>
      </c>
      <c r="AB557" s="6">
        <f>E557*I557/100</f>
      </c>
      <c r="AC557" s="15">
        <f>X557+Y557+AB557</f>
      </c>
      <c r="AD557" s="6">
        <f>F557+G557+I557</f>
      </c>
      <c r="AE557" s="3"/>
      <c r="AF557" s="6">
        <f>SUM(AM557:BC557)</f>
      </c>
      <c r="AG557" s="5">
        <f>IF(SUM(AM557:AO557)&gt;0.7*AF557,1,0)</f>
      </c>
      <c r="AH557" s="5">
        <f>IF(AN557&gt;0.4*AF557,1,0)</f>
      </c>
      <c r="AI557" s="5">
        <f>IF(SUM(AP557:AQ557)&gt;0.3*AF557,1,0)</f>
      </c>
      <c r="AJ557" s="5">
        <f>IF(AQ557&gt;0.2*AF557,1,0)</f>
      </c>
      <c r="AK557" s="5">
        <f>IF(SUM(AR557:BC557)&gt;0.3*AF557,1,0)</f>
      </c>
      <c r="AL557" s="3"/>
      <c r="AM557" s="6">
        <f>(F557/100)*AM$41</f>
      </c>
      <c r="AN557" s="6">
        <f>(G557/100)*AN$41</f>
      </c>
      <c r="AO557" s="6">
        <f>(H557/1000000)*AO$41</f>
      </c>
      <c r="AP557" s="6">
        <f>(I557/100)*AP$41</f>
      </c>
      <c r="AQ557" s="6">
        <f>(J557/1000000)*AQ$41</f>
      </c>
      <c r="AR557" s="6">
        <f>(K557/100)*AR$41</f>
      </c>
      <c r="AS557" s="6">
        <f>(L557/100)*AS$41</f>
      </c>
      <c r="AT557" s="6">
        <f>(M557/100)*AT$41</f>
      </c>
      <c r="AU557" s="6">
        <f>(N557/100)*AU$41</f>
      </c>
      <c r="AV557" s="6">
        <f>(O557/1000000)*AV$41</f>
      </c>
      <c r="AW557" s="6">
        <f>(P557/100)*AW$41</f>
      </c>
      <c r="AX557" s="6">
        <f>(Q557/100)*AX$41</f>
      </c>
      <c r="AY557" s="6">
        <f>(R557/100)*AY$41</f>
      </c>
      <c r="AZ557" s="6">
        <f>(S557/100)*AZ$41</f>
      </c>
      <c r="BA557" s="6">
        <f>(T557/100)*BA$41</f>
      </c>
      <c r="BB557" s="6">
        <f>(U557/100)*BB$41</f>
      </c>
      <c r="BC557" s="6"/>
      <c r="BD557" s="3"/>
      <c r="BE557" s="3"/>
      <c r="BF557" s="7">
        <f>AF557*E557</f>
      </c>
      <c r="BG557" s="6"/>
      <c r="BH557" s="3"/>
      <c r="BI557" s="6"/>
    </row>
    <row x14ac:dyDescent="0.25" r="558" customHeight="1" ht="12.75">
      <c r="A558" s="5" t="s">
        <v>177</v>
      </c>
      <c r="B558" s="3" t="s">
        <v>855</v>
      </c>
      <c r="C558" s="43" t="s">
        <v>869</v>
      </c>
      <c r="D558" s="34"/>
      <c r="E558" s="6">
        <v>5.718999999999999</v>
      </c>
      <c r="F558" s="6">
        <v>1.642107011715335</v>
      </c>
      <c r="G558" s="6">
        <v>3.010610246546599</v>
      </c>
      <c r="H558" s="7">
        <v>217.70066794894214</v>
      </c>
      <c r="I558" s="6">
        <v>0.4712659555866411</v>
      </c>
      <c r="J558" s="6">
        <v>4.953310019234133</v>
      </c>
      <c r="K558" s="7"/>
      <c r="L558" s="6"/>
      <c r="M558" s="6"/>
      <c r="N558" s="23"/>
      <c r="O558" s="5"/>
      <c r="P558" s="6"/>
      <c r="Q558" s="6"/>
      <c r="R558" s="6"/>
      <c r="S558" s="6"/>
      <c r="T558" s="6"/>
      <c r="U558" s="6"/>
      <c r="V558" s="5"/>
      <c r="W558" s="6"/>
      <c r="X558" s="6">
        <f>E558*F558/100</f>
      </c>
      <c r="Y558" s="6">
        <f>E558*G558/100</f>
      </c>
      <c r="Z558" s="7">
        <f>E558*H558</f>
      </c>
      <c r="AA558" s="7">
        <f>E558*J558</f>
      </c>
      <c r="AB558" s="6">
        <f>E558*I558/100</f>
      </c>
      <c r="AC558" s="15">
        <f>X558+Y558+AB558</f>
      </c>
      <c r="AD558" s="6">
        <f>F558+G558+I558</f>
      </c>
      <c r="AE558" s="3"/>
      <c r="AF558" s="6">
        <f>SUM(AM558:BC558)</f>
      </c>
      <c r="AG558" s="5">
        <f>IF(SUM(AM558:AO558)&gt;0.7*AF558,1,0)</f>
      </c>
      <c r="AH558" s="5">
        <f>IF(AN558&gt;0.4*AF558,1,0)</f>
      </c>
      <c r="AI558" s="5">
        <f>IF(SUM(AP558:AQ558)&gt;0.3*AF558,1,0)</f>
      </c>
      <c r="AJ558" s="5">
        <f>IF(AQ558&gt;0.2*AF558,1,0)</f>
      </c>
      <c r="AK558" s="5">
        <f>IF(SUM(AR558:BC558)&gt;0.3*AF558,1,0)</f>
      </c>
      <c r="AL558" s="3"/>
      <c r="AM558" s="6">
        <f>(F558/100)*AM$41</f>
      </c>
      <c r="AN558" s="6">
        <f>(G558/100)*AN$41</f>
      </c>
      <c r="AO558" s="6">
        <f>(H558/1000000)*AO$41</f>
      </c>
      <c r="AP558" s="6">
        <f>(I558/100)*AP$41</f>
      </c>
      <c r="AQ558" s="6">
        <f>(J558/1000000)*AQ$41</f>
      </c>
      <c r="AR558" s="6">
        <f>(K558/100)*AR$41</f>
      </c>
      <c r="AS558" s="6">
        <f>(L558/100)*AS$41</f>
      </c>
      <c r="AT558" s="6">
        <f>(M558/100)*AT$41</f>
      </c>
      <c r="AU558" s="6">
        <f>(N558/100)*AU$41</f>
      </c>
      <c r="AV558" s="6">
        <f>(O558/1000000)*AV$41</f>
      </c>
      <c r="AW558" s="6">
        <f>(P558/100)*AW$41</f>
      </c>
      <c r="AX558" s="6">
        <f>(Q558/100)*AX$41</f>
      </c>
      <c r="AY558" s="6">
        <f>(R558/100)*AY$41</f>
      </c>
      <c r="AZ558" s="6">
        <f>(S558/100)*AZ$41</f>
      </c>
      <c r="BA558" s="6">
        <f>(T558/100)*BA$41</f>
      </c>
      <c r="BB558" s="6">
        <f>(U558/100)*BB$41</f>
      </c>
      <c r="BC558" s="6"/>
      <c r="BD558" s="3"/>
      <c r="BE558" s="3"/>
      <c r="BF558" s="7">
        <f>AF558*E558</f>
      </c>
      <c r="BG558" s="6"/>
      <c r="BH558" s="3"/>
      <c r="BI558" s="6"/>
    </row>
    <row x14ac:dyDescent="0.25" r="559" customHeight="1" ht="12.75">
      <c r="A559" s="5" t="s">
        <v>550</v>
      </c>
      <c r="B559" s="3" t="s">
        <v>855</v>
      </c>
      <c r="C559" s="43" t="s">
        <v>869</v>
      </c>
      <c r="D559" s="34"/>
      <c r="E559" s="6">
        <v>32.2</v>
      </c>
      <c r="F559" s="6"/>
      <c r="G559" s="6">
        <v>0.74</v>
      </c>
      <c r="H559" s="7"/>
      <c r="I559" s="6"/>
      <c r="J559" s="6"/>
      <c r="K559" s="7"/>
      <c r="L559" s="6"/>
      <c r="M559" s="6"/>
      <c r="N559" s="6">
        <v>0.35</v>
      </c>
      <c r="O559" s="5">
        <v>71</v>
      </c>
      <c r="P559" s="6"/>
      <c r="Q559" s="6"/>
      <c r="R559" s="6"/>
      <c r="S559" s="6"/>
      <c r="T559" s="6"/>
      <c r="U559" s="6"/>
      <c r="V559" s="5"/>
      <c r="W559" s="6"/>
      <c r="X559" s="6">
        <f>E559*F559/100</f>
      </c>
      <c r="Y559" s="6">
        <f>E559*G559/100</f>
      </c>
      <c r="Z559" s="7">
        <f>E559*H559</f>
      </c>
      <c r="AA559" s="7">
        <f>E559*J559</f>
      </c>
      <c r="AB559" s="6">
        <f>E559*I559/100</f>
      </c>
      <c r="AC559" s="15">
        <f>X559+Y559+AB559</f>
      </c>
      <c r="AD559" s="6">
        <f>F559+G559+I559</f>
      </c>
      <c r="AE559" s="3"/>
      <c r="AF559" s="6">
        <f>SUM(AM559:BC559)</f>
      </c>
      <c r="AG559" s="5">
        <f>IF(SUM(AM559:AO559)&gt;0.7*AF559,1,0)</f>
      </c>
      <c r="AH559" s="5">
        <f>IF(AN559&gt;0.4*AF559,1,0)</f>
      </c>
      <c r="AI559" s="5">
        <f>IF(SUM(AP559:AQ559)&gt;0.3*AF559,1,0)</f>
      </c>
      <c r="AJ559" s="5">
        <f>IF(AQ559&gt;0.2*AF559,1,0)</f>
      </c>
      <c r="AK559" s="5">
        <f>IF(SUM(AR559:BC559)&gt;0.3*AF559,1,0)</f>
      </c>
      <c r="AL559" s="3"/>
      <c r="AM559" s="6">
        <f>(F559/100)*AM$41</f>
      </c>
      <c r="AN559" s="6">
        <f>(G559/100)*AN$41</f>
      </c>
      <c r="AO559" s="6">
        <f>(H559/1000000)*AO$41</f>
      </c>
      <c r="AP559" s="6">
        <f>(I559/100)*AP$41</f>
      </c>
      <c r="AQ559" s="6">
        <f>(J559/1000000)*AQ$41</f>
      </c>
      <c r="AR559" s="6">
        <f>(K559/100)*AR$41</f>
      </c>
      <c r="AS559" s="6">
        <f>(L559/100)*AS$41</f>
      </c>
      <c r="AT559" s="6">
        <f>(M559/100)*AT$41</f>
      </c>
      <c r="AU559" s="6">
        <f>(N559/100)*AU$41</f>
      </c>
      <c r="AV559" s="6">
        <f>(O559/1000000)*AV$41</f>
      </c>
      <c r="AW559" s="6">
        <f>(P559/100)*AW$41</f>
      </c>
      <c r="AX559" s="6">
        <f>(Q559/100)*AX$41</f>
      </c>
      <c r="AY559" s="6">
        <f>(R559/100)*AY$41</f>
      </c>
      <c r="AZ559" s="6">
        <f>(S559/100)*AZ$41</f>
      </c>
      <c r="BA559" s="6">
        <f>(T559/100)*BA$41</f>
      </c>
      <c r="BB559" s="6">
        <f>(U559/100)*BB$41</f>
      </c>
      <c r="BC559" s="6"/>
      <c r="BD559" s="3"/>
      <c r="BE559" s="3"/>
      <c r="BF559" s="7">
        <f>AF559*E559</f>
      </c>
      <c r="BG559" s="6"/>
      <c r="BH559" s="3"/>
      <c r="BI559" s="6"/>
    </row>
    <row x14ac:dyDescent="0.25" r="560" customHeight="1" ht="12.75">
      <c r="A560" s="5" t="s">
        <v>669</v>
      </c>
      <c r="B560" s="3" t="s">
        <v>855</v>
      </c>
      <c r="C560" s="43" t="s">
        <v>869</v>
      </c>
      <c r="D560" s="34"/>
      <c r="E560" s="23">
        <v>3.832</v>
      </c>
      <c r="F560" s="6">
        <v>0.19697286012526097</v>
      </c>
      <c r="G560" s="6">
        <v>4.800156576200418</v>
      </c>
      <c r="H560" s="31">
        <v>19.008350730688935</v>
      </c>
      <c r="I560" s="6">
        <v>0.7568893528183716</v>
      </c>
      <c r="J560" s="6">
        <v>0.0644572025052192</v>
      </c>
      <c r="K560" s="7"/>
      <c r="L560" s="6"/>
      <c r="M560" s="6"/>
      <c r="N560" s="23"/>
      <c r="O560" s="5"/>
      <c r="P560" s="6"/>
      <c r="Q560" s="6"/>
      <c r="R560" s="6"/>
      <c r="S560" s="6"/>
      <c r="T560" s="6"/>
      <c r="U560" s="6"/>
      <c r="V560" s="5"/>
      <c r="W560" s="6"/>
      <c r="X560" s="6">
        <f>E560*F560/100</f>
      </c>
      <c r="Y560" s="6">
        <f>E560*G560/100</f>
      </c>
      <c r="Z560" s="7">
        <f>E560*H560</f>
      </c>
      <c r="AA560" s="7">
        <f>E560*J560</f>
      </c>
      <c r="AB560" s="6">
        <f>E560*I560/100</f>
      </c>
      <c r="AC560" s="15">
        <f>X560+Y560+AB560</f>
      </c>
      <c r="AD560" s="6">
        <f>F560+G560+I560</f>
      </c>
      <c r="AE560" s="3"/>
      <c r="AF560" s="6">
        <f>SUM(AM560:BC560)</f>
      </c>
      <c r="AG560" s="5">
        <f>IF(SUM(AM560:AO560)&gt;0.7*AF560,1,0)</f>
      </c>
      <c r="AH560" s="5">
        <f>IF(AN560&gt;0.4*AF560,1,0)</f>
      </c>
      <c r="AI560" s="5">
        <f>IF(SUM(AP560:AQ560)&gt;0.3*AF560,1,0)</f>
      </c>
      <c r="AJ560" s="5">
        <f>IF(AQ560&gt;0.2*AF560,1,0)</f>
      </c>
      <c r="AK560" s="5">
        <f>IF(SUM(AR560:BC560)&gt;0.3*AF560,1,0)</f>
      </c>
      <c r="AL560" s="3"/>
      <c r="AM560" s="6">
        <f>(F560/100)*AM$41</f>
      </c>
      <c r="AN560" s="6">
        <f>(G560/100)*AN$41</f>
      </c>
      <c r="AO560" s="6">
        <f>(H560/1000000)*AO$41</f>
      </c>
      <c r="AP560" s="6">
        <f>(I560/100)*AP$41</f>
      </c>
      <c r="AQ560" s="6">
        <f>(J560/1000000)*AQ$41</f>
      </c>
      <c r="AR560" s="6">
        <f>(K560/100)*AR$41</f>
      </c>
      <c r="AS560" s="6">
        <f>(L560/100)*AS$41</f>
      </c>
      <c r="AT560" s="6">
        <f>(M560/100)*AT$41</f>
      </c>
      <c r="AU560" s="6">
        <f>(N560/100)*AU$41</f>
      </c>
      <c r="AV560" s="6">
        <f>(O560/1000000)*AV$41</f>
      </c>
      <c r="AW560" s="6">
        <f>(P560/100)*AW$41</f>
      </c>
      <c r="AX560" s="6">
        <f>(Q560/100)*AX$41</f>
      </c>
      <c r="AY560" s="6">
        <f>(R560/100)*AY$41</f>
      </c>
      <c r="AZ560" s="6">
        <f>(S560/100)*AZ$41</f>
      </c>
      <c r="BA560" s="6">
        <f>(T560/100)*BA$41</f>
      </c>
      <c r="BB560" s="6">
        <f>(U560/100)*BB$41</f>
      </c>
      <c r="BC560" s="6"/>
      <c r="BD560" s="3"/>
      <c r="BE560" s="3"/>
      <c r="BF560" s="7">
        <f>AF560*E560</f>
      </c>
      <c r="BG560" s="6"/>
      <c r="BH560" s="3"/>
      <c r="BI560" s="6"/>
    </row>
    <row x14ac:dyDescent="0.25" r="561" customHeight="1" ht="12.75">
      <c r="A561" s="5" t="s">
        <v>639</v>
      </c>
      <c r="B561" s="3" t="s">
        <v>855</v>
      </c>
      <c r="C561" s="43" t="s">
        <v>869</v>
      </c>
      <c r="D561" s="34"/>
      <c r="E561" s="6">
        <v>3.11</v>
      </c>
      <c r="F561" s="6">
        <v>1.1618971061093248</v>
      </c>
      <c r="G561" s="6">
        <v>3.960900321543409</v>
      </c>
      <c r="H561" s="7">
        <v>71.70913183279742</v>
      </c>
      <c r="I561" s="6">
        <v>0.8431511254019294</v>
      </c>
      <c r="J561" s="6"/>
      <c r="K561" s="7"/>
      <c r="L561" s="6"/>
      <c r="M561" s="6"/>
      <c r="N561" s="23"/>
      <c r="O561" s="5"/>
      <c r="P561" s="6"/>
      <c r="Q561" s="6"/>
      <c r="R561" s="6"/>
      <c r="S561" s="6"/>
      <c r="T561" s="6"/>
      <c r="U561" s="6"/>
      <c r="V561" s="5"/>
      <c r="W561" s="6"/>
      <c r="X561" s="6">
        <f>E561*F561/100</f>
      </c>
      <c r="Y561" s="6">
        <f>E561*G561/100</f>
      </c>
      <c r="Z561" s="7">
        <f>E561*H561</f>
      </c>
      <c r="AA561" s="7">
        <f>E561*J561</f>
      </c>
      <c r="AB561" s="6">
        <f>E561*I561/100</f>
      </c>
      <c r="AC561" s="15">
        <f>X561+Y561+AB561</f>
      </c>
      <c r="AD561" s="6">
        <f>F561+G561+I561</f>
      </c>
      <c r="AE561" s="3"/>
      <c r="AF561" s="6">
        <f>SUM(AM561:BC561)</f>
      </c>
      <c r="AG561" s="5">
        <f>IF(SUM(AM561:AO561)&gt;0.7*AF561,1,0)</f>
      </c>
      <c r="AH561" s="5">
        <f>IF(AN561&gt;0.4*AF561,1,0)</f>
      </c>
      <c r="AI561" s="5">
        <f>IF(SUM(AP561:AQ561)&gt;0.3*AF561,1,0)</f>
      </c>
      <c r="AJ561" s="5">
        <f>IF(AQ561&gt;0.2*AF561,1,0)</f>
      </c>
      <c r="AK561" s="5">
        <f>IF(SUM(AR561:BC561)&gt;0.3*AF561,1,0)</f>
      </c>
      <c r="AL561" s="3"/>
      <c r="AM561" s="6">
        <f>(F561/100)*AM$41</f>
      </c>
      <c r="AN561" s="6">
        <f>(G561/100)*AN$41</f>
      </c>
      <c r="AO561" s="6">
        <f>(H561/1000000)*AO$41</f>
      </c>
      <c r="AP561" s="6">
        <f>(I561/100)*AP$41</f>
      </c>
      <c r="AQ561" s="6">
        <f>(J561/1000000)*AQ$41</f>
      </c>
      <c r="AR561" s="6">
        <f>(K561/100)*AR$41</f>
      </c>
      <c r="AS561" s="6">
        <f>(L561/100)*AS$41</f>
      </c>
      <c r="AT561" s="6">
        <f>(M561/100)*AT$41</f>
      </c>
      <c r="AU561" s="6">
        <f>(N561/100)*AU$41</f>
      </c>
      <c r="AV561" s="6">
        <f>(O561/1000000)*AV$41</f>
      </c>
      <c r="AW561" s="6">
        <f>(P561/100)*AW$41</f>
      </c>
      <c r="AX561" s="6">
        <f>(Q561/100)*AX$41</f>
      </c>
      <c r="AY561" s="6">
        <f>(R561/100)*AY$41</f>
      </c>
      <c r="AZ561" s="6">
        <f>(S561/100)*AZ$41</f>
      </c>
      <c r="BA561" s="6">
        <f>(T561/100)*BA$41</f>
      </c>
      <c r="BB561" s="6">
        <f>(U561/100)*BB$41</f>
      </c>
      <c r="BC561" s="6"/>
      <c r="BD561" s="3"/>
      <c r="BE561" s="3"/>
      <c r="BF561" s="7">
        <f>AF561*E561</f>
      </c>
      <c r="BG561" s="6"/>
      <c r="BH561" s="3"/>
      <c r="BI561" s="6"/>
    </row>
    <row x14ac:dyDescent="0.25" r="562" customHeight="1" ht="12.75">
      <c r="A562" s="5" t="s">
        <v>647</v>
      </c>
      <c r="B562" s="3" t="s">
        <v>855</v>
      </c>
      <c r="C562" s="43" t="s">
        <v>869</v>
      </c>
      <c r="D562" s="34"/>
      <c r="E562" s="5">
        <v>20</v>
      </c>
      <c r="F562" s="6"/>
      <c r="G562" s="6">
        <v>0.35</v>
      </c>
      <c r="H562" s="7"/>
      <c r="I562" s="6">
        <v>0.35</v>
      </c>
      <c r="J562" s="6"/>
      <c r="K562" s="7"/>
      <c r="L562" s="6"/>
      <c r="M562" s="6"/>
      <c r="N562" s="23"/>
      <c r="O562" s="5"/>
      <c r="P562" s="6"/>
      <c r="Q562" s="5">
        <v>41</v>
      </c>
      <c r="R562" s="6"/>
      <c r="S562" s="6"/>
      <c r="T562" s="6"/>
      <c r="U562" s="6"/>
      <c r="V562" s="5"/>
      <c r="W562" s="6"/>
      <c r="X562" s="6">
        <f>E562*F562/100</f>
      </c>
      <c r="Y562" s="6">
        <f>E562*G562/100</f>
      </c>
      <c r="Z562" s="7">
        <f>E562*H562</f>
      </c>
      <c r="AA562" s="7">
        <f>E562*J562</f>
      </c>
      <c r="AB562" s="6">
        <f>E562*I562/100</f>
      </c>
      <c r="AC562" s="15">
        <f>X562+Y562+AB562</f>
      </c>
      <c r="AD562" s="6">
        <f>F562+G562+I562</f>
      </c>
      <c r="AE562" s="3"/>
      <c r="AF562" s="6">
        <f>SUM(AM562:BC562)</f>
      </c>
      <c r="AG562" s="5">
        <f>IF(SUM(AM562:AO562)&gt;0.7*AF562,1,0)</f>
      </c>
      <c r="AH562" s="5">
        <f>IF(AN562&gt;0.4*AF562,1,0)</f>
      </c>
      <c r="AI562" s="5">
        <f>IF(SUM(AP562:AQ562)&gt;0.3*AF562,1,0)</f>
      </c>
      <c r="AJ562" s="5">
        <f>IF(AQ562&gt;0.2*AF562,1,0)</f>
      </c>
      <c r="AK562" s="5">
        <f>IF(SUM(AR562:BC562)&gt;0.3*AF562,1,0)</f>
      </c>
      <c r="AL562" s="3"/>
      <c r="AM562" s="6">
        <f>(F562/100)*AM$41</f>
      </c>
      <c r="AN562" s="6">
        <f>(G562/100)*AN$41</f>
      </c>
      <c r="AO562" s="6">
        <f>(H562/1000000)*AO$41</f>
      </c>
      <c r="AP562" s="6">
        <f>(I562/100)*AP$41</f>
      </c>
      <c r="AQ562" s="6">
        <f>(J562/1000000)*AQ$41</f>
      </c>
      <c r="AR562" s="6">
        <f>(K562/100)*AR$41</f>
      </c>
      <c r="AS562" s="6">
        <f>(L562/100)*AS$41</f>
      </c>
      <c r="AT562" s="6">
        <f>(M562/100)*AT$41</f>
      </c>
      <c r="AU562" s="6">
        <f>(N562/100)*AU$41</f>
      </c>
      <c r="AV562" s="6">
        <f>(O562/1000000)*AV$41</f>
      </c>
      <c r="AW562" s="6">
        <f>(P562/100)*AW$41</f>
      </c>
      <c r="AX562" s="6">
        <f>(Q562/100)*AX$41</f>
      </c>
      <c r="AY562" s="6">
        <f>(R562/100)*AY$41</f>
      </c>
      <c r="AZ562" s="6">
        <f>(S562/100)*AZ$41</f>
      </c>
      <c r="BA562" s="6">
        <f>(T562/100)*BA$41</f>
      </c>
      <c r="BB562" s="6">
        <f>(U562/100)*BB$41</f>
      </c>
      <c r="BC562" s="6"/>
      <c r="BD562" s="3"/>
      <c r="BE562" s="3"/>
      <c r="BF562" s="7">
        <f>AF562*E562</f>
      </c>
      <c r="BG562" s="6"/>
      <c r="BH562" s="3"/>
      <c r="BI562" s="6"/>
    </row>
    <row x14ac:dyDescent="0.25" r="563" customHeight="1" ht="12.75">
      <c r="A563" s="5" t="s">
        <v>616</v>
      </c>
      <c r="B563" s="3" t="s">
        <v>855</v>
      </c>
      <c r="C563" s="43" t="s">
        <v>869</v>
      </c>
      <c r="D563" s="34"/>
      <c r="E563" s="6">
        <v>1.93</v>
      </c>
      <c r="F563" s="6">
        <v>0.3</v>
      </c>
      <c r="G563" s="6">
        <v>5.4</v>
      </c>
      <c r="H563" s="5">
        <v>21</v>
      </c>
      <c r="I563" s="6">
        <v>0.6</v>
      </c>
      <c r="J563" s="6">
        <v>0.1</v>
      </c>
      <c r="K563" s="7"/>
      <c r="L563" s="6"/>
      <c r="M563" s="6"/>
      <c r="N563" s="23"/>
      <c r="O563" s="5"/>
      <c r="P563" s="6"/>
      <c r="Q563" s="6"/>
      <c r="R563" s="6"/>
      <c r="S563" s="6"/>
      <c r="T563" s="6"/>
      <c r="U563" s="6"/>
      <c r="V563" s="5"/>
      <c r="W563" s="6"/>
      <c r="X563" s="6">
        <f>E563*F563/100</f>
      </c>
      <c r="Y563" s="6">
        <f>E563*G563/100</f>
      </c>
      <c r="Z563" s="7">
        <f>E563*H563</f>
      </c>
      <c r="AA563" s="7">
        <f>E563*J563</f>
      </c>
      <c r="AB563" s="6">
        <f>E563*I563/100</f>
      </c>
      <c r="AC563" s="15">
        <f>X563+Y563+AB563</f>
      </c>
      <c r="AD563" s="6">
        <f>F563+G563+I563</f>
      </c>
      <c r="AE563" s="3"/>
      <c r="AF563" s="6">
        <f>SUM(AM563:BC563)</f>
      </c>
      <c r="AG563" s="5">
        <f>IF(SUM(AM563:AO563)&gt;0.7*AF563,1,0)</f>
      </c>
      <c r="AH563" s="5">
        <f>IF(AN563&gt;0.4*AF563,1,0)</f>
      </c>
      <c r="AI563" s="5">
        <f>IF(SUM(AP563:AQ563)&gt;0.3*AF563,1,0)</f>
      </c>
      <c r="AJ563" s="5">
        <f>IF(AQ563&gt;0.2*AF563,1,0)</f>
      </c>
      <c r="AK563" s="5">
        <f>IF(SUM(AR563:BC563)&gt;0.3*AF563,1,0)</f>
      </c>
      <c r="AL563" s="3"/>
      <c r="AM563" s="6">
        <f>(F563/100)*AM$41</f>
      </c>
      <c r="AN563" s="6">
        <f>(G563/100)*AN$41</f>
      </c>
      <c r="AO563" s="6">
        <f>(H563/1000000)*AO$41</f>
      </c>
      <c r="AP563" s="6">
        <f>(I563/100)*AP$41</f>
      </c>
      <c r="AQ563" s="6">
        <f>(J563/1000000)*AQ$41</f>
      </c>
      <c r="AR563" s="6">
        <f>(K563/100)*AR$41</f>
      </c>
      <c r="AS563" s="6">
        <f>(L563/100)*AS$41</f>
      </c>
      <c r="AT563" s="6">
        <f>(M563/100)*AT$41</f>
      </c>
      <c r="AU563" s="6">
        <f>(N563/100)*AU$41</f>
      </c>
      <c r="AV563" s="6">
        <f>(O563/1000000)*AV$41</f>
      </c>
      <c r="AW563" s="6">
        <f>(P563/100)*AW$41</f>
      </c>
      <c r="AX563" s="6">
        <f>(Q563/100)*AX$41</f>
      </c>
      <c r="AY563" s="6">
        <f>(R563/100)*AY$41</f>
      </c>
      <c r="AZ563" s="6">
        <f>(S563/100)*AZ$41</f>
      </c>
      <c r="BA563" s="6">
        <f>(T563/100)*BA$41</f>
      </c>
      <c r="BB563" s="6">
        <f>(U563/100)*BB$41</f>
      </c>
      <c r="BC563" s="6"/>
      <c r="BD563" s="3"/>
      <c r="BE563" s="3"/>
      <c r="BF563" s="7">
        <f>AF563*E563</f>
      </c>
      <c r="BG563" s="6"/>
      <c r="BH563" s="3"/>
      <c r="BI563" s="6"/>
    </row>
    <row x14ac:dyDescent="0.25" r="564" customHeight="1" ht="12.75">
      <c r="A564" s="5" t="s">
        <v>764</v>
      </c>
      <c r="B564" s="3" t="s">
        <v>855</v>
      </c>
      <c r="C564" s="43" t="s">
        <v>869</v>
      </c>
      <c r="D564" s="34"/>
      <c r="E564" s="6">
        <v>4.445</v>
      </c>
      <c r="F564" s="6">
        <v>0.8147199100112485</v>
      </c>
      <c r="G564" s="6">
        <v>1.6047064116985377</v>
      </c>
      <c r="H564" s="7">
        <v>92.21230596175478</v>
      </c>
      <c r="I564" s="6">
        <v>0.26320359955005623</v>
      </c>
      <c r="J564" s="6"/>
      <c r="K564" s="7"/>
      <c r="L564" s="6"/>
      <c r="M564" s="6"/>
      <c r="N564" s="23"/>
      <c r="O564" s="5"/>
      <c r="P564" s="6"/>
      <c r="Q564" s="6"/>
      <c r="R564" s="6"/>
      <c r="S564" s="6"/>
      <c r="T564" s="6"/>
      <c r="U564" s="6"/>
      <c r="V564" s="5"/>
      <c r="W564" s="6"/>
      <c r="X564" s="6">
        <f>E564*F564/100</f>
      </c>
      <c r="Y564" s="6">
        <f>E564*G564/100</f>
      </c>
      <c r="Z564" s="7">
        <f>E564*H564</f>
      </c>
      <c r="AA564" s="7">
        <f>E564*J564</f>
      </c>
      <c r="AB564" s="6">
        <f>E564*I564/100</f>
      </c>
      <c r="AC564" s="15">
        <f>X564+Y564+AB564</f>
      </c>
      <c r="AD564" s="6">
        <f>F564+G564+I564</f>
      </c>
      <c r="AE564" s="3"/>
      <c r="AF564" s="6">
        <f>SUM(AM564:BC564)</f>
      </c>
      <c r="AG564" s="5">
        <f>IF(SUM(AM564:AO564)&gt;0.7*AF564,1,0)</f>
      </c>
      <c r="AH564" s="5">
        <f>IF(AN564&gt;0.4*AF564,1,0)</f>
      </c>
      <c r="AI564" s="5">
        <f>IF(SUM(AP564:AQ564)&gt;0.3*AF564,1,0)</f>
      </c>
      <c r="AJ564" s="5">
        <f>IF(AQ564&gt;0.2*AF564,1,0)</f>
      </c>
      <c r="AK564" s="5">
        <f>IF(SUM(AR564:BC564)&gt;0.3*AF564,1,0)</f>
      </c>
      <c r="AL564" s="3"/>
      <c r="AM564" s="6">
        <f>(F564/100)*AM$41</f>
      </c>
      <c r="AN564" s="6">
        <f>(G564/100)*AN$41</f>
      </c>
      <c r="AO564" s="6">
        <f>(H564/1000000)*AO$41</f>
      </c>
      <c r="AP564" s="6">
        <f>(I564/100)*AP$41</f>
      </c>
      <c r="AQ564" s="6">
        <f>(J564/1000000)*AQ$41</f>
      </c>
      <c r="AR564" s="6">
        <f>(K564/100)*AR$41</f>
      </c>
      <c r="AS564" s="6">
        <f>(L564/100)*AS$41</f>
      </c>
      <c r="AT564" s="6">
        <f>(M564/100)*AT$41</f>
      </c>
      <c r="AU564" s="6">
        <f>(N564/100)*AU$41</f>
      </c>
      <c r="AV564" s="6">
        <f>(O564/1000000)*AV$41</f>
      </c>
      <c r="AW564" s="6">
        <f>(P564/100)*AW$41</f>
      </c>
      <c r="AX564" s="6">
        <f>(Q564/100)*AX$41</f>
      </c>
      <c r="AY564" s="6">
        <f>(R564/100)*AY$41</f>
      </c>
      <c r="AZ564" s="6">
        <f>(S564/100)*AZ$41</f>
      </c>
      <c r="BA564" s="6">
        <f>(T564/100)*BA$41</f>
      </c>
      <c r="BB564" s="6">
        <f>(U564/100)*BB$41</f>
      </c>
      <c r="BC564" s="6"/>
      <c r="BD564" s="3"/>
      <c r="BE564" s="3"/>
      <c r="BF564" s="7">
        <f>AF564*E564</f>
      </c>
      <c r="BG564" s="6"/>
      <c r="BH564" s="3"/>
      <c r="BI564" s="6"/>
    </row>
    <row x14ac:dyDescent="0.25" r="565" customHeight="1" ht="12.75">
      <c r="A565" s="5" t="s">
        <v>245</v>
      </c>
      <c r="B565" s="3" t="s">
        <v>855</v>
      </c>
      <c r="C565" s="43" t="s">
        <v>869</v>
      </c>
      <c r="D565" s="34"/>
      <c r="E565" s="23">
        <v>0.923475</v>
      </c>
      <c r="F565" s="6">
        <v>7.38</v>
      </c>
      <c r="G565" s="6">
        <v>2.85</v>
      </c>
      <c r="H565" s="7"/>
      <c r="I565" s="6">
        <v>1.36</v>
      </c>
      <c r="J565" s="6"/>
      <c r="K565" s="7"/>
      <c r="L565" s="6"/>
      <c r="M565" s="6"/>
      <c r="N565" s="23"/>
      <c r="O565" s="5"/>
      <c r="P565" s="6"/>
      <c r="Q565" s="6"/>
      <c r="R565" s="6"/>
      <c r="S565" s="6"/>
      <c r="T565" s="6"/>
      <c r="U565" s="6"/>
      <c r="V565" s="5"/>
      <c r="W565" s="6"/>
      <c r="X565" s="6">
        <f>E565*F565/100</f>
      </c>
      <c r="Y565" s="6">
        <f>E565*G565/100</f>
      </c>
      <c r="Z565" s="7">
        <f>E565*H565</f>
      </c>
      <c r="AA565" s="7">
        <f>E565*J565</f>
      </c>
      <c r="AB565" s="6">
        <f>E565*I565/100</f>
      </c>
      <c r="AC565" s="15">
        <f>X565+Y565+AB565</f>
      </c>
      <c r="AD565" s="6">
        <f>F565+G565+I565</f>
      </c>
      <c r="AE565" s="3"/>
      <c r="AF565" s="6">
        <f>SUM(AM565:BC565)</f>
      </c>
      <c r="AG565" s="5">
        <f>IF(SUM(AM565:AO565)&gt;0.7*AF565,1,0)</f>
      </c>
      <c r="AH565" s="5">
        <f>IF(AN565&gt;0.4*AF565,1,0)</f>
      </c>
      <c r="AI565" s="5">
        <f>IF(SUM(AP565:AQ565)&gt;0.3*AF565,1,0)</f>
      </c>
      <c r="AJ565" s="5">
        <f>IF(AQ565&gt;0.2*AF565,1,0)</f>
      </c>
      <c r="AK565" s="5">
        <f>IF(SUM(AR565:BC565)&gt;0.3*AF565,1,0)</f>
      </c>
      <c r="AL565" s="3"/>
      <c r="AM565" s="6">
        <f>(F565/100)*AM$41</f>
      </c>
      <c r="AN565" s="6">
        <f>(G565/100)*AN$41</f>
      </c>
      <c r="AO565" s="6">
        <f>(H565/1000000)*AO$41</f>
      </c>
      <c r="AP565" s="6">
        <f>(I565/100)*AP$41</f>
      </c>
      <c r="AQ565" s="6">
        <f>(J565/1000000)*AQ$41</f>
      </c>
      <c r="AR565" s="6">
        <f>(K565/100)*AR$41</f>
      </c>
      <c r="AS565" s="6">
        <f>(L565/100)*AS$41</f>
      </c>
      <c r="AT565" s="6">
        <f>(M565/100)*AT$41</f>
      </c>
      <c r="AU565" s="6">
        <f>(N565/100)*AU$41</f>
      </c>
      <c r="AV565" s="6">
        <f>(O565/1000000)*AV$41</f>
      </c>
      <c r="AW565" s="6">
        <f>(P565/100)*AW$41</f>
      </c>
      <c r="AX565" s="6">
        <f>(Q565/100)*AX$41</f>
      </c>
      <c r="AY565" s="6">
        <f>(R565/100)*AY$41</f>
      </c>
      <c r="AZ565" s="6">
        <f>(S565/100)*AZ$41</f>
      </c>
      <c r="BA565" s="6">
        <f>(T565/100)*BA$41</f>
      </c>
      <c r="BB565" s="6">
        <f>(U565/100)*BB$41</f>
      </c>
      <c r="BC565" s="6"/>
      <c r="BD565" s="3"/>
      <c r="BE565" s="3"/>
      <c r="BF565" s="7">
        <f>AF565*E565</f>
      </c>
      <c r="BG565" s="6"/>
      <c r="BH565" s="3"/>
      <c r="BI565" s="6"/>
    </row>
    <row x14ac:dyDescent="0.25" r="566" customHeight="1" ht="12.75">
      <c r="A566" s="5" t="s">
        <v>282</v>
      </c>
      <c r="B566" s="3" t="s">
        <v>855</v>
      </c>
      <c r="C566" s="43" t="s">
        <v>869</v>
      </c>
      <c r="D566" s="34"/>
      <c r="E566" s="6">
        <v>3.836</v>
      </c>
      <c r="F566" s="6">
        <v>1.0390119916579772</v>
      </c>
      <c r="G566" s="6">
        <v>1.4001824817518247</v>
      </c>
      <c r="H566" s="7">
        <v>526.0236488008342</v>
      </c>
      <c r="I566" s="6"/>
      <c r="J566" s="6"/>
      <c r="K566" s="7"/>
      <c r="L566" s="6"/>
      <c r="M566" s="6"/>
      <c r="N566" s="23"/>
      <c r="O566" s="5"/>
      <c r="P566" s="6"/>
      <c r="Q566" s="6"/>
      <c r="R566" s="6"/>
      <c r="S566" s="6"/>
      <c r="T566" s="6"/>
      <c r="U566" s="6"/>
      <c r="V566" s="5"/>
      <c r="W566" s="6"/>
      <c r="X566" s="6">
        <f>E566*F566/100</f>
      </c>
      <c r="Y566" s="6">
        <f>E566*G566/100</f>
      </c>
      <c r="Z566" s="7">
        <f>E566*H566</f>
      </c>
      <c r="AA566" s="7">
        <f>E566*J566</f>
      </c>
      <c r="AB566" s="6">
        <f>E566*I566/100</f>
      </c>
      <c r="AC566" s="15">
        <f>X566+Y566+AB566</f>
      </c>
      <c r="AD566" s="6">
        <f>F566+G566+I566</f>
      </c>
      <c r="AE566" s="3"/>
      <c r="AF566" s="6">
        <f>SUM(AM566:BC566)</f>
      </c>
      <c r="AG566" s="5">
        <f>IF(SUM(AM566:AO566)&gt;0.7*AF566,1,0)</f>
      </c>
      <c r="AH566" s="5">
        <f>IF(AN566&gt;0.4*AF566,1,0)</f>
      </c>
      <c r="AI566" s="5">
        <f>IF(SUM(AP566:AQ566)&gt;0.3*AF566,1,0)</f>
      </c>
      <c r="AJ566" s="5">
        <f>IF(AQ566&gt;0.2*AF566,1,0)</f>
      </c>
      <c r="AK566" s="5">
        <f>IF(SUM(AR566:BC566)&gt;0.3*AF566,1,0)</f>
      </c>
      <c r="AL566" s="3"/>
      <c r="AM566" s="6">
        <f>(F566/100)*AM$41</f>
      </c>
      <c r="AN566" s="6">
        <f>(G566/100)*AN$41</f>
      </c>
      <c r="AO566" s="6">
        <f>(H566/1000000)*AO$41</f>
      </c>
      <c r="AP566" s="6">
        <f>(I566/100)*AP$41</f>
      </c>
      <c r="AQ566" s="6">
        <f>(J566/1000000)*AQ$41</f>
      </c>
      <c r="AR566" s="6">
        <f>(K566/100)*AR$41</f>
      </c>
      <c r="AS566" s="6">
        <f>(L566/100)*AS$41</f>
      </c>
      <c r="AT566" s="6">
        <f>(M566/100)*AT$41</f>
      </c>
      <c r="AU566" s="6">
        <f>(N566/100)*AU$41</f>
      </c>
      <c r="AV566" s="6">
        <f>(O566/1000000)*AV$41</f>
      </c>
      <c r="AW566" s="6">
        <f>(P566/100)*AW$41</f>
      </c>
      <c r="AX566" s="6">
        <f>(Q566/100)*AX$41</f>
      </c>
      <c r="AY566" s="6">
        <f>(R566/100)*AY$41</f>
      </c>
      <c r="AZ566" s="6">
        <f>(S566/100)*AZ$41</f>
      </c>
      <c r="BA566" s="6">
        <f>(T566/100)*BA$41</f>
      </c>
      <c r="BB566" s="6">
        <f>(U566/100)*BB$41</f>
      </c>
      <c r="BC566" s="6"/>
      <c r="BD566" s="3"/>
      <c r="BE566" s="3"/>
      <c r="BF566" s="7">
        <f>AF566*E566</f>
      </c>
      <c r="BG566" s="6"/>
      <c r="BH566" s="3"/>
      <c r="BI566" s="6"/>
    </row>
    <row x14ac:dyDescent="0.25" r="567" customHeight="1" ht="12.75">
      <c r="A567" s="5" t="s">
        <v>713</v>
      </c>
      <c r="B567" s="3" t="s">
        <v>855</v>
      </c>
      <c r="C567" s="43" t="s">
        <v>869</v>
      </c>
      <c r="D567" s="34"/>
      <c r="E567" s="6">
        <v>1.59</v>
      </c>
      <c r="F567" s="6">
        <v>0.1</v>
      </c>
      <c r="G567" s="6">
        <v>4.5</v>
      </c>
      <c r="H567" s="5">
        <v>11</v>
      </c>
      <c r="I567" s="6">
        <v>0.6</v>
      </c>
      <c r="J567" s="6"/>
      <c r="K567" s="7"/>
      <c r="L567" s="6"/>
      <c r="M567" s="6"/>
      <c r="N567" s="23"/>
      <c r="O567" s="5"/>
      <c r="P567" s="6"/>
      <c r="Q567" s="6"/>
      <c r="R567" s="6"/>
      <c r="S567" s="6"/>
      <c r="T567" s="6"/>
      <c r="U567" s="6"/>
      <c r="V567" s="5"/>
      <c r="W567" s="6"/>
      <c r="X567" s="6">
        <f>E567*F567/100</f>
      </c>
      <c r="Y567" s="6">
        <f>E567*G567/100</f>
      </c>
      <c r="Z567" s="7">
        <f>E567*H567</f>
      </c>
      <c r="AA567" s="7">
        <f>E567*J567</f>
      </c>
      <c r="AB567" s="6">
        <f>E567*I567/100</f>
      </c>
      <c r="AC567" s="15">
        <f>X567+Y567+AB567</f>
      </c>
      <c r="AD567" s="6">
        <f>F567+G567+I567</f>
      </c>
      <c r="AE567" s="3"/>
      <c r="AF567" s="6">
        <f>SUM(AM567:BC567)</f>
      </c>
      <c r="AG567" s="5">
        <f>IF(SUM(AM567:AO567)&gt;0.7*AF567,1,0)</f>
      </c>
      <c r="AH567" s="5">
        <f>IF(AN567&gt;0.4*AF567,1,0)</f>
      </c>
      <c r="AI567" s="5">
        <f>IF(SUM(AP567:AQ567)&gt;0.3*AF567,1,0)</f>
      </c>
      <c r="AJ567" s="5">
        <f>IF(AQ567&gt;0.2*AF567,1,0)</f>
      </c>
      <c r="AK567" s="5">
        <f>IF(SUM(AR567:BC567)&gt;0.3*AF567,1,0)</f>
      </c>
      <c r="AL567" s="3"/>
      <c r="AM567" s="6">
        <f>(F567/100)*AM$41</f>
      </c>
      <c r="AN567" s="6">
        <f>(G567/100)*AN$41</f>
      </c>
      <c r="AO567" s="6">
        <f>(H567/1000000)*AO$41</f>
      </c>
      <c r="AP567" s="6">
        <f>(I567/100)*AP$41</f>
      </c>
      <c r="AQ567" s="6">
        <f>(J567/1000000)*AQ$41</f>
      </c>
      <c r="AR567" s="6">
        <f>(K567/100)*AR$41</f>
      </c>
      <c r="AS567" s="6">
        <f>(L567/100)*AS$41</f>
      </c>
      <c r="AT567" s="6">
        <f>(M567/100)*AT$41</f>
      </c>
      <c r="AU567" s="6">
        <f>(N567/100)*AU$41</f>
      </c>
      <c r="AV567" s="6">
        <f>(O567/1000000)*AV$41</f>
      </c>
      <c r="AW567" s="6">
        <f>(P567/100)*AW$41</f>
      </c>
      <c r="AX567" s="6">
        <f>(Q567/100)*AX$41</f>
      </c>
      <c r="AY567" s="6">
        <f>(R567/100)*AY$41</f>
      </c>
      <c r="AZ567" s="6">
        <f>(S567/100)*AZ$41</f>
      </c>
      <c r="BA567" s="6">
        <f>(T567/100)*BA$41</f>
      </c>
      <c r="BB567" s="6">
        <f>(U567/100)*BB$41</f>
      </c>
      <c r="BC567" s="6"/>
      <c r="BD567" s="3"/>
      <c r="BE567" s="3"/>
      <c r="BF567" s="7">
        <f>AF567*E567</f>
      </c>
      <c r="BG567" s="6"/>
      <c r="BH567" s="3"/>
      <c r="BI567" s="6"/>
    </row>
    <row x14ac:dyDescent="0.25" r="568" customHeight="1" ht="12.75">
      <c r="A568" s="5" t="s">
        <v>812</v>
      </c>
      <c r="B568" s="3" t="s">
        <v>855</v>
      </c>
      <c r="C568" s="43" t="s">
        <v>869</v>
      </c>
      <c r="D568" s="34"/>
      <c r="E568" s="23">
        <v>3.1304010000000004</v>
      </c>
      <c r="F568" s="6">
        <v>1.2571781378807376</v>
      </c>
      <c r="G568" s="6">
        <v>0.5637470502980289</v>
      </c>
      <c r="H568" s="7">
        <v>95.44283617338483</v>
      </c>
      <c r="I568" s="6">
        <v>0.17848237015002227</v>
      </c>
      <c r="J568" s="6"/>
      <c r="K568" s="7"/>
      <c r="L568" s="6"/>
      <c r="M568" s="6"/>
      <c r="N568" s="6">
        <v>0.21094990066767802</v>
      </c>
      <c r="O568" s="7">
        <v>5.745757332686771</v>
      </c>
      <c r="P568" s="7"/>
      <c r="Q568" s="6"/>
      <c r="R568" s="6"/>
      <c r="S568" s="6"/>
      <c r="T568" s="6"/>
      <c r="U568" s="6"/>
      <c r="V568" s="5"/>
      <c r="W568" s="6"/>
      <c r="X568" s="6">
        <f>E568*F568/100</f>
      </c>
      <c r="Y568" s="6">
        <f>E568*G568/100</f>
      </c>
      <c r="Z568" s="7">
        <f>E568*H568</f>
      </c>
      <c r="AA568" s="7">
        <f>E568*J568</f>
      </c>
      <c r="AB568" s="6">
        <f>E568*I568/100</f>
      </c>
      <c r="AC568" s="15">
        <f>X568+Y568+AB568</f>
      </c>
      <c r="AD568" s="6">
        <f>F568+G568+I568</f>
      </c>
      <c r="AE568" s="3"/>
      <c r="AF568" s="6">
        <f>SUM(AM568:BC568)</f>
      </c>
      <c r="AG568" s="5">
        <f>IF(SUM(AM568:AO568)&gt;0.7*AF568,1,0)</f>
      </c>
      <c r="AH568" s="5">
        <f>IF(AN568&gt;0.4*AF568,1,0)</f>
      </c>
      <c r="AI568" s="5">
        <f>IF(SUM(AP568:AQ568)&gt;0.3*AF568,1,0)</f>
      </c>
      <c r="AJ568" s="5">
        <f>IF(AQ568&gt;0.2*AF568,1,0)</f>
      </c>
      <c r="AK568" s="5">
        <f>IF(SUM(AR568:BC568)&gt;0.3*AF568,1,0)</f>
      </c>
      <c r="AL568" s="3"/>
      <c r="AM568" s="6">
        <f>(F568/100)*AM$41</f>
      </c>
      <c r="AN568" s="6">
        <f>(G568/100)*AN$41</f>
      </c>
      <c r="AO568" s="6">
        <f>(H568/1000000)*AO$41</f>
      </c>
      <c r="AP568" s="6">
        <f>(I568/100)*AP$41</f>
      </c>
      <c r="AQ568" s="6">
        <f>(J568/1000000)*AQ$41</f>
      </c>
      <c r="AR568" s="6">
        <f>(K568/100)*AR$41</f>
      </c>
      <c r="AS568" s="6">
        <f>(L568/100)*AS$41</f>
      </c>
      <c r="AT568" s="6">
        <f>(M568/100)*AT$41</f>
      </c>
      <c r="AU568" s="6">
        <f>(N568/100)*AU$41</f>
      </c>
      <c r="AV568" s="6">
        <f>(O568/1000000)*AV$41</f>
      </c>
      <c r="AW568" s="6">
        <f>(P568/100)*AW$41</f>
      </c>
      <c r="AX568" s="6">
        <f>(Q568/100)*AX$41</f>
      </c>
      <c r="AY568" s="6">
        <f>(R568/100)*AY$41</f>
      </c>
      <c r="AZ568" s="6">
        <f>(S568/100)*AZ$41</f>
      </c>
      <c r="BA568" s="6">
        <f>(T568/100)*BA$41</f>
      </c>
      <c r="BB568" s="6">
        <f>(U568/100)*BB$41</f>
      </c>
      <c r="BC568" s="6"/>
      <c r="BD568" s="3"/>
      <c r="BE568" s="3"/>
      <c r="BF568" s="7">
        <f>AF568*E568</f>
      </c>
      <c r="BG568" s="6"/>
      <c r="BH568" s="3"/>
      <c r="BI568" s="6"/>
    </row>
    <row x14ac:dyDescent="0.25" r="569" customHeight="1" ht="12.75">
      <c r="A569" s="5" t="s">
        <v>783</v>
      </c>
      <c r="B569" s="3" t="s">
        <v>855</v>
      </c>
      <c r="C569" s="43" t="s">
        <v>869</v>
      </c>
      <c r="D569" s="34"/>
      <c r="E569" s="6">
        <v>11.6</v>
      </c>
      <c r="F569" s="6"/>
      <c r="G569" s="6">
        <f>(0.37/0.46)*0.58</f>
      </c>
      <c r="H569" s="7"/>
      <c r="I569" s="6"/>
      <c r="J569" s="6"/>
      <c r="K569" s="7"/>
      <c r="L569" s="6"/>
      <c r="M569" s="6"/>
      <c r="N569" s="6">
        <v>0.37</v>
      </c>
      <c r="O569" s="31">
        <f>(0.37/0.46)*35</f>
      </c>
      <c r="P569" s="6"/>
      <c r="Q569" s="6"/>
      <c r="R569" s="6"/>
      <c r="S569" s="6"/>
      <c r="T569" s="6"/>
      <c r="U569" s="6"/>
      <c r="V569" s="31">
        <f>(0.37/0.46)*28</f>
      </c>
      <c r="W569" s="6" t="s">
        <v>995</v>
      </c>
      <c r="X569" s="6">
        <f>E569*F569/100</f>
      </c>
      <c r="Y569" s="6">
        <f>E569*G569/100</f>
      </c>
      <c r="Z569" s="7">
        <f>E569*H569</f>
      </c>
      <c r="AA569" s="7">
        <f>E569*J569</f>
      </c>
      <c r="AB569" s="6">
        <f>E569*I569/100</f>
      </c>
      <c r="AC569" s="15">
        <f>X569+Y569+AB569</f>
      </c>
      <c r="AD569" s="6">
        <f>F569+G569+I569</f>
      </c>
      <c r="AE569" s="3"/>
      <c r="AF569" s="6">
        <f>SUM(AM569:BC569)</f>
      </c>
      <c r="AG569" s="5">
        <f>IF(SUM(AM569:AO569)&gt;0.7*AF569,1,0)</f>
      </c>
      <c r="AH569" s="5">
        <f>IF(AN569&gt;0.4*AF569,1,0)</f>
      </c>
      <c r="AI569" s="5">
        <f>IF(SUM(AP569:AQ569)&gt;0.3*AF569,1,0)</f>
      </c>
      <c r="AJ569" s="5">
        <f>IF(AQ569&gt;0.2*AF569,1,0)</f>
      </c>
      <c r="AK569" s="5">
        <f>IF(SUM(AR569:BC569)&gt;0.3*AF569,1,0)</f>
      </c>
      <c r="AL569" s="3"/>
      <c r="AM569" s="6">
        <f>(F569/100)*AM$41</f>
      </c>
      <c r="AN569" s="6">
        <f>(G569/100)*AN$41</f>
      </c>
      <c r="AO569" s="6">
        <f>(H569/1000000)*AO$41</f>
      </c>
      <c r="AP569" s="6">
        <f>(I569/100)*AP$41</f>
      </c>
      <c r="AQ569" s="6">
        <f>(J569/1000000)*AQ$41</f>
      </c>
      <c r="AR569" s="6">
        <f>(K569/100)*AR$41</f>
      </c>
      <c r="AS569" s="6">
        <f>(L569/100)*AS$41</f>
      </c>
      <c r="AT569" s="6">
        <f>(M569/100)*AT$41</f>
      </c>
      <c r="AU569" s="6">
        <f>(N569/100)*AU$41</f>
      </c>
      <c r="AV569" s="6">
        <f>(O569/1000000)*AV$41</f>
      </c>
      <c r="AW569" s="6">
        <f>(P569/100)*AW$41</f>
      </c>
      <c r="AX569" s="6">
        <f>(Q569/100)*AX$41</f>
      </c>
      <c r="AY569" s="6">
        <f>(R569/100)*AY$41</f>
      </c>
      <c r="AZ569" s="6">
        <f>(S569/100)*AZ$41</f>
      </c>
      <c r="BA569" s="6">
        <f>(T569/100)*BA$41</f>
      </c>
      <c r="BB569" s="6">
        <f>(U569/100)*BB$41</f>
      </c>
      <c r="BC569" s="6">
        <f>(V569/1000000)*362000</f>
      </c>
      <c r="BD569" s="3" t="s">
        <v>996</v>
      </c>
      <c r="BE569" s="3"/>
      <c r="BF569" s="7">
        <f>AF569*E569</f>
      </c>
      <c r="BG569" s="6"/>
      <c r="BH569" s="3"/>
      <c r="BI569" s="6"/>
    </row>
    <row x14ac:dyDescent="0.25" r="570" customHeight="1" ht="12.75">
      <c r="A570" s="5" t="s">
        <v>381</v>
      </c>
      <c r="B570" s="3" t="s">
        <v>855</v>
      </c>
      <c r="C570" s="43" t="s">
        <v>869</v>
      </c>
      <c r="D570" s="34"/>
      <c r="E570" s="6">
        <v>2.138</v>
      </c>
      <c r="F570" s="6">
        <v>1.188821328344247</v>
      </c>
      <c r="G570" s="6">
        <v>1.2481197380729656</v>
      </c>
      <c r="H570" s="31">
        <v>194.42048643592145</v>
      </c>
      <c r="I570" s="6"/>
      <c r="J570" s="6">
        <v>3.4810196445275956</v>
      </c>
      <c r="K570" s="7"/>
      <c r="L570" s="6"/>
      <c r="M570" s="6"/>
      <c r="N570" s="23"/>
      <c r="O570" s="5"/>
      <c r="P570" s="6"/>
      <c r="Q570" s="6"/>
      <c r="R570" s="6"/>
      <c r="S570" s="6"/>
      <c r="T570" s="6"/>
      <c r="U570" s="6"/>
      <c r="V570" s="5"/>
      <c r="W570" s="6"/>
      <c r="X570" s="6">
        <f>E570*F570/100</f>
      </c>
      <c r="Y570" s="6">
        <f>E570*G570/100</f>
      </c>
      <c r="Z570" s="7">
        <f>E570*H570</f>
      </c>
      <c r="AA570" s="7">
        <f>E570*J570</f>
      </c>
      <c r="AB570" s="6">
        <f>E570*I570/100</f>
      </c>
      <c r="AC570" s="15">
        <f>X570+Y570+AB570</f>
      </c>
      <c r="AD570" s="6">
        <f>F570+G570+I570</f>
      </c>
      <c r="AE570" s="3"/>
      <c r="AF570" s="6">
        <f>SUM(AM570:BC570)</f>
      </c>
      <c r="AG570" s="5">
        <f>IF(SUM(AM570:AO570)&gt;0.7*AF570,1,0)</f>
      </c>
      <c r="AH570" s="5">
        <f>IF(AN570&gt;0.4*AF570,1,0)</f>
      </c>
      <c r="AI570" s="5">
        <f>IF(SUM(AP570:AQ570)&gt;0.3*AF570,1,0)</f>
      </c>
      <c r="AJ570" s="5">
        <f>IF(AQ570&gt;0.2*AF570,1,0)</f>
      </c>
      <c r="AK570" s="5">
        <f>IF(SUM(AR570:BC570)&gt;0.3*AF570,1,0)</f>
      </c>
      <c r="AL570" s="3"/>
      <c r="AM570" s="6">
        <f>(F570/100)*AM$41</f>
      </c>
      <c r="AN570" s="6">
        <f>(G570/100)*AN$41</f>
      </c>
      <c r="AO570" s="6">
        <f>(H570/1000000)*AO$41</f>
      </c>
      <c r="AP570" s="6">
        <f>(I570/100)*AP$41</f>
      </c>
      <c r="AQ570" s="6">
        <f>(J570/1000000)*AQ$41</f>
      </c>
      <c r="AR570" s="6">
        <f>(K570/100)*AR$41</f>
      </c>
      <c r="AS570" s="6">
        <f>(L570/100)*AS$41</f>
      </c>
      <c r="AT570" s="6">
        <f>(M570/100)*AT$41</f>
      </c>
      <c r="AU570" s="6">
        <f>(N570/100)*AU$41</f>
      </c>
      <c r="AV570" s="6">
        <f>(O570/1000000)*AV$41</f>
      </c>
      <c r="AW570" s="6">
        <f>(P570/100)*AW$41</f>
      </c>
      <c r="AX570" s="6">
        <f>(Q570/100)*AX$41</f>
      </c>
      <c r="AY570" s="6">
        <f>(R570/100)*AY$41</f>
      </c>
      <c r="AZ570" s="6">
        <f>(S570/100)*AZ$41</f>
      </c>
      <c r="BA570" s="6">
        <f>(T570/100)*BA$41</f>
      </c>
      <c r="BB570" s="6">
        <f>(U570/100)*BB$41</f>
      </c>
      <c r="BC570" s="6"/>
      <c r="BD570" s="3"/>
      <c r="BE570" s="3"/>
      <c r="BF570" s="7">
        <f>AF570*E570</f>
      </c>
      <c r="BG570" s="6"/>
      <c r="BH570" s="3"/>
      <c r="BI570" s="6"/>
    </row>
    <row x14ac:dyDescent="0.25" r="571" customHeight="1" ht="12.75">
      <c r="A571" s="5" t="s">
        <v>796</v>
      </c>
      <c r="B571" s="3" t="s">
        <v>855</v>
      </c>
      <c r="C571" s="43" t="s">
        <v>869</v>
      </c>
      <c r="D571" s="34"/>
      <c r="E571" s="6">
        <v>4.9</v>
      </c>
      <c r="F571" s="6"/>
      <c r="G571" s="7">
        <v>0.5967346938775511</v>
      </c>
      <c r="H571" s="7">
        <v>8.26734693877551</v>
      </c>
      <c r="I571" s="7">
        <v>0.3448979591836735</v>
      </c>
      <c r="J571" s="7">
        <v>0.5714285714285714</v>
      </c>
      <c r="K571" s="7"/>
      <c r="L571" s="6"/>
      <c r="M571" s="6"/>
      <c r="N571" s="23"/>
      <c r="O571" s="5"/>
      <c r="P571" s="6"/>
      <c r="Q571" s="6">
        <v>25.4</v>
      </c>
      <c r="R571" s="6"/>
      <c r="S571" s="6"/>
      <c r="T571" s="6"/>
      <c r="U571" s="6"/>
      <c r="V571" s="5"/>
      <c r="W571" s="6"/>
      <c r="X571" s="6">
        <f>E571*F571/100</f>
      </c>
      <c r="Y571" s="6">
        <f>E571*G571/100</f>
      </c>
      <c r="Z571" s="7">
        <f>E571*H571</f>
      </c>
      <c r="AA571" s="7">
        <f>E571*J571</f>
      </c>
      <c r="AB571" s="6">
        <f>E571*I571/100</f>
      </c>
      <c r="AC571" s="15">
        <f>X571+Y571+AB571</f>
      </c>
      <c r="AD571" s="6">
        <f>F571+G571+I571</f>
      </c>
      <c r="AE571" s="3"/>
      <c r="AF571" s="6">
        <f>SUM(AM571:BC571)</f>
      </c>
      <c r="AG571" s="5">
        <f>IF(SUM(AM571:AO571)&gt;0.7*AF571,1,0)</f>
      </c>
      <c r="AH571" s="5">
        <f>IF(AN571&gt;0.4*AF571,1,0)</f>
      </c>
      <c r="AI571" s="5">
        <f>IF(SUM(AP571:AQ571)&gt;0.3*AF571,1,0)</f>
      </c>
      <c r="AJ571" s="5">
        <f>IF(AQ571&gt;0.2*AF571,1,0)</f>
      </c>
      <c r="AK571" s="5">
        <f>IF(SUM(AR571:BC571)&gt;0.3*AF571,1,0)</f>
      </c>
      <c r="AL571" s="3"/>
      <c r="AM571" s="6">
        <f>(F571/100)*AM$41</f>
      </c>
      <c r="AN571" s="6">
        <f>(G571/100)*AN$41</f>
      </c>
      <c r="AO571" s="6">
        <f>(H571/1000000)*AO$41</f>
      </c>
      <c r="AP571" s="6">
        <f>(I571/100)*AP$41</f>
      </c>
      <c r="AQ571" s="6">
        <f>(J571/1000000)*AQ$41</f>
      </c>
      <c r="AR571" s="6">
        <f>(K571/100)*AR$41</f>
      </c>
      <c r="AS571" s="6">
        <f>(L571/100)*AS$41</f>
      </c>
      <c r="AT571" s="6">
        <f>(M571/100)*AT$41</f>
      </c>
      <c r="AU571" s="6">
        <f>(N571/100)*AU$41</f>
      </c>
      <c r="AV571" s="6">
        <f>(O571/1000000)*AV$41</f>
      </c>
      <c r="AW571" s="6">
        <f>(P571/100)*AW$41</f>
      </c>
      <c r="AX571" s="6">
        <f>(Q571/100)*AX$41</f>
      </c>
      <c r="AY571" s="6">
        <f>(R571/100)*AY$41</f>
      </c>
      <c r="AZ571" s="6">
        <f>(S571/100)*AZ$41</f>
      </c>
      <c r="BA571" s="6">
        <f>(T571/100)*BA$41</f>
      </c>
      <c r="BB571" s="6">
        <f>(U571/100)*BB$41</f>
      </c>
      <c r="BC571" s="6"/>
      <c r="BD571" s="3"/>
      <c r="BE571" s="3"/>
      <c r="BF571" s="7">
        <f>AF571*E571</f>
      </c>
      <c r="BG571" s="6"/>
      <c r="BH571" s="3"/>
      <c r="BI571" s="6"/>
    </row>
    <row x14ac:dyDescent="0.25" r="572" customHeight="1" ht="12.75">
      <c r="A572" s="5" t="s">
        <v>753</v>
      </c>
      <c r="B572" s="3" t="s">
        <v>855</v>
      </c>
      <c r="C572" s="43" t="s">
        <v>869</v>
      </c>
      <c r="D572" s="34"/>
      <c r="E572" s="6">
        <v>0.9</v>
      </c>
      <c r="F572" s="6">
        <v>0.9</v>
      </c>
      <c r="G572" s="6">
        <v>3.4</v>
      </c>
      <c r="H572" s="7">
        <v>16</v>
      </c>
      <c r="I572" s="6">
        <v>0.2</v>
      </c>
      <c r="J572" s="6"/>
      <c r="K572" s="7"/>
      <c r="L572" s="6"/>
      <c r="M572" s="6"/>
      <c r="N572" s="23"/>
      <c r="O572" s="5"/>
      <c r="P572" s="6"/>
      <c r="Q572" s="6"/>
      <c r="R572" s="6"/>
      <c r="S572" s="6"/>
      <c r="T572" s="6"/>
      <c r="U572" s="6"/>
      <c r="V572" s="5"/>
      <c r="W572" s="6"/>
      <c r="X572" s="6">
        <f>E572*F572/100</f>
      </c>
      <c r="Y572" s="6">
        <f>E572*G572/100</f>
      </c>
      <c r="Z572" s="7">
        <f>E572*H572</f>
      </c>
      <c r="AA572" s="7">
        <f>E572*J572</f>
      </c>
      <c r="AB572" s="6">
        <f>E572*I572/100</f>
      </c>
      <c r="AC572" s="15">
        <f>X572+Y572+AB572</f>
      </c>
      <c r="AD572" s="6">
        <f>F572+G572+I572</f>
      </c>
      <c r="AE572" s="3"/>
      <c r="AF572" s="6">
        <f>SUM(AM572:BC572)</f>
      </c>
      <c r="AG572" s="5">
        <f>IF(SUM(AM572:AO572)&gt;0.7*AF572,1,0)</f>
      </c>
      <c r="AH572" s="5">
        <f>IF(AN572&gt;0.4*AF572,1,0)</f>
      </c>
      <c r="AI572" s="5">
        <f>IF(SUM(AP572:AQ572)&gt;0.3*AF572,1,0)</f>
      </c>
      <c r="AJ572" s="5">
        <f>IF(AQ572&gt;0.2*AF572,1,0)</f>
      </c>
      <c r="AK572" s="5">
        <f>IF(SUM(AR572:BC572)&gt;0.3*AF572,1,0)</f>
      </c>
      <c r="AL572" s="3"/>
      <c r="AM572" s="6">
        <f>(F572/100)*AM$41</f>
      </c>
      <c r="AN572" s="6">
        <f>(G572/100)*AN$41</f>
      </c>
      <c r="AO572" s="6">
        <f>(H572/1000000)*AO$41</f>
      </c>
      <c r="AP572" s="6">
        <f>(I572/100)*AP$41</f>
      </c>
      <c r="AQ572" s="6">
        <f>(J572/1000000)*AQ$41</f>
      </c>
      <c r="AR572" s="6">
        <f>(K572/100)*AR$41</f>
      </c>
      <c r="AS572" s="6">
        <f>(L572/100)*AS$41</f>
      </c>
      <c r="AT572" s="6">
        <f>(M572/100)*AT$41</f>
      </c>
      <c r="AU572" s="6">
        <f>(N572/100)*AU$41</f>
      </c>
      <c r="AV572" s="6">
        <f>(O572/1000000)*AV$41</f>
      </c>
      <c r="AW572" s="6">
        <f>(P572/100)*AW$41</f>
      </c>
      <c r="AX572" s="6">
        <f>(Q572/100)*AX$41</f>
      </c>
      <c r="AY572" s="6">
        <f>(R572/100)*AY$41</f>
      </c>
      <c r="AZ572" s="6">
        <f>(S572/100)*AZ$41</f>
      </c>
      <c r="BA572" s="6">
        <f>(T572/100)*BA$41</f>
      </c>
      <c r="BB572" s="6">
        <f>(U572/100)*BB$41</f>
      </c>
      <c r="BC572" s="6"/>
      <c r="BD572" s="3"/>
      <c r="BE572" s="3"/>
      <c r="BF572" s="7">
        <f>AF572*E572</f>
      </c>
      <c r="BG572" s="6"/>
      <c r="BH572" s="3"/>
      <c r="BI572" s="6"/>
    </row>
    <row x14ac:dyDescent="0.25" r="573" customHeight="1" ht="12.75">
      <c r="A573" s="5" t="s">
        <v>844</v>
      </c>
      <c r="B573" s="3" t="s">
        <v>855</v>
      </c>
      <c r="C573" s="43" t="s">
        <v>869</v>
      </c>
      <c r="D573" s="34"/>
      <c r="E573" s="23">
        <v>1.735048</v>
      </c>
      <c r="F573" s="6">
        <v>0.7000000000000001</v>
      </c>
      <c r="G573" s="6">
        <v>1.5572699429641144</v>
      </c>
      <c r="H573" s="31">
        <v>56.56380342215317</v>
      </c>
      <c r="I573" s="6"/>
      <c r="J573" s="6"/>
      <c r="K573" s="7"/>
      <c r="L573" s="6"/>
      <c r="M573" s="6"/>
      <c r="N573" s="23"/>
      <c r="O573" s="5"/>
      <c r="P573" s="6"/>
      <c r="Q573" s="6"/>
      <c r="R573" s="6"/>
      <c r="S573" s="6"/>
      <c r="T573" s="6"/>
      <c r="U573" s="6"/>
      <c r="V573" s="5"/>
      <c r="W573" s="6"/>
      <c r="X573" s="6">
        <f>E573*F573/100</f>
      </c>
      <c r="Y573" s="6">
        <f>E573*G573/100</f>
      </c>
      <c r="Z573" s="7">
        <f>E573*H573</f>
      </c>
      <c r="AA573" s="7">
        <f>E573*J573</f>
      </c>
      <c r="AB573" s="6">
        <f>E573*I573/100</f>
      </c>
      <c r="AC573" s="15">
        <f>X573+Y573+AB573</f>
      </c>
      <c r="AD573" s="6">
        <f>F573+G573+I573</f>
      </c>
      <c r="AE573" s="3"/>
      <c r="AF573" s="6">
        <f>SUM(AM573:BC573)</f>
      </c>
      <c r="AG573" s="5">
        <f>IF(SUM(AM573:AO573)&gt;0.7*AF573,1,0)</f>
      </c>
      <c r="AH573" s="5">
        <f>IF(AN573&gt;0.4*AF573,1,0)</f>
      </c>
      <c r="AI573" s="5">
        <f>IF(SUM(AP573:AQ573)&gt;0.3*AF573,1,0)</f>
      </c>
      <c r="AJ573" s="5">
        <f>IF(AQ573&gt;0.2*AF573,1,0)</f>
      </c>
      <c r="AK573" s="5">
        <f>IF(SUM(AR573:BC573)&gt;0.3*AF573,1,0)</f>
      </c>
      <c r="AL573" s="3"/>
      <c r="AM573" s="6">
        <f>(F573/100)*AM$41</f>
      </c>
      <c r="AN573" s="6">
        <f>(G573/100)*AN$41</f>
      </c>
      <c r="AO573" s="6">
        <f>(H573/1000000)*AO$41</f>
      </c>
      <c r="AP573" s="6">
        <f>(I573/100)*AP$41</f>
      </c>
      <c r="AQ573" s="6">
        <f>(J573/1000000)*AQ$41</f>
      </c>
      <c r="AR573" s="6">
        <f>(K573/100)*AR$41</f>
      </c>
      <c r="AS573" s="6">
        <f>(L573/100)*AS$41</f>
      </c>
      <c r="AT573" s="6">
        <f>(M573/100)*AT$41</f>
      </c>
      <c r="AU573" s="6">
        <f>(N573/100)*AU$41</f>
      </c>
      <c r="AV573" s="6">
        <f>(O573/1000000)*AV$41</f>
      </c>
      <c r="AW573" s="6">
        <f>(P573/100)*AW$41</f>
      </c>
      <c r="AX573" s="6">
        <f>(Q573/100)*AX$41</f>
      </c>
      <c r="AY573" s="6">
        <f>(R573/100)*AY$41</f>
      </c>
      <c r="AZ573" s="6">
        <f>(S573/100)*AZ$41</f>
      </c>
      <c r="BA573" s="6">
        <f>(T573/100)*BA$41</f>
      </c>
      <c r="BB573" s="6">
        <f>(U573/100)*BB$41</f>
      </c>
      <c r="BC573" s="6"/>
      <c r="BD573" s="3"/>
      <c r="BE573" s="3"/>
      <c r="BF573" s="7">
        <f>AF573*E573</f>
      </c>
      <c r="BG573" s="6"/>
      <c r="BH573" s="3"/>
      <c r="BI573" s="6"/>
    </row>
    <row x14ac:dyDescent="0.25" r="574" customHeight="1" ht="12.75">
      <c r="A574" s="5" t="s">
        <v>111</v>
      </c>
      <c r="B574" s="3" t="s">
        <v>855</v>
      </c>
      <c r="C574" s="43" t="s">
        <v>869</v>
      </c>
      <c r="D574" s="34"/>
      <c r="E574" s="6">
        <v>0.123</v>
      </c>
      <c r="F574" s="6">
        <v>6.64</v>
      </c>
      <c r="G574" s="6">
        <v>8.47</v>
      </c>
      <c r="H574" s="7">
        <v>392.8552</v>
      </c>
      <c r="I574" s="6"/>
      <c r="J574" s="6"/>
      <c r="K574" s="7"/>
      <c r="L574" s="6"/>
      <c r="M574" s="6"/>
      <c r="N574" s="23"/>
      <c r="O574" s="5"/>
      <c r="P574" s="6"/>
      <c r="Q574" s="6"/>
      <c r="R574" s="6"/>
      <c r="S574" s="6"/>
      <c r="T574" s="6"/>
      <c r="U574" s="6"/>
      <c r="V574" s="5"/>
      <c r="W574" s="6"/>
      <c r="X574" s="6">
        <f>E574*F574/100</f>
      </c>
      <c r="Y574" s="6">
        <f>E574*G574/100</f>
      </c>
      <c r="Z574" s="7">
        <f>E574*H574</f>
      </c>
      <c r="AA574" s="7">
        <f>E574*J574</f>
      </c>
      <c r="AB574" s="6">
        <f>E574*I574/100</f>
      </c>
      <c r="AC574" s="15">
        <f>X574+Y574+AB574</f>
      </c>
      <c r="AD574" s="6">
        <f>F574+G574+I574</f>
      </c>
      <c r="AE574" s="3"/>
      <c r="AF574" s="6">
        <f>SUM(AM574:BC574)</f>
      </c>
      <c r="AG574" s="5">
        <f>IF(SUM(AM574:AO574)&gt;0.7*AF574,1,0)</f>
      </c>
      <c r="AH574" s="5">
        <f>IF(AN574&gt;0.4*AF574,1,0)</f>
      </c>
      <c r="AI574" s="5">
        <f>IF(SUM(AP574:AQ574)&gt;0.3*AF574,1,0)</f>
      </c>
      <c r="AJ574" s="5">
        <f>IF(AQ574&gt;0.2*AF574,1,0)</f>
      </c>
      <c r="AK574" s="5">
        <f>IF(SUM(AR574:BC574)&gt;0.3*AF574,1,0)</f>
      </c>
      <c r="AL574" s="3"/>
      <c r="AM574" s="6">
        <f>(F574/100)*AM$41</f>
      </c>
      <c r="AN574" s="6">
        <f>(G574/100)*AN$41</f>
      </c>
      <c r="AO574" s="6">
        <f>(H574/1000000)*AO$41</f>
      </c>
      <c r="AP574" s="6">
        <f>(I574/100)*AP$41</f>
      </c>
      <c r="AQ574" s="6">
        <f>(J574/1000000)*AQ$41</f>
      </c>
      <c r="AR574" s="6">
        <f>(K574/100)*AR$41</f>
      </c>
      <c r="AS574" s="6">
        <f>(L574/100)*AS$41</f>
      </c>
      <c r="AT574" s="6">
        <f>(M574/100)*AT$41</f>
      </c>
      <c r="AU574" s="6">
        <f>(N574/100)*AU$41</f>
      </c>
      <c r="AV574" s="6">
        <f>(O574/1000000)*AV$41</f>
      </c>
      <c r="AW574" s="6">
        <f>(P574/100)*AW$41</f>
      </c>
      <c r="AX574" s="6">
        <f>(Q574/100)*AX$41</f>
      </c>
      <c r="AY574" s="6">
        <f>(R574/100)*AY$41</f>
      </c>
      <c r="AZ574" s="6">
        <f>(S574/100)*AZ$41</f>
      </c>
      <c r="BA574" s="6">
        <f>(T574/100)*BA$41</f>
      </c>
      <c r="BB574" s="6">
        <f>(U574/100)*BB$41</f>
      </c>
      <c r="BC574" s="6"/>
      <c r="BD574" s="3"/>
      <c r="BE574" s="3"/>
      <c r="BF574" s="7">
        <f>AF574*E574</f>
      </c>
      <c r="BG574" s="6"/>
      <c r="BH574" s="3"/>
      <c r="BI574" s="6"/>
    </row>
    <row x14ac:dyDescent="0.25" r="575" customHeight="1" ht="12.75">
      <c r="A575" s="5" t="s">
        <v>820</v>
      </c>
      <c r="B575" s="3" t="s">
        <v>855</v>
      </c>
      <c r="C575" s="43" t="s">
        <v>869</v>
      </c>
      <c r="D575" s="34" t="s">
        <v>1014</v>
      </c>
      <c r="E575" s="6">
        <v>0.45</v>
      </c>
      <c r="F575" s="6">
        <v>1.5</v>
      </c>
      <c r="G575" s="6">
        <v>1.25</v>
      </c>
      <c r="H575" s="5">
        <v>100</v>
      </c>
      <c r="I575" s="6"/>
      <c r="J575" s="6"/>
      <c r="K575" s="7"/>
      <c r="L575" s="6"/>
      <c r="M575" s="6"/>
      <c r="N575" s="23"/>
      <c r="O575" s="5"/>
      <c r="P575" s="6"/>
      <c r="Q575" s="6"/>
      <c r="R575" s="6"/>
      <c r="S575" s="6"/>
      <c r="T575" s="6"/>
      <c r="U575" s="6"/>
      <c r="V575" s="5"/>
      <c r="W575" s="6"/>
      <c r="X575" s="6">
        <f>E575*F575/100</f>
      </c>
      <c r="Y575" s="6">
        <f>E575*G575/100</f>
      </c>
      <c r="Z575" s="7">
        <f>E575*H575</f>
      </c>
      <c r="AA575" s="7">
        <f>E575*J575</f>
      </c>
      <c r="AB575" s="6">
        <f>E575*I575/100</f>
      </c>
      <c r="AC575" s="15">
        <f>X575+Y575+AB575</f>
      </c>
      <c r="AD575" s="6">
        <f>F575+G575+I575</f>
      </c>
      <c r="AE575" s="3"/>
      <c r="AF575" s="6">
        <f>SUM(AM575:BC575)</f>
      </c>
      <c r="AG575" s="5">
        <f>IF(SUM(AM575:AO575)&gt;0.7*AF575,1,0)</f>
      </c>
      <c r="AH575" s="5">
        <f>IF(AN575&gt;0.4*AF575,1,0)</f>
      </c>
      <c r="AI575" s="5">
        <f>IF(SUM(AP575:AQ575)&gt;0.3*AF575,1,0)</f>
      </c>
      <c r="AJ575" s="5">
        <f>IF(AQ575&gt;0.2*AF575,1,0)</f>
      </c>
      <c r="AK575" s="5">
        <f>IF(SUM(AR575:BC575)&gt;0.3*AF575,1,0)</f>
      </c>
      <c r="AL575" s="3"/>
      <c r="AM575" s="6">
        <f>(F575/100)*AM$41</f>
      </c>
      <c r="AN575" s="6">
        <f>(G575/100)*AN$41</f>
      </c>
      <c r="AO575" s="6">
        <f>(H575/1000000)*AO$41</f>
      </c>
      <c r="AP575" s="6">
        <f>(I575/100)*AP$41</f>
      </c>
      <c r="AQ575" s="6">
        <f>(J575/1000000)*AQ$41</f>
      </c>
      <c r="AR575" s="6">
        <f>(K575/100)*AR$41</f>
      </c>
      <c r="AS575" s="6">
        <f>(L575/100)*AS$41</f>
      </c>
      <c r="AT575" s="6">
        <f>(M575/100)*AT$41</f>
      </c>
      <c r="AU575" s="6">
        <f>(N575/100)*AU$41</f>
      </c>
      <c r="AV575" s="6">
        <f>(O575/1000000)*AV$41</f>
      </c>
      <c r="AW575" s="6">
        <f>(P575/100)*AW$41</f>
      </c>
      <c r="AX575" s="6">
        <f>(Q575/100)*AX$41</f>
      </c>
      <c r="AY575" s="6">
        <f>(R575/100)*AY$41</f>
      </c>
      <c r="AZ575" s="6">
        <f>(S575/100)*AZ$41</f>
      </c>
      <c r="BA575" s="6">
        <f>(T575/100)*BA$41</f>
      </c>
      <c r="BB575" s="6">
        <f>(U575/100)*BB$41</f>
      </c>
      <c r="BC575" s="6"/>
      <c r="BD575" s="3"/>
      <c r="BE575" s="3"/>
      <c r="BF575" s="7">
        <f>AF575*E575</f>
      </c>
      <c r="BG575" s="6"/>
      <c r="BH575" s="3"/>
      <c r="BI575" s="6"/>
    </row>
    <row x14ac:dyDescent="0.25" r="576" customHeight="1" ht="12.75">
      <c r="A576" s="5" t="s">
        <v>399</v>
      </c>
      <c r="B576" s="3" t="s">
        <v>855</v>
      </c>
      <c r="C576" s="43" t="s">
        <v>869</v>
      </c>
      <c r="D576" s="34"/>
      <c r="E576" s="6">
        <v>0.173</v>
      </c>
      <c r="F576" s="6">
        <v>0.38</v>
      </c>
      <c r="G576" s="6">
        <v>4.32</v>
      </c>
      <c r="H576" s="7">
        <v>325.30600000000004</v>
      </c>
      <c r="I576" s="6"/>
      <c r="J576" s="6"/>
      <c r="K576" s="7"/>
      <c r="L576" s="6"/>
      <c r="M576" s="6"/>
      <c r="N576" s="23"/>
      <c r="O576" s="5"/>
      <c r="P576" s="6"/>
      <c r="Q576" s="6"/>
      <c r="R576" s="6"/>
      <c r="S576" s="6"/>
      <c r="T576" s="6"/>
      <c r="U576" s="6"/>
      <c r="V576" s="5"/>
      <c r="W576" s="6"/>
      <c r="X576" s="6">
        <f>E576*F576/100</f>
      </c>
      <c r="Y576" s="6">
        <f>E576*G576/100</f>
      </c>
      <c r="Z576" s="7">
        <f>E576*H576</f>
      </c>
      <c r="AA576" s="7">
        <f>E576*J576</f>
      </c>
      <c r="AB576" s="6">
        <f>E576*I576/100</f>
      </c>
      <c r="AC576" s="15">
        <f>X576+Y576+AB576</f>
      </c>
      <c r="AD576" s="6">
        <f>F576+G576+I576</f>
      </c>
      <c r="AE576" s="3"/>
      <c r="AF576" s="6">
        <f>SUM(AM576:BC576)</f>
      </c>
      <c r="AG576" s="5">
        <f>IF(SUM(AM576:AO576)&gt;0.7*AF576,1,0)</f>
      </c>
      <c r="AH576" s="5">
        <f>IF(AN576&gt;0.4*AF576,1,0)</f>
      </c>
      <c r="AI576" s="5">
        <f>IF(SUM(AP576:AQ576)&gt;0.3*AF576,1,0)</f>
      </c>
      <c r="AJ576" s="5">
        <f>IF(AQ576&gt;0.2*AF576,1,0)</f>
      </c>
      <c r="AK576" s="5">
        <f>IF(SUM(AR576:BC576)&gt;0.3*AF576,1,0)</f>
      </c>
      <c r="AL576" s="3"/>
      <c r="AM576" s="6">
        <f>(F576/100)*AM$41</f>
      </c>
      <c r="AN576" s="6">
        <f>(G576/100)*AN$41</f>
      </c>
      <c r="AO576" s="6">
        <f>(H576/1000000)*AO$41</f>
      </c>
      <c r="AP576" s="6">
        <f>(I576/100)*AP$41</f>
      </c>
      <c r="AQ576" s="6">
        <f>(J576/1000000)*AQ$41</f>
      </c>
      <c r="AR576" s="6">
        <f>(K576/100)*AR$41</f>
      </c>
      <c r="AS576" s="6">
        <f>(L576/100)*AS$41</f>
      </c>
      <c r="AT576" s="6">
        <f>(M576/100)*AT$41</f>
      </c>
      <c r="AU576" s="6">
        <f>(N576/100)*AU$41</f>
      </c>
      <c r="AV576" s="6">
        <f>(O576/1000000)*AV$41</f>
      </c>
      <c r="AW576" s="6">
        <f>(P576/100)*AW$41</f>
      </c>
      <c r="AX576" s="6">
        <f>(Q576/100)*AX$41</f>
      </c>
      <c r="AY576" s="6">
        <f>(R576/100)*AY$41</f>
      </c>
      <c r="AZ576" s="6">
        <f>(S576/100)*AZ$41</f>
      </c>
      <c r="BA576" s="6">
        <f>(T576/100)*BA$41</f>
      </c>
      <c r="BB576" s="6">
        <f>(U576/100)*BB$41</f>
      </c>
      <c r="BC576" s="6"/>
      <c r="BD576" s="3"/>
      <c r="BE576" s="3"/>
      <c r="BF576" s="7">
        <f>AF576*E576</f>
      </c>
      <c r="BG576" s="6"/>
      <c r="BH576" s="3"/>
      <c r="BI576" s="6"/>
    </row>
    <row x14ac:dyDescent="0.25" r="577" customHeight="1" ht="12.75">
      <c r="A577" s="5" t="s">
        <v>850</v>
      </c>
      <c r="B577" s="3" t="s">
        <v>855</v>
      </c>
      <c r="C577" s="43" t="s">
        <v>869</v>
      </c>
      <c r="D577" s="34"/>
      <c r="E577" s="6">
        <v>0.562</v>
      </c>
      <c r="F577" s="6"/>
      <c r="G577" s="6">
        <v>1.4</v>
      </c>
      <c r="H577" s="6">
        <v>36.4</v>
      </c>
      <c r="I577" s="6"/>
      <c r="J577" s="6"/>
      <c r="K577" s="7"/>
      <c r="L577" s="6"/>
      <c r="M577" s="6"/>
      <c r="N577" s="6">
        <v>0.5</v>
      </c>
      <c r="O577" s="5"/>
      <c r="P577" s="6"/>
      <c r="Q577" s="6"/>
      <c r="R577" s="6"/>
      <c r="S577" s="6"/>
      <c r="T577" s="6"/>
      <c r="U577" s="6"/>
      <c r="V577" s="5"/>
      <c r="W577" s="6"/>
      <c r="X577" s="6">
        <f>E577*F577/100</f>
      </c>
      <c r="Y577" s="6">
        <f>E577*G577/100</f>
      </c>
      <c r="Z577" s="7">
        <f>E577*H577</f>
      </c>
      <c r="AA577" s="7">
        <f>E577*J577</f>
      </c>
      <c r="AB577" s="6">
        <f>E577*I577/100</f>
      </c>
      <c r="AC577" s="15">
        <f>X577+Y577+AB577</f>
      </c>
      <c r="AD577" s="6">
        <f>F577+G577+I577</f>
      </c>
      <c r="AE577" s="3"/>
      <c r="AF577" s="6">
        <f>SUM(AM577:BC577)</f>
      </c>
      <c r="AG577" s="5">
        <f>IF(SUM(AM577:AO577)&gt;0.7*AF577,1,0)</f>
      </c>
      <c r="AH577" s="5">
        <f>IF(AN577&gt;0.4*AF577,1,0)</f>
      </c>
      <c r="AI577" s="5">
        <f>IF(SUM(AP577:AQ577)&gt;0.3*AF577,1,0)</f>
      </c>
      <c r="AJ577" s="5">
        <f>IF(AQ577&gt;0.2*AF577,1,0)</f>
      </c>
      <c r="AK577" s="5">
        <f>IF(SUM(AR577:BC577)&gt;0.3*AF577,1,0)</f>
      </c>
      <c r="AL577" s="3"/>
      <c r="AM577" s="6">
        <f>(F577/100)*AM$41</f>
      </c>
      <c r="AN577" s="6">
        <f>(G577/100)*AN$41</f>
      </c>
      <c r="AO577" s="6">
        <f>(H577/1000000)*AO$41</f>
      </c>
      <c r="AP577" s="6">
        <f>(I577/100)*AP$41</f>
      </c>
      <c r="AQ577" s="6">
        <f>(J577/1000000)*AQ$41</f>
      </c>
      <c r="AR577" s="6">
        <f>(K577/100)*AR$41</f>
      </c>
      <c r="AS577" s="6">
        <f>(L577/100)*AS$41</f>
      </c>
      <c r="AT577" s="6">
        <f>(M577/100)*AT$41</f>
      </c>
      <c r="AU577" s="6">
        <f>(N577/100)*AU$41</f>
      </c>
      <c r="AV577" s="6">
        <f>(O577/1000000)*AV$41</f>
      </c>
      <c r="AW577" s="6">
        <f>(P577/100)*AW$41</f>
      </c>
      <c r="AX577" s="6">
        <f>(Q577/100)*AX$41</f>
      </c>
      <c r="AY577" s="6">
        <f>(R577/100)*AY$41</f>
      </c>
      <c r="AZ577" s="6">
        <f>(S577/100)*AZ$41</f>
      </c>
      <c r="BA577" s="6">
        <f>(T577/100)*BA$41</f>
      </c>
      <c r="BB577" s="6">
        <f>(U577/100)*BB$41</f>
      </c>
      <c r="BC577" s="6"/>
      <c r="BD577" s="3"/>
      <c r="BE577" s="3"/>
      <c r="BF577" s="7">
        <f>AF577*E577</f>
      </c>
      <c r="BG577" s="6"/>
      <c r="BH577" s="3"/>
      <c r="BI577" s="6"/>
    </row>
    <row x14ac:dyDescent="0.25" r="578" customHeight="1" ht="12.75">
      <c r="A578" s="5" t="s">
        <v>593</v>
      </c>
      <c r="B578" s="3" t="s">
        <v>855</v>
      </c>
      <c r="C578" s="43" t="s">
        <v>869</v>
      </c>
      <c r="D578" s="34"/>
      <c r="E578" s="23">
        <v>0.209338</v>
      </c>
      <c r="F578" s="6">
        <v>1.3221077874060132</v>
      </c>
      <c r="G578" s="6">
        <v>1.1132319024735118</v>
      </c>
      <c r="H578" s="7">
        <v>161.00705079823064</v>
      </c>
      <c r="I578" s="6"/>
      <c r="J578" s="6">
        <v>2.1011007079460007</v>
      </c>
      <c r="K578" s="7"/>
      <c r="L578" s="6"/>
      <c r="M578" s="6"/>
      <c r="N578" s="23"/>
      <c r="O578" s="5"/>
      <c r="P578" s="6"/>
      <c r="Q578" s="6"/>
      <c r="R578" s="6"/>
      <c r="S578" s="6"/>
      <c r="T578" s="6"/>
      <c r="U578" s="6"/>
      <c r="V578" s="5"/>
      <c r="W578" s="6"/>
      <c r="X578" s="6">
        <f>E578*F578/100</f>
      </c>
      <c r="Y578" s="6">
        <f>E578*G578/100</f>
      </c>
      <c r="Z578" s="7">
        <f>E578*H578</f>
      </c>
      <c r="AA578" s="7">
        <f>E578*J578</f>
      </c>
      <c r="AB578" s="6">
        <f>E578*I578/100</f>
      </c>
      <c r="AC578" s="15">
        <f>X578+Y578+AB578</f>
      </c>
      <c r="AD578" s="6">
        <f>F578+G578+I578</f>
      </c>
      <c r="AE578" s="3"/>
      <c r="AF578" s="6">
        <f>SUM(AM578:BC578)</f>
      </c>
      <c r="AG578" s="5">
        <f>IF(SUM(AM578:AO578)&gt;0.7*AF578,1,0)</f>
      </c>
      <c r="AH578" s="5">
        <f>IF(AN578&gt;0.4*AF578,1,0)</f>
      </c>
      <c r="AI578" s="5">
        <f>IF(SUM(AP578:AQ578)&gt;0.3*AF578,1,0)</f>
      </c>
      <c r="AJ578" s="5">
        <f>IF(AQ578&gt;0.2*AF578,1,0)</f>
      </c>
      <c r="AK578" s="5">
        <f>IF(SUM(AR578:BC578)&gt;0.3*AF578,1,0)</f>
      </c>
      <c r="AL578" s="3"/>
      <c r="AM578" s="6">
        <f>(F578/100)*AM$41</f>
      </c>
      <c r="AN578" s="6">
        <f>(G578/100)*AN$41</f>
      </c>
      <c r="AO578" s="6">
        <f>(H578/1000000)*AO$41</f>
      </c>
      <c r="AP578" s="6">
        <f>(I578/100)*AP$41</f>
      </c>
      <c r="AQ578" s="6">
        <f>(J578/1000000)*AQ$41</f>
      </c>
      <c r="AR578" s="6">
        <f>(K578/100)*AR$41</f>
      </c>
      <c r="AS578" s="6">
        <f>(L578/100)*AS$41</f>
      </c>
      <c r="AT578" s="6">
        <f>(M578/100)*AT$41</f>
      </c>
      <c r="AU578" s="6">
        <f>(N578/100)*AU$41</f>
      </c>
      <c r="AV578" s="6">
        <f>(O578/1000000)*AV$41</f>
      </c>
      <c r="AW578" s="6">
        <f>(P578/100)*AW$41</f>
      </c>
      <c r="AX578" s="6">
        <f>(Q578/100)*AX$41</f>
      </c>
      <c r="AY578" s="6">
        <f>(R578/100)*AY$41</f>
      </c>
      <c r="AZ578" s="6">
        <f>(S578/100)*AZ$41</f>
      </c>
      <c r="BA578" s="6">
        <f>(T578/100)*BA$41</f>
      </c>
      <c r="BB578" s="6">
        <f>(U578/100)*BB$41</f>
      </c>
      <c r="BC578" s="6"/>
      <c r="BD578" s="3"/>
      <c r="BE578" s="3"/>
      <c r="BF578" s="7">
        <f>AF578*E578</f>
      </c>
      <c r="BG578" s="6"/>
      <c r="BH578" s="3"/>
      <c r="BI578" s="6"/>
    </row>
    <row x14ac:dyDescent="0.25" r="579" customHeight="1" ht="12.75">
      <c r="A579" s="5" t="s">
        <v>852</v>
      </c>
      <c r="B579" s="3" t="s">
        <v>855</v>
      </c>
      <c r="C579" s="43" t="s">
        <v>869</v>
      </c>
      <c r="D579" s="34"/>
      <c r="E579" s="23">
        <v>1.2469160000000001</v>
      </c>
      <c r="F579" s="6"/>
      <c r="G579" s="6">
        <v>0.15666859275203782</v>
      </c>
      <c r="H579" s="7">
        <v>13.489342746423977</v>
      </c>
      <c r="I579" s="6"/>
      <c r="J579" s="6">
        <v>0.503490133256771</v>
      </c>
      <c r="K579" s="7"/>
      <c r="L579" s="6"/>
      <c r="M579" s="6"/>
      <c r="N579" s="23"/>
      <c r="O579" s="5"/>
      <c r="P579" s="6"/>
      <c r="Q579" s="6"/>
      <c r="R579" s="6"/>
      <c r="S579" s="6"/>
      <c r="T579" s="6"/>
      <c r="U579" s="6"/>
      <c r="V579" s="5"/>
      <c r="W579" s="6"/>
      <c r="X579" s="6">
        <f>E579*F579/100</f>
      </c>
      <c r="Y579" s="6">
        <f>E579*G579/100</f>
      </c>
      <c r="Z579" s="7">
        <f>E579*H579</f>
      </c>
      <c r="AA579" s="7">
        <f>E579*J579</f>
      </c>
      <c r="AB579" s="6">
        <f>E579*I579/100</f>
      </c>
      <c r="AC579" s="15">
        <f>X579+Y579+AB579</f>
      </c>
      <c r="AD579" s="6">
        <f>F579+G579+I579</f>
      </c>
      <c r="AE579" s="3"/>
      <c r="AF579" s="6">
        <f>SUM(AM579:BC579)</f>
      </c>
      <c r="AG579" s="5">
        <f>IF(SUM(AM579:AO579)&gt;0.7*AF579,1,0)</f>
      </c>
      <c r="AH579" s="5">
        <f>IF(AN579&gt;0.4*AF579,1,0)</f>
      </c>
      <c r="AI579" s="5">
        <f>IF(SUM(AP579:AQ579)&gt;0.3*AF579,1,0)</f>
      </c>
      <c r="AJ579" s="5">
        <f>IF(AQ579&gt;0.2*AF579,1,0)</f>
      </c>
      <c r="AK579" s="5">
        <f>IF(SUM(AR579:BC579)&gt;0.3*AF579,1,0)</f>
      </c>
      <c r="AL579" s="3"/>
      <c r="AM579" s="6">
        <f>(F579/100)*AM$41</f>
      </c>
      <c r="AN579" s="6">
        <f>(G579/100)*AN$41</f>
      </c>
      <c r="AO579" s="6">
        <f>(H579/1000000)*AO$41</f>
      </c>
      <c r="AP579" s="6">
        <f>(I579/100)*AP$41</f>
      </c>
      <c r="AQ579" s="6">
        <f>(J579/1000000)*AQ$41</f>
      </c>
      <c r="AR579" s="6">
        <f>(K579/100)*AR$41</f>
      </c>
      <c r="AS579" s="6">
        <f>(L579/100)*AS$41</f>
      </c>
      <c r="AT579" s="6">
        <f>(M579/100)*AT$41</f>
      </c>
      <c r="AU579" s="6">
        <f>(N579/100)*AU$41</f>
      </c>
      <c r="AV579" s="6">
        <f>(O579/1000000)*AV$41</f>
      </c>
      <c r="AW579" s="6">
        <f>(P579/100)*AW$41</f>
      </c>
      <c r="AX579" s="6">
        <f>(Q579/100)*AX$41</f>
      </c>
      <c r="AY579" s="6">
        <f>(R579/100)*AY$41</f>
      </c>
      <c r="AZ579" s="6">
        <f>(S579/100)*AZ$41</f>
      </c>
      <c r="BA579" s="6">
        <f>(T579/100)*BA$41</f>
      </c>
      <c r="BB579" s="6">
        <f>(U579/100)*BB$41</f>
      </c>
      <c r="BC579" s="6"/>
      <c r="BD579" s="3"/>
      <c r="BE579" s="3"/>
      <c r="BF579" s="7">
        <f>AF579*E579</f>
      </c>
      <c r="BG579" s="6"/>
      <c r="BH579" s="3"/>
      <c r="BI579" s="6"/>
    </row>
    <row x14ac:dyDescent="0.25" r="580" customHeight="1" ht="12.75">
      <c r="A580" s="5" t="s">
        <v>143</v>
      </c>
      <c r="B580" s="3" t="s">
        <v>855</v>
      </c>
      <c r="C580" s="43" t="s">
        <v>1079</v>
      </c>
      <c r="D580" s="34"/>
      <c r="E580" s="6">
        <v>136.4</v>
      </c>
      <c r="F580" s="6">
        <v>0.48</v>
      </c>
      <c r="G580" s="6">
        <v>2.46</v>
      </c>
      <c r="H580" s="7"/>
      <c r="I580" s="6"/>
      <c r="J580" s="6"/>
      <c r="K580" s="7"/>
      <c r="L580" s="6"/>
      <c r="M580" s="6"/>
      <c r="N580" s="23"/>
      <c r="O580" s="5"/>
      <c r="P580" s="6"/>
      <c r="Q580" s="6"/>
      <c r="R580" s="6"/>
      <c r="S580" s="6"/>
      <c r="T580" s="6"/>
      <c r="U580" s="6"/>
      <c r="V580" s="5"/>
      <c r="W580" s="6"/>
      <c r="X580" s="6">
        <f>E580*F580/100</f>
      </c>
      <c r="Y580" s="6">
        <f>E580*G580/100</f>
      </c>
      <c r="Z580" s="7">
        <f>E580*H580</f>
      </c>
      <c r="AA580" s="7">
        <f>E580*J580</f>
      </c>
      <c r="AB580" s="6">
        <f>E580*I580/100</f>
      </c>
      <c r="AC580" s="15">
        <f>X580+Y580+AB580</f>
      </c>
      <c r="AD580" s="6">
        <f>F580+G580+I580</f>
      </c>
      <c r="AE580" s="3"/>
      <c r="AF580" s="6">
        <f>SUM(AM580:BC580)</f>
      </c>
      <c r="AG580" s="5">
        <f>IF(SUM(AM580:AO580)&gt;0.7*AF580,1,0)</f>
      </c>
      <c r="AH580" s="5">
        <f>IF(AN580&gt;0.4*AF580,1,0)</f>
      </c>
      <c r="AI580" s="5">
        <f>IF(SUM(AP580:AQ580)&gt;0.3*AF580,1,0)</f>
      </c>
      <c r="AJ580" s="5">
        <f>IF(AQ580&gt;0.2*AF580,1,0)</f>
      </c>
      <c r="AK580" s="5">
        <f>IF(SUM(AR580:BC580)&gt;0.3*AF580,1,0)</f>
      </c>
      <c r="AL580" s="3"/>
      <c r="AM580" s="6">
        <f>(F580/100)*AM$41</f>
      </c>
      <c r="AN580" s="6">
        <f>(G580/100)*AN$41</f>
      </c>
      <c r="AO580" s="6">
        <f>(H580/1000000)*AO$41</f>
      </c>
      <c r="AP580" s="6">
        <f>(I580/100)*AP$41</f>
      </c>
      <c r="AQ580" s="6">
        <f>(J580/1000000)*AQ$41</f>
      </c>
      <c r="AR580" s="6">
        <f>(K580/100)*AR$41</f>
      </c>
      <c r="AS580" s="6">
        <f>(L580/100)*AS$41</f>
      </c>
      <c r="AT580" s="6">
        <f>(M580/100)*AT$41</f>
      </c>
      <c r="AU580" s="6">
        <f>(N580/100)*AU$41</f>
      </c>
      <c r="AV580" s="6">
        <f>(O580/1000000)*AV$41</f>
      </c>
      <c r="AW580" s="6">
        <f>(P580/100)*AW$41</f>
      </c>
      <c r="AX580" s="6">
        <f>(Q580/100)*AX$41</f>
      </c>
      <c r="AY580" s="6">
        <f>(R580/100)*AY$41</f>
      </c>
      <c r="AZ580" s="6">
        <f>(S580/100)*AZ$41</f>
      </c>
      <c r="BA580" s="6">
        <f>(T580/100)*BA$41</f>
      </c>
      <c r="BB580" s="6">
        <f>(U580/100)*BB$41</f>
      </c>
      <c r="BC580" s="6"/>
      <c r="BD580" s="3"/>
      <c r="BE580" s="3"/>
      <c r="BF580" s="7">
        <f>AF580*E580</f>
      </c>
      <c r="BG580" s="6"/>
      <c r="BH580" s="3"/>
      <c r="BI580" s="6"/>
    </row>
    <row x14ac:dyDescent="0.25" r="581" customHeight="1" ht="12.75">
      <c r="A581" s="5" t="s">
        <v>337</v>
      </c>
      <c r="B581" s="3" t="s">
        <v>855</v>
      </c>
      <c r="C581" s="43" t="s">
        <v>1079</v>
      </c>
      <c r="D581" s="34"/>
      <c r="E581" s="5">
        <v>36</v>
      </c>
      <c r="F581" s="6"/>
      <c r="G581" s="6">
        <v>3.3</v>
      </c>
      <c r="H581" s="5">
        <v>29</v>
      </c>
      <c r="I581" s="6">
        <v>0.69</v>
      </c>
      <c r="J581" s="6"/>
      <c r="K581" s="7"/>
      <c r="L581" s="6"/>
      <c r="M581" s="6"/>
      <c r="N581" s="23"/>
      <c r="O581" s="5"/>
      <c r="P581" s="6"/>
      <c r="Q581" s="6"/>
      <c r="R581" s="6"/>
      <c r="S581" s="6"/>
      <c r="T581" s="6"/>
      <c r="U581" s="6"/>
      <c r="V581" s="5"/>
      <c r="W581" s="6"/>
      <c r="X581" s="6">
        <f>E581*F581/100</f>
      </c>
      <c r="Y581" s="6">
        <f>E581*G581/100</f>
      </c>
      <c r="Z581" s="7">
        <f>E581*H581</f>
      </c>
      <c r="AA581" s="7">
        <f>E581*J581</f>
      </c>
      <c r="AB581" s="6">
        <f>E581*I581/100</f>
      </c>
      <c r="AC581" s="15">
        <f>X581+Y581+AB581</f>
      </c>
      <c r="AD581" s="6">
        <f>F581+G581+I581</f>
      </c>
      <c r="AE581" s="3"/>
      <c r="AF581" s="6">
        <f>SUM(AM581:BC581)</f>
      </c>
      <c r="AG581" s="5">
        <f>IF(SUM(AM581:AO581)&gt;0.7*AF581,1,0)</f>
      </c>
      <c r="AH581" s="5">
        <f>IF(AN581&gt;0.4*AF581,1,0)</f>
      </c>
      <c r="AI581" s="5">
        <f>IF(SUM(AP581:AQ581)&gt;0.3*AF581,1,0)</f>
      </c>
      <c r="AJ581" s="5">
        <f>IF(AQ581&gt;0.2*AF581,1,0)</f>
      </c>
      <c r="AK581" s="5">
        <f>IF(SUM(AR581:BC581)&gt;0.3*AF581,1,0)</f>
      </c>
      <c r="AL581" s="3"/>
      <c r="AM581" s="6">
        <f>(F581/100)*AM$41</f>
      </c>
      <c r="AN581" s="6">
        <f>(G581/100)*AN$41</f>
      </c>
      <c r="AO581" s="6">
        <f>(H581/1000000)*AO$41</f>
      </c>
      <c r="AP581" s="6">
        <f>(I581/100)*AP$41</f>
      </c>
      <c r="AQ581" s="6">
        <f>(J581/1000000)*AQ$41</f>
      </c>
      <c r="AR581" s="6">
        <f>(K581/100)*AR$41</f>
      </c>
      <c r="AS581" s="6">
        <f>(L581/100)*AS$41</f>
      </c>
      <c r="AT581" s="6">
        <f>(M581/100)*AT$41</f>
      </c>
      <c r="AU581" s="6">
        <f>(N581/100)*AU$41</f>
      </c>
      <c r="AV581" s="6">
        <f>(O581/1000000)*AV$41</f>
      </c>
      <c r="AW581" s="6">
        <f>(P581/100)*AW$41</f>
      </c>
      <c r="AX581" s="6">
        <f>(Q581/100)*AX$41</f>
      </c>
      <c r="AY581" s="6">
        <f>(R581/100)*AY$41</f>
      </c>
      <c r="AZ581" s="6">
        <f>(S581/100)*AZ$41</f>
      </c>
      <c r="BA581" s="6">
        <f>(T581/100)*BA$41</f>
      </c>
      <c r="BB581" s="6">
        <f>(U581/100)*BB$41</f>
      </c>
      <c r="BC581" s="6"/>
      <c r="BD581" s="3"/>
      <c r="BE581" s="3"/>
      <c r="BF581" s="7">
        <f>AF581*E581</f>
      </c>
      <c r="BG581" s="6"/>
      <c r="BH581" s="3"/>
      <c r="BI581" s="6"/>
    </row>
    <row x14ac:dyDescent="0.25" r="582" customHeight="1" ht="12.75">
      <c r="A582" s="5" t="s">
        <v>531</v>
      </c>
      <c r="B582" s="3" t="s">
        <v>855</v>
      </c>
      <c r="C582" s="43" t="s">
        <v>1079</v>
      </c>
      <c r="D582" s="34"/>
      <c r="E582" s="6">
        <v>20.416</v>
      </c>
      <c r="F582" s="6">
        <v>1.8</v>
      </c>
      <c r="G582" s="6">
        <v>1.4</v>
      </c>
      <c r="H582" s="6">
        <v>16.6</v>
      </c>
      <c r="I582" s="6"/>
      <c r="J582" s="6"/>
      <c r="K582" s="7"/>
      <c r="L582" s="6"/>
      <c r="M582" s="6"/>
      <c r="N582" s="23"/>
      <c r="O582" s="5"/>
      <c r="P582" s="6"/>
      <c r="Q582" s="6"/>
      <c r="R582" s="6"/>
      <c r="S582" s="6"/>
      <c r="T582" s="6"/>
      <c r="U582" s="6"/>
      <c r="V582" s="5"/>
      <c r="W582" s="6"/>
      <c r="X582" s="6">
        <f>E582*F582/100</f>
      </c>
      <c r="Y582" s="6">
        <f>E582*G582/100</f>
      </c>
      <c r="Z582" s="7">
        <f>E582*H582</f>
      </c>
      <c r="AA582" s="7">
        <f>E582*J582</f>
      </c>
      <c r="AB582" s="6">
        <f>E582*I582/100</f>
      </c>
      <c r="AC582" s="15">
        <f>X582+Y582+AB582</f>
      </c>
      <c r="AD582" s="6">
        <f>F582+G582+I582</f>
      </c>
      <c r="AE582" s="3"/>
      <c r="AF582" s="6">
        <f>SUM(AM582:BC582)</f>
      </c>
      <c r="AG582" s="5">
        <f>IF(SUM(AM582:AO582)&gt;0.7*AF582,1,0)</f>
      </c>
      <c r="AH582" s="5">
        <f>IF(AN582&gt;0.4*AF582,1,0)</f>
      </c>
      <c r="AI582" s="5">
        <f>IF(SUM(AP582:AQ582)&gt;0.3*AF582,1,0)</f>
      </c>
      <c r="AJ582" s="5">
        <f>IF(AQ582&gt;0.2*AF582,1,0)</f>
      </c>
      <c r="AK582" s="5">
        <f>IF(SUM(AR582:BC582)&gt;0.3*AF582,1,0)</f>
      </c>
      <c r="AL582" s="3"/>
      <c r="AM582" s="6">
        <f>(F582/100)*AM$41</f>
      </c>
      <c r="AN582" s="6">
        <f>(G582/100)*AN$41</f>
      </c>
      <c r="AO582" s="6">
        <f>(H582/1000000)*AO$41</f>
      </c>
      <c r="AP582" s="6">
        <f>(I582/100)*AP$41</f>
      </c>
      <c r="AQ582" s="6">
        <f>(J582/1000000)*AQ$41</f>
      </c>
      <c r="AR582" s="6">
        <f>(K582/100)*AR$41</f>
      </c>
      <c r="AS582" s="6">
        <f>(L582/100)*AS$41</f>
      </c>
      <c r="AT582" s="6">
        <f>(M582/100)*AT$41</f>
      </c>
      <c r="AU582" s="6">
        <f>(N582/100)*AU$41</f>
      </c>
      <c r="AV582" s="6">
        <f>(O582/1000000)*AV$41</f>
      </c>
      <c r="AW582" s="6">
        <f>(P582/100)*AW$41</f>
      </c>
      <c r="AX582" s="6">
        <f>(Q582/100)*AX$41</f>
      </c>
      <c r="AY582" s="6">
        <f>(R582/100)*AY$41</f>
      </c>
      <c r="AZ582" s="6">
        <f>(S582/100)*AZ$41</f>
      </c>
      <c r="BA582" s="6">
        <f>(T582/100)*BA$41</f>
      </c>
      <c r="BB582" s="6">
        <f>(U582/100)*BB$41</f>
      </c>
      <c r="BC582" s="6"/>
      <c r="BD582" s="3"/>
      <c r="BE582" s="3"/>
      <c r="BF582" s="7">
        <f>AF582*E582</f>
      </c>
      <c r="BG582" s="6"/>
      <c r="BH582" s="3"/>
      <c r="BI582" s="6"/>
    </row>
    <row x14ac:dyDescent="0.25" r="583" customHeight="1" ht="12.75">
      <c r="A583" s="5" t="s">
        <v>743</v>
      </c>
      <c r="B583" s="3" t="s">
        <v>855</v>
      </c>
      <c r="C583" s="43" t="s">
        <v>1079</v>
      </c>
      <c r="D583" s="34"/>
      <c r="E583" s="23">
        <v>1.58223</v>
      </c>
      <c r="F583" s="6">
        <v>0.52</v>
      </c>
      <c r="G583" s="6"/>
      <c r="H583" s="6">
        <v>48.05</v>
      </c>
      <c r="I583" s="6">
        <v>1.49</v>
      </c>
      <c r="J583" s="6"/>
      <c r="K583" s="7"/>
      <c r="L583" s="6"/>
      <c r="M583" s="6"/>
      <c r="N583" s="23"/>
      <c r="O583" s="5"/>
      <c r="P583" s="6"/>
      <c r="Q583" s="6"/>
      <c r="R583" s="6"/>
      <c r="S583" s="6"/>
      <c r="T583" s="6"/>
      <c r="U583" s="6"/>
      <c r="V583" s="6">
        <v>0.12</v>
      </c>
      <c r="W583" s="6" t="s">
        <v>980</v>
      </c>
      <c r="X583" s="6">
        <f>E583*F583/100</f>
      </c>
      <c r="Y583" s="6">
        <f>E583*G583/100</f>
      </c>
      <c r="Z583" s="7">
        <f>E583*H583</f>
      </c>
      <c r="AA583" s="7">
        <f>E583*J583</f>
      </c>
      <c r="AB583" s="6">
        <f>E583*I583/100</f>
      </c>
      <c r="AC583" s="15">
        <f>X583+Y583+AB583</f>
      </c>
      <c r="AD583" s="6">
        <f>F583+G583+I583</f>
      </c>
      <c r="AE583" s="3"/>
      <c r="AF583" s="6">
        <f>SUM(AM583:BC583)</f>
      </c>
      <c r="AG583" s="5">
        <f>IF(SUM(AM583:AO583)&gt;0.7*AF583,1,0)</f>
      </c>
      <c r="AH583" s="5">
        <f>IF(AN583&gt;0.4*AF583,1,0)</f>
      </c>
      <c r="AI583" s="5">
        <f>IF(SUM(AP583:AQ583)&gt;0.3*AF583,1,0)</f>
      </c>
      <c r="AJ583" s="5">
        <f>IF(AQ583&gt;0.2*AF583,1,0)</f>
      </c>
      <c r="AK583" s="5">
        <f>IF(SUM(AR583:BC583)&gt;0.3*AF583,1,0)</f>
      </c>
      <c r="AL583" s="3"/>
      <c r="AM583" s="6">
        <f>(F583/100)*AM$41</f>
      </c>
      <c r="AN583" s="6">
        <f>(G583/100)*AN$41</f>
      </c>
      <c r="AO583" s="6">
        <f>(H583/1000000)*AO$41</f>
      </c>
      <c r="AP583" s="6">
        <f>(I583/100)*AP$41</f>
      </c>
      <c r="AQ583" s="6">
        <f>(J583/1000000)*AQ$41</f>
      </c>
      <c r="AR583" s="6">
        <f>(K583/100)*AR$41</f>
      </c>
      <c r="AS583" s="6">
        <f>(L583/100)*AS$41</f>
      </c>
      <c r="AT583" s="6">
        <f>(M583/100)*AT$41</f>
      </c>
      <c r="AU583" s="6">
        <f>(N583/100)*AU$41</f>
      </c>
      <c r="AV583" s="6">
        <f>(O583/1000000)*AV$41</f>
      </c>
      <c r="AW583" s="6">
        <f>(P583/100)*AW$41</f>
      </c>
      <c r="AX583" s="6">
        <f>(Q583/100)*AX$41</f>
      </c>
      <c r="AY583" s="6">
        <f>(R583/100)*AY$41</f>
      </c>
      <c r="AZ583" s="6">
        <f>(S583/100)*AZ$41</f>
      </c>
      <c r="BA583" s="6">
        <f>(T583/100)*BA$41</f>
      </c>
      <c r="BB583" s="6">
        <f>(U583/100)*BB$41</f>
      </c>
      <c r="BC583" s="6">
        <f>(V583/100)*(11.39*2204.6)</f>
      </c>
      <c r="BD583" s="3" t="s">
        <v>981</v>
      </c>
      <c r="BE583" s="3"/>
      <c r="BF583" s="7">
        <f>AF583*E583</f>
      </c>
      <c r="BG583" s="6"/>
      <c r="BH583" s="3"/>
      <c r="BI583" s="6"/>
    </row>
    <row x14ac:dyDescent="0.25" r="584" customHeight="1" ht="12.75">
      <c r="A584" s="5" t="s">
        <v>759</v>
      </c>
      <c r="B584" s="3" t="s">
        <v>855</v>
      </c>
      <c r="C584" s="43" t="s">
        <v>1018</v>
      </c>
      <c r="D584" s="34"/>
      <c r="E584" s="6">
        <v>80.36</v>
      </c>
      <c r="F584" s="6"/>
      <c r="G584" s="23">
        <v>0.12005226480836236</v>
      </c>
      <c r="H584" s="7"/>
      <c r="I584" s="23">
        <v>0.05142670482827277</v>
      </c>
      <c r="J584" s="6"/>
      <c r="K584" s="7"/>
      <c r="L584" s="6"/>
      <c r="M584" s="6"/>
      <c r="N584" s="23">
        <v>0.10314659034345446</v>
      </c>
      <c r="O584" s="5"/>
      <c r="P584" s="6"/>
      <c r="Q584" s="6"/>
      <c r="R584" s="6"/>
      <c r="S584" s="6"/>
      <c r="T584" s="6"/>
      <c r="U584" s="6"/>
      <c r="V584" s="5"/>
      <c r="W584" s="6"/>
      <c r="X584" s="6">
        <f>E584*F584/100</f>
      </c>
      <c r="Y584" s="6">
        <f>E584*G584/100</f>
      </c>
      <c r="Z584" s="7">
        <f>E584*H584</f>
      </c>
      <c r="AA584" s="7">
        <f>E584*J584</f>
      </c>
      <c r="AB584" s="6">
        <f>E584*I584/100</f>
      </c>
      <c r="AC584" s="15">
        <f>X584+Y584+AB584</f>
      </c>
      <c r="AD584" s="6">
        <f>F584+G584+I584</f>
      </c>
      <c r="AE584" s="3"/>
      <c r="AF584" s="6">
        <f>SUM(AM584:BC584)</f>
      </c>
      <c r="AG584" s="5">
        <f>IF(SUM(AM584:AO584)&gt;0.7*AF584,1,0)</f>
      </c>
      <c r="AH584" s="5">
        <f>IF(AN584&gt;0.4*AF584,1,0)</f>
      </c>
      <c r="AI584" s="5">
        <f>IF(SUM(AP584:AQ584)&gt;0.3*AF584,1,0)</f>
      </c>
      <c r="AJ584" s="5">
        <f>IF(AQ584&gt;0.2*AF584,1,0)</f>
      </c>
      <c r="AK584" s="5">
        <f>IF(SUM(AR584:BC584)&gt;0.3*AF584,1,0)</f>
      </c>
      <c r="AL584" s="3"/>
      <c r="AM584" s="6">
        <f>(F584/100)*AM$41</f>
      </c>
      <c r="AN584" s="6">
        <f>(G584/100)*AN$41</f>
      </c>
      <c r="AO584" s="6">
        <f>(H584/1000000)*AO$41</f>
      </c>
      <c r="AP584" s="6">
        <f>(I584/100)*AP$41</f>
      </c>
      <c r="AQ584" s="6">
        <f>(J584/1000000)*AQ$41</f>
      </c>
      <c r="AR584" s="6">
        <f>(K584/100)*AR$41</f>
      </c>
      <c r="AS584" s="6">
        <f>(L584/100)*AS$41</f>
      </c>
      <c r="AT584" s="6">
        <f>(M584/100)*AT$41</f>
      </c>
      <c r="AU584" s="6">
        <f>(N584/100)*AU$41</f>
      </c>
      <c r="AV584" s="6">
        <f>(O584/1000000)*AV$41</f>
      </c>
      <c r="AW584" s="6">
        <f>(P584/100)*AW$41</f>
      </c>
      <c r="AX584" s="6">
        <f>(Q584/100)*AX$41</f>
      </c>
      <c r="AY584" s="6">
        <f>(R584/100)*AY$41</f>
      </c>
      <c r="AZ584" s="6">
        <f>(S584/100)*AZ$41</f>
      </c>
      <c r="BA584" s="6">
        <f>(T584/100)*BA$41</f>
      </c>
      <c r="BB584" s="6">
        <f>(U584/100)*BB$41</f>
      </c>
      <c r="BC584" s="6"/>
      <c r="BD584" s="3"/>
      <c r="BE584" s="3"/>
      <c r="BF584" s="7">
        <f>AF584*E584</f>
      </c>
      <c r="BG584" s="6"/>
      <c r="BH584" s="3"/>
      <c r="BI584" s="6"/>
    </row>
    <row x14ac:dyDescent="0.25" r="585" customHeight="1" ht="12.75">
      <c r="A585" s="5" t="s">
        <v>390</v>
      </c>
      <c r="B585" s="3" t="s">
        <v>855</v>
      </c>
      <c r="C585" s="43" t="s">
        <v>1080</v>
      </c>
      <c r="D585" s="34"/>
      <c r="E585" s="23">
        <v>7.390939</v>
      </c>
      <c r="F585" s="6">
        <v>2.2</v>
      </c>
      <c r="G585" s="6">
        <v>1.1</v>
      </c>
      <c r="H585" s="6">
        <v>66.5</v>
      </c>
      <c r="I585" s="6"/>
      <c r="J585" s="7">
        <v>4.8581083</v>
      </c>
      <c r="K585" s="7"/>
      <c r="L585" s="6"/>
      <c r="M585" s="6"/>
      <c r="N585" s="23"/>
      <c r="O585" s="5"/>
      <c r="P585" s="6"/>
      <c r="Q585" s="6"/>
      <c r="R585" s="6"/>
      <c r="S585" s="6"/>
      <c r="T585" s="6"/>
      <c r="U585" s="6"/>
      <c r="V585" s="5"/>
      <c r="W585" s="6"/>
      <c r="X585" s="6">
        <f>E585*F585/100</f>
      </c>
      <c r="Y585" s="6">
        <f>E585*G585/100</f>
      </c>
      <c r="Z585" s="7">
        <f>E585*H585</f>
      </c>
      <c r="AA585" s="7">
        <f>E585*J585</f>
      </c>
      <c r="AB585" s="6">
        <f>E585*I585/100</f>
      </c>
      <c r="AC585" s="15">
        <f>X585+Y585+AB585</f>
      </c>
      <c r="AD585" s="6">
        <f>F585+G585+I585</f>
      </c>
      <c r="AE585" s="3"/>
      <c r="AF585" s="6">
        <f>SUM(AM585:BC585)</f>
      </c>
      <c r="AG585" s="5">
        <f>IF(SUM(AM585:AO585)&gt;0.7*AF585,1,0)</f>
      </c>
      <c r="AH585" s="5">
        <f>IF(AN585&gt;0.4*AF585,1,0)</f>
      </c>
      <c r="AI585" s="5">
        <f>IF(SUM(AP585:AQ585)&gt;0.3*AF585,1,0)</f>
      </c>
      <c r="AJ585" s="5">
        <f>IF(AQ585&gt;0.2*AF585,1,0)</f>
      </c>
      <c r="AK585" s="5">
        <f>IF(SUM(AR585:BC585)&gt;0.3*AF585,1,0)</f>
      </c>
      <c r="AL585" s="3"/>
      <c r="AM585" s="6">
        <f>(F585/100)*AM$41</f>
      </c>
      <c r="AN585" s="6">
        <f>(G585/100)*AN$41</f>
      </c>
      <c r="AO585" s="6">
        <f>(H585/1000000)*AO$41</f>
      </c>
      <c r="AP585" s="6">
        <f>(I585/100)*AP$41</f>
      </c>
      <c r="AQ585" s="6">
        <f>(J585/1000000)*AQ$41</f>
      </c>
      <c r="AR585" s="6">
        <f>(K585/100)*AR$41</f>
      </c>
      <c r="AS585" s="6">
        <f>(L585/100)*AS$41</f>
      </c>
      <c r="AT585" s="6">
        <f>(M585/100)*AT$41</f>
      </c>
      <c r="AU585" s="6">
        <f>(N585/100)*AU$41</f>
      </c>
      <c r="AV585" s="6">
        <f>(O585/1000000)*AV$41</f>
      </c>
      <c r="AW585" s="6">
        <f>(P585/100)*AW$41</f>
      </c>
      <c r="AX585" s="6">
        <f>(Q585/100)*AX$41</f>
      </c>
      <c r="AY585" s="6">
        <f>(R585/100)*AY$41</f>
      </c>
      <c r="AZ585" s="6">
        <f>(S585/100)*AZ$41</f>
      </c>
      <c r="BA585" s="6">
        <f>(T585/100)*BA$41</f>
      </c>
      <c r="BB585" s="6">
        <f>(U585/100)*BB$41</f>
      </c>
      <c r="BC585" s="6"/>
      <c r="BD585" s="3"/>
      <c r="BE585" s="3"/>
      <c r="BF585" s="7">
        <f>AF585*E585</f>
      </c>
      <c r="BG585" s="6"/>
      <c r="BH585" s="3"/>
      <c r="BI585" s="6"/>
    </row>
    <row x14ac:dyDescent="0.25" r="586" customHeight="1" ht="12.75">
      <c r="A586" s="5" t="s">
        <v>497</v>
      </c>
      <c r="B586" s="3" t="s">
        <v>855</v>
      </c>
      <c r="C586" s="43" t="s">
        <v>1016</v>
      </c>
      <c r="D586" s="34" t="s">
        <v>1017</v>
      </c>
      <c r="E586" s="6">
        <v>63.97</v>
      </c>
      <c r="F586" s="6">
        <v>0.21</v>
      </c>
      <c r="G586" s="6">
        <v>0.64</v>
      </c>
      <c r="H586" s="6">
        <v>23.63</v>
      </c>
      <c r="I586" s="6">
        <v>0.12</v>
      </c>
      <c r="J586" s="6"/>
      <c r="K586" s="7"/>
      <c r="L586" s="6"/>
      <c r="M586" s="6"/>
      <c r="N586" s="23">
        <v>0.02245</v>
      </c>
      <c r="O586" s="6">
        <v>5.07</v>
      </c>
      <c r="P586" s="6"/>
      <c r="Q586" s="6"/>
      <c r="R586" s="6"/>
      <c r="S586" s="6"/>
      <c r="T586" s="6"/>
      <c r="U586" s="6"/>
      <c r="V586" s="15">
        <v>0.011609</v>
      </c>
      <c r="W586" s="6" t="s">
        <v>932</v>
      </c>
      <c r="X586" s="6">
        <f>E586*F586/100</f>
      </c>
      <c r="Y586" s="6">
        <f>E586*G586/100</f>
      </c>
      <c r="Z586" s="7">
        <f>E586*H586</f>
      </c>
      <c r="AA586" s="7">
        <f>E586*J586</f>
      </c>
      <c r="AB586" s="6">
        <f>E586*I586/100</f>
      </c>
      <c r="AC586" s="15">
        <f>X586+Y586+AB586</f>
      </c>
      <c r="AD586" s="6">
        <f>F586+G586+I586</f>
      </c>
      <c r="AE586" s="3"/>
      <c r="AF586" s="6">
        <f>SUM(AM586:BC586)</f>
      </c>
      <c r="AG586" s="5">
        <f>IF(SUM(AM586:AO586)&gt;0.7*AF586,1,0)</f>
      </c>
      <c r="AH586" s="5">
        <f>IF(AN586&gt;0.4*AF586,1,0)</f>
      </c>
      <c r="AI586" s="5">
        <f>IF(SUM(AP586:AQ586)&gt;0.3*AF586,1,0)</f>
      </c>
      <c r="AJ586" s="5">
        <f>IF(AQ586&gt;0.2*AF586,1,0)</f>
      </c>
      <c r="AK586" s="5">
        <f>IF(SUM(AR586:BC586)&gt;0.3*AF586,1,0)</f>
      </c>
      <c r="AL586" s="3"/>
      <c r="AM586" s="6">
        <f>(F586/100)*AM$41</f>
      </c>
      <c r="AN586" s="6">
        <f>(G586/100)*AN$41</f>
      </c>
      <c r="AO586" s="6">
        <f>(H586/1000000)*AO$41</f>
      </c>
      <c r="AP586" s="6">
        <f>(I586/100)*AP$41</f>
      </c>
      <c r="AQ586" s="6">
        <f>(J586/1000000)*AQ$41</f>
      </c>
      <c r="AR586" s="6">
        <f>(K586/100)*AR$41</f>
      </c>
      <c r="AS586" s="6">
        <f>(L586/100)*AS$41</f>
      </c>
      <c r="AT586" s="6">
        <f>(M586/100)*AT$41</f>
      </c>
      <c r="AU586" s="6">
        <f>(N586/100)*AU$41</f>
      </c>
      <c r="AV586" s="6">
        <f>(O586/1000000)*AV$41</f>
      </c>
      <c r="AW586" s="6">
        <f>(P586/100)*AW$41</f>
      </c>
      <c r="AX586" s="6">
        <f>(Q586/100)*AX$41</f>
      </c>
      <c r="AY586" s="6">
        <f>(R586/100)*AY$41</f>
      </c>
      <c r="AZ586" s="6">
        <f>(S586/100)*AZ$41</f>
      </c>
      <c r="BA586" s="6">
        <f>(T586/100)*BA$41</f>
      </c>
      <c r="BB586" s="6">
        <f>(U586/100)*BB$41</f>
      </c>
      <c r="BC586" s="6">
        <f>(V586/100)*1940</f>
      </c>
      <c r="BD586" s="3" t="s">
        <v>933</v>
      </c>
      <c r="BE586" s="3"/>
      <c r="BF586" s="7">
        <f>AF586*E586</f>
      </c>
      <c r="BG586" s="6"/>
      <c r="BH586" s="3"/>
      <c r="BI586" s="6"/>
    </row>
    <row x14ac:dyDescent="0.25" r="587" customHeight="1" ht="12.75">
      <c r="A587" s="5" t="s">
        <v>71</v>
      </c>
      <c r="B587" s="3" t="s">
        <v>855</v>
      </c>
      <c r="C587" s="43" t="s">
        <v>1015</v>
      </c>
      <c r="D587" s="34"/>
      <c r="E587" s="6">
        <v>424.53</v>
      </c>
      <c r="F587" s="6"/>
      <c r="G587" s="6">
        <v>0.6637825359809671</v>
      </c>
      <c r="H587" s="7"/>
      <c r="I587" s="6">
        <v>0.6545080441900455</v>
      </c>
      <c r="J587" s="6"/>
      <c r="K587" s="7"/>
      <c r="L587" s="6"/>
      <c r="M587" s="23">
        <v>0.05423293995712906</v>
      </c>
      <c r="N587" s="23"/>
      <c r="O587" s="5"/>
      <c r="P587" s="6"/>
      <c r="Q587" s="6"/>
      <c r="R587" s="6"/>
      <c r="S587" s="6"/>
      <c r="T587" s="6"/>
      <c r="U587" s="6"/>
      <c r="V587" s="6">
        <v>3.116548889359998</v>
      </c>
      <c r="W587" s="6" t="s">
        <v>1021</v>
      </c>
      <c r="X587" s="6">
        <f>E587*F587/100</f>
      </c>
      <c r="Y587" s="6">
        <f>E587*G587/100</f>
      </c>
      <c r="Z587" s="7">
        <f>E587*H587</f>
      </c>
      <c r="AA587" s="7">
        <f>E587*J587</f>
      </c>
      <c r="AB587" s="6">
        <f>E587*I587/100</f>
      </c>
      <c r="AC587" s="15">
        <f>X587+Y587+AB587</f>
      </c>
      <c r="AD587" s="6">
        <f>F587+G587+I587</f>
      </c>
      <c r="AE587" s="3"/>
      <c r="AF587" s="6">
        <f>SUM(AM587:BC587)</f>
      </c>
      <c r="AG587" s="5">
        <f>IF(SUM(AM587:AO587)&gt;0.7*AF587,1,0)</f>
      </c>
      <c r="AH587" s="5">
        <f>IF(AN587&gt;0.4*AF587,1,0)</f>
      </c>
      <c r="AI587" s="5">
        <f>IF(SUM(AP587:AQ587)&gt;0.3*AF587,1,0)</f>
      </c>
      <c r="AJ587" s="5">
        <f>IF(AQ587&gt;0.2*AF587,1,0)</f>
      </c>
      <c r="AK587" s="5">
        <f>IF(SUM(AR587:BC587)&gt;0.3*AF587,1,0)</f>
      </c>
      <c r="AL587" s="3"/>
      <c r="AM587" s="6">
        <f>(F587/100)*AM$41</f>
      </c>
      <c r="AN587" s="6">
        <f>(G587/100)*AN$41</f>
      </c>
      <c r="AO587" s="6">
        <f>(H587/1000000)*AO$41</f>
      </c>
      <c r="AP587" s="6">
        <f>(I587/100)*AP$41</f>
      </c>
      <c r="AQ587" s="6">
        <f>(J587/1000000)*AQ$41</f>
      </c>
      <c r="AR587" s="6">
        <f>(K587/100)*AR$41</f>
      </c>
      <c r="AS587" s="6">
        <f>(L587/100)*AS$41</f>
      </c>
      <c r="AT587" s="6">
        <f>(M587/100)*AT$41</f>
      </c>
      <c r="AU587" s="6">
        <f>(N587/100)*AU$41</f>
      </c>
      <c r="AV587" s="6">
        <f>(O587/1000000)*AV$41</f>
      </c>
      <c r="AW587" s="6">
        <f>(P587/100)*AW$41</f>
      </c>
      <c r="AX587" s="6">
        <f>(Q587/100)*AX$41</f>
      </c>
      <c r="AY587" s="6">
        <f>(R587/100)*AY$41</f>
      </c>
      <c r="AZ587" s="6">
        <f>(S587/100)*AZ$41</f>
      </c>
      <c r="BA587" s="6">
        <f>(T587/100)*BA$41</f>
      </c>
      <c r="BB587" s="6">
        <f>(U587/100)*BB$41</f>
      </c>
      <c r="BC587" s="6">
        <f>(V587/100)*3.79</f>
      </c>
      <c r="BD587" s="3" t="s">
        <v>1022</v>
      </c>
      <c r="BE587" s="3"/>
      <c r="BF587" s="7">
        <f>AF587*E587</f>
      </c>
      <c r="BG587" s="6"/>
      <c r="BH587" s="3"/>
      <c r="BI587" s="6"/>
    </row>
    <row x14ac:dyDescent="0.25" r="588" customHeight="1" ht="12.75">
      <c r="A588" s="5" t="s">
        <v>176</v>
      </c>
      <c r="B588" s="3" t="s">
        <v>855</v>
      </c>
      <c r="C588" s="43" t="s">
        <v>1015</v>
      </c>
      <c r="D588" s="34"/>
      <c r="E588" s="6">
        <v>2.19</v>
      </c>
      <c r="F588" s="6">
        <v>2.6</v>
      </c>
      <c r="G588" s="6">
        <v>10.4</v>
      </c>
      <c r="H588" s="7"/>
      <c r="I588" s="6"/>
      <c r="J588" s="6"/>
      <c r="K588" s="7"/>
      <c r="L588" s="6"/>
      <c r="M588" s="6"/>
      <c r="N588" s="23"/>
      <c r="O588" s="5"/>
      <c r="P588" s="6"/>
      <c r="Q588" s="6"/>
      <c r="R588" s="6"/>
      <c r="S588" s="6"/>
      <c r="T588" s="6"/>
      <c r="U588" s="6"/>
      <c r="V588" s="5"/>
      <c r="W588" s="6"/>
      <c r="X588" s="6">
        <f>E588*F588/100</f>
      </c>
      <c r="Y588" s="6">
        <f>E588*G588/100</f>
      </c>
      <c r="Z588" s="7">
        <f>E588*H588</f>
      </c>
      <c r="AA588" s="7">
        <f>E588*J588</f>
      </c>
      <c r="AB588" s="6">
        <f>E588*I588/100</f>
      </c>
      <c r="AC588" s="15">
        <f>X588+Y588+AB588</f>
      </c>
      <c r="AD588" s="6">
        <f>F588+G588+I588</f>
      </c>
      <c r="AE588" s="3"/>
      <c r="AF588" s="6">
        <f>SUM(AM588:BC588)</f>
      </c>
      <c r="AG588" s="5">
        <f>IF(SUM(AM588:AO588)&gt;0.7*AF588,1,0)</f>
      </c>
      <c r="AH588" s="5">
        <f>IF(AN588&gt;0.4*AF588,1,0)</f>
      </c>
      <c r="AI588" s="5">
        <f>IF(SUM(AP588:AQ588)&gt;0.3*AF588,1,0)</f>
      </c>
      <c r="AJ588" s="5">
        <f>IF(AQ588&gt;0.2*AF588,1,0)</f>
      </c>
      <c r="AK588" s="5">
        <f>IF(SUM(AR588:BC588)&gt;0.3*AF588,1,0)</f>
      </c>
      <c r="AL588" s="3"/>
      <c r="AM588" s="6">
        <f>(F588/100)*AM$41</f>
      </c>
      <c r="AN588" s="6">
        <f>(G588/100)*AN$41</f>
      </c>
      <c r="AO588" s="6">
        <f>(H588/1000000)*AO$41</f>
      </c>
      <c r="AP588" s="6">
        <f>(I588/100)*AP$41</f>
      </c>
      <c r="AQ588" s="6">
        <f>(J588/1000000)*AQ$41</f>
      </c>
      <c r="AR588" s="6">
        <f>(K588/100)*AR$41</f>
      </c>
      <c r="AS588" s="6">
        <f>(L588/100)*AS$41</f>
      </c>
      <c r="AT588" s="6">
        <f>(M588/100)*AT$41</f>
      </c>
      <c r="AU588" s="6">
        <f>(N588/100)*AU$41</f>
      </c>
      <c r="AV588" s="6">
        <f>(O588/1000000)*AV$41</f>
      </c>
      <c r="AW588" s="6">
        <f>(P588/100)*AW$41</f>
      </c>
      <c r="AX588" s="6">
        <f>(Q588/100)*AX$41</f>
      </c>
      <c r="AY588" s="6">
        <f>(R588/100)*AY$41</f>
      </c>
      <c r="AZ588" s="6">
        <f>(S588/100)*AZ$41</f>
      </c>
      <c r="BA588" s="6">
        <f>(T588/100)*BA$41</f>
      </c>
      <c r="BB588" s="6">
        <f>(U588/100)*BB$41</f>
      </c>
      <c r="BC588" s="6"/>
      <c r="BD588" s="3"/>
      <c r="BE588" s="3"/>
      <c r="BF588" s="7">
        <f>AF588*E588</f>
      </c>
      <c r="BG588" s="6"/>
      <c r="BH588" s="3"/>
      <c r="BI588" s="6"/>
    </row>
    <row x14ac:dyDescent="0.25" r="589" customHeight="1" ht="12.75">
      <c r="A589" s="5" t="s">
        <v>197</v>
      </c>
      <c r="B589" s="38" t="s">
        <v>859</v>
      </c>
      <c r="C589" s="43" t="s">
        <v>869</v>
      </c>
      <c r="D589" s="34"/>
      <c r="E589" s="6">
        <v>22.43</v>
      </c>
      <c r="F589" s="6">
        <v>3.6</v>
      </c>
      <c r="G589" s="6">
        <v>8</v>
      </c>
      <c r="H589" s="7"/>
      <c r="I589" s="6"/>
      <c r="J589" s="6"/>
      <c r="K589" s="7"/>
      <c r="L589" s="6"/>
      <c r="M589" s="6"/>
      <c r="N589" s="23"/>
      <c r="O589" s="5"/>
      <c r="P589" s="6"/>
      <c r="Q589" s="6"/>
      <c r="R589" s="6"/>
      <c r="S589" s="6"/>
      <c r="T589" s="6"/>
      <c r="U589" s="6"/>
      <c r="V589" s="5"/>
      <c r="W589" s="6"/>
      <c r="X589" s="6">
        <f>E589*F589/100</f>
      </c>
      <c r="Y589" s="6">
        <f>E589*G589/100</f>
      </c>
      <c r="Z589" s="7">
        <f>E589*H589</f>
      </c>
      <c r="AA589" s="7">
        <f>E589*J589</f>
      </c>
      <c r="AB589" s="6">
        <f>E589*I589/100</f>
      </c>
      <c r="AC589" s="15">
        <f>X589+Y589+AB589</f>
      </c>
      <c r="AD589" s="6">
        <f>F589+G589+I589</f>
      </c>
      <c r="AE589" s="3"/>
      <c r="AF589" s="6">
        <f>SUM(AM589:BC589)</f>
      </c>
      <c r="AG589" s="5">
        <f>IF(SUM(AM589:AO589)&gt;0.7*AF589,1,0)</f>
      </c>
      <c r="AH589" s="5">
        <f>IF(AN589&gt;0.4*AF589,1,0)</f>
      </c>
      <c r="AI589" s="5">
        <f>IF(SUM(AP589:AQ589)&gt;0.3*AF589,1,0)</f>
      </c>
      <c r="AJ589" s="5">
        <f>IF(AQ589&gt;0.2*AF589,1,0)</f>
      </c>
      <c r="AK589" s="5">
        <f>IF(SUM(AR589:BC589)&gt;0.3*AF589,1,0)</f>
      </c>
      <c r="AL589" s="3"/>
      <c r="AM589" s="6">
        <f>(F589/100)*AM$41</f>
      </c>
      <c r="AN589" s="6">
        <f>(G589/100)*AN$41</f>
      </c>
      <c r="AO589" s="6">
        <f>(H589/1000000)*AO$41</f>
      </c>
      <c r="AP589" s="6">
        <f>(I589/100)*AP$41</f>
      </c>
      <c r="AQ589" s="6">
        <f>(J589/1000000)*AQ$41</f>
      </c>
      <c r="AR589" s="6">
        <f>(K589/100)*AR$41</f>
      </c>
      <c r="AS589" s="6">
        <f>(L589/100)*AS$41</f>
      </c>
      <c r="AT589" s="6">
        <f>(M589/100)*AT$41</f>
      </c>
      <c r="AU589" s="6">
        <f>(N589/100)*AU$41</f>
      </c>
      <c r="AV589" s="6">
        <f>(O589/1000000)*AV$41</f>
      </c>
      <c r="AW589" s="6">
        <f>(P589/100)*AW$41</f>
      </c>
      <c r="AX589" s="6">
        <f>(Q589/100)*AX$41</f>
      </c>
      <c r="AY589" s="6">
        <f>(R589/100)*AY$41</f>
      </c>
      <c r="AZ589" s="6">
        <f>(S589/100)*AZ$41</f>
      </c>
      <c r="BA589" s="6">
        <f>(T589/100)*BA$41</f>
      </c>
      <c r="BB589" s="6">
        <f>(U589/100)*BB$41</f>
      </c>
      <c r="BC589" s="6"/>
      <c r="BD589" s="3"/>
      <c r="BE589" s="3"/>
      <c r="BF589" s="7">
        <f>AF589*E589</f>
      </c>
      <c r="BG589" s="6"/>
      <c r="BH589" s="3"/>
      <c r="BI589" s="6"/>
    </row>
    <row x14ac:dyDescent="0.25" r="590" customHeight="1" ht="12.75">
      <c r="A590" s="5" t="s">
        <v>218</v>
      </c>
      <c r="B590" s="38" t="s">
        <v>859</v>
      </c>
      <c r="C590" s="43" t="s">
        <v>869</v>
      </c>
      <c r="D590" s="34"/>
      <c r="E590" s="6">
        <v>77.1</v>
      </c>
      <c r="F590" s="6">
        <v>2.01</v>
      </c>
      <c r="G590" s="6">
        <v>0.6873151750972762</v>
      </c>
      <c r="H590" s="31">
        <v>100.45260700389106</v>
      </c>
      <c r="I590" s="6"/>
      <c r="J590" s="6"/>
      <c r="K590" s="7"/>
      <c r="L590" s="6"/>
      <c r="M590" s="6"/>
      <c r="N590" s="23"/>
      <c r="O590" s="5"/>
      <c r="P590" s="6"/>
      <c r="Q590" s="6"/>
      <c r="R590" s="6"/>
      <c r="S590" s="6"/>
      <c r="T590" s="6"/>
      <c r="U590" s="6"/>
      <c r="V590" s="5"/>
      <c r="W590" s="6"/>
      <c r="X590" s="6">
        <f>E590*F590/100</f>
      </c>
      <c r="Y590" s="6">
        <f>E590*G590/100</f>
      </c>
      <c r="Z590" s="7">
        <f>E590*H590</f>
      </c>
      <c r="AA590" s="7">
        <f>E590*J590</f>
      </c>
      <c r="AB590" s="6">
        <f>E590*I590/100</f>
      </c>
      <c r="AC590" s="15">
        <f>X590+Y590+AB590</f>
      </c>
      <c r="AD590" s="6">
        <f>F590+G590+I590</f>
      </c>
      <c r="AE590" s="3"/>
      <c r="AF590" s="6">
        <f>SUM(AM590:BC590)</f>
      </c>
      <c r="AG590" s="5">
        <f>IF(SUM(AM590:AO590)&gt;0.7*AF590,1,0)</f>
      </c>
      <c r="AH590" s="5">
        <f>IF(AN590&gt;0.4*AF590,1,0)</f>
      </c>
      <c r="AI590" s="5">
        <f>IF(SUM(AP590:AQ590)&gt;0.3*AF590,1,0)</f>
      </c>
      <c r="AJ590" s="5">
        <f>IF(AQ590&gt;0.2*AF590,1,0)</f>
      </c>
      <c r="AK590" s="5">
        <f>IF(SUM(AR590:BC590)&gt;0.3*AF590,1,0)</f>
      </c>
      <c r="AL590" s="3"/>
      <c r="AM590" s="6">
        <f>(F590/100)*AM$41</f>
      </c>
      <c r="AN590" s="6">
        <f>(G590/100)*AN$41</f>
      </c>
      <c r="AO590" s="6">
        <f>(H590/1000000)*AO$41</f>
      </c>
      <c r="AP590" s="6">
        <f>(I590/100)*AP$41</f>
      </c>
      <c r="AQ590" s="6">
        <f>(J590/1000000)*AQ$41</f>
      </c>
      <c r="AR590" s="6">
        <f>(K590/100)*AR$41</f>
      </c>
      <c r="AS590" s="6">
        <f>(L590/100)*AS$41</f>
      </c>
      <c r="AT590" s="6">
        <f>(M590/100)*AT$41</f>
      </c>
      <c r="AU590" s="6">
        <f>(N590/100)*AU$41</f>
      </c>
      <c r="AV590" s="6">
        <f>(O590/1000000)*AV$41</f>
      </c>
      <c r="AW590" s="6">
        <f>(P590/100)*AW$41</f>
      </c>
      <c r="AX590" s="6">
        <f>(Q590/100)*AX$41</f>
      </c>
      <c r="AY590" s="6">
        <f>(R590/100)*AY$41</f>
      </c>
      <c r="AZ590" s="6">
        <f>(S590/100)*AZ$41</f>
      </c>
      <c r="BA590" s="6">
        <f>(T590/100)*BA$41</f>
      </c>
      <c r="BB590" s="6">
        <f>(U590/100)*BB$41</f>
      </c>
      <c r="BC590" s="6"/>
      <c r="BD590" s="3"/>
      <c r="BE590" s="3"/>
      <c r="BF590" s="7">
        <f>AF590*E590</f>
      </c>
      <c r="BG590" s="6"/>
      <c r="BH590" s="3"/>
      <c r="BI590" s="6"/>
    </row>
    <row x14ac:dyDescent="0.25" r="591" customHeight="1" ht="12.75">
      <c r="A591" s="5" t="s">
        <v>294</v>
      </c>
      <c r="B591" s="38" t="s">
        <v>859</v>
      </c>
      <c r="C591" s="43" t="s">
        <v>869</v>
      </c>
      <c r="D591" s="34"/>
      <c r="E591" s="6">
        <v>17.842105263157897</v>
      </c>
      <c r="F591" s="7">
        <v>4</v>
      </c>
      <c r="G591" s="6">
        <v>4.3</v>
      </c>
      <c r="H591" s="6">
        <v>13.2</v>
      </c>
      <c r="I591" s="6">
        <v>1.14</v>
      </c>
      <c r="J591" s="6">
        <v>1.93</v>
      </c>
      <c r="K591" s="7"/>
      <c r="L591" s="6"/>
      <c r="M591" s="6"/>
      <c r="N591" s="23"/>
      <c r="O591" s="5"/>
      <c r="P591" s="6"/>
      <c r="Q591" s="6"/>
      <c r="R591" s="6"/>
      <c r="S591" s="6"/>
      <c r="T591" s="6"/>
      <c r="U591" s="6"/>
      <c r="V591" s="5"/>
      <c r="W591" s="6"/>
      <c r="X591" s="6">
        <f>E591*F591/100</f>
      </c>
      <c r="Y591" s="6">
        <f>E591*G591/100</f>
      </c>
      <c r="Z591" s="7">
        <f>E591*H591</f>
      </c>
      <c r="AA591" s="7">
        <f>E591*J591</f>
      </c>
      <c r="AB591" s="6">
        <f>E591*I591/100</f>
      </c>
      <c r="AC591" s="15">
        <f>X591+Y591+AB591</f>
      </c>
      <c r="AD591" s="6">
        <f>F591+G591+I591</f>
      </c>
      <c r="AE591" s="3"/>
      <c r="AF591" s="6">
        <f>SUM(AM591:BC591)</f>
      </c>
      <c r="AG591" s="5">
        <f>IF(SUM(AM591:AO591)&gt;0.7*AF591,1,0)</f>
      </c>
      <c r="AH591" s="5">
        <f>IF(AN591&gt;0.4*AF591,1,0)</f>
      </c>
      <c r="AI591" s="5">
        <f>IF(SUM(AP591:AQ591)&gt;0.3*AF591,1,0)</f>
      </c>
      <c r="AJ591" s="5">
        <f>IF(AQ591&gt;0.2*AF591,1,0)</f>
      </c>
      <c r="AK591" s="5">
        <f>IF(SUM(AR591:BC591)&gt;0.3*AF591,1,0)</f>
      </c>
      <c r="AL591" s="3"/>
      <c r="AM591" s="6">
        <f>(F591/100)*AM$41</f>
      </c>
      <c r="AN591" s="6">
        <f>(G591/100)*AN$41</f>
      </c>
      <c r="AO591" s="6">
        <f>(H591/1000000)*AO$41</f>
      </c>
      <c r="AP591" s="6">
        <f>(I591/100)*AP$41</f>
      </c>
      <c r="AQ591" s="6">
        <f>(J591/1000000)*AQ$41</f>
      </c>
      <c r="AR591" s="6">
        <f>(K591/100)*AR$41</f>
      </c>
      <c r="AS591" s="6">
        <f>(L591/100)*AS$41</f>
      </c>
      <c r="AT591" s="6">
        <f>(M591/100)*AT$41</f>
      </c>
      <c r="AU591" s="6">
        <f>(N591/100)*AU$41</f>
      </c>
      <c r="AV591" s="6">
        <f>(O591/1000000)*AV$41</f>
      </c>
      <c r="AW591" s="6">
        <f>(P591/100)*AW$41</f>
      </c>
      <c r="AX591" s="6">
        <f>(Q591/100)*AX$41</f>
      </c>
      <c r="AY591" s="6">
        <f>(R591/100)*AY$41</f>
      </c>
      <c r="AZ591" s="6">
        <f>(S591/100)*AZ$41</f>
      </c>
      <c r="BA591" s="6">
        <f>(T591/100)*BA$41</f>
      </c>
      <c r="BB591" s="6">
        <f>(U591/100)*BB$41</f>
      </c>
      <c r="BC591" s="6"/>
      <c r="BD591" s="3"/>
      <c r="BE591" s="3"/>
      <c r="BF591" s="7">
        <f>AF591*E591</f>
      </c>
      <c r="BG591" s="6"/>
      <c r="BH591" s="3"/>
      <c r="BI591" s="6"/>
    </row>
    <row x14ac:dyDescent="0.25" r="592" customHeight="1" ht="12.75">
      <c r="A592" s="5" t="s">
        <v>406</v>
      </c>
      <c r="B592" s="38" t="s">
        <v>859</v>
      </c>
      <c r="C592" s="43" t="s">
        <v>869</v>
      </c>
      <c r="D592" s="34"/>
      <c r="E592" s="6">
        <v>14.21</v>
      </c>
      <c r="F592" s="6">
        <v>1.97</v>
      </c>
      <c r="G592" s="6">
        <v>5.53</v>
      </c>
      <c r="H592" s="7">
        <v>32.6530612244898</v>
      </c>
      <c r="I592" s="6"/>
      <c r="J592" s="6"/>
      <c r="K592" s="7"/>
      <c r="L592" s="6"/>
      <c r="M592" s="6"/>
      <c r="N592" s="23"/>
      <c r="O592" s="5"/>
      <c r="P592" s="23"/>
      <c r="Q592" s="6"/>
      <c r="R592" s="6"/>
      <c r="S592" s="6"/>
      <c r="T592" s="6"/>
      <c r="U592" s="6"/>
      <c r="V592" s="23">
        <v>0.029007741027445463</v>
      </c>
      <c r="W592" s="6" t="s">
        <v>932</v>
      </c>
      <c r="X592" s="6">
        <f>E592*F592/100</f>
      </c>
      <c r="Y592" s="6">
        <f>E592*G592/100</f>
      </c>
      <c r="Z592" s="7">
        <f>E592*H592</f>
      </c>
      <c r="AA592" s="7">
        <f>E592*J592</f>
      </c>
      <c r="AB592" s="6">
        <f>E592*I592/100</f>
      </c>
      <c r="AC592" s="15">
        <f>X592+Y592+AB592</f>
      </c>
      <c r="AD592" s="6">
        <f>F592+G592+I592</f>
      </c>
      <c r="AE592" s="3"/>
      <c r="AF592" s="6">
        <f>SUM(AM592:BC592)</f>
      </c>
      <c r="AG592" s="5">
        <f>IF(SUM(AM592:AO592)&gt;0.7*AF592,1,0)</f>
      </c>
      <c r="AH592" s="5">
        <f>IF(AN592&gt;0.4*AF592,1,0)</f>
      </c>
      <c r="AI592" s="5">
        <f>IF(SUM(AP592:AQ592)&gt;0.3*AF592,1,0)</f>
      </c>
      <c r="AJ592" s="5">
        <f>IF(AQ592&gt;0.2*AF592,1,0)</f>
      </c>
      <c r="AK592" s="5">
        <f>IF(SUM(AR592:BC592)&gt;0.3*AF592,1,0)</f>
      </c>
      <c r="AL592" s="3"/>
      <c r="AM592" s="6">
        <f>(F592/100)*AM$41</f>
      </c>
      <c r="AN592" s="6">
        <f>(G592/100)*AN$41</f>
      </c>
      <c r="AO592" s="6">
        <f>(H592/1000000)*AO$41</f>
      </c>
      <c r="AP592" s="6">
        <f>(I592/100)*AP$41</f>
      </c>
      <c r="AQ592" s="6">
        <f>(J592/1000000)*AQ$41</f>
      </c>
      <c r="AR592" s="6">
        <f>(K592/100)*AR$41</f>
      </c>
      <c r="AS592" s="6">
        <f>(L592/100)*AS$41</f>
      </c>
      <c r="AT592" s="6">
        <f>(M592/100)*AT$41</f>
      </c>
      <c r="AU592" s="6">
        <f>(N592/100)*AU$41</f>
      </c>
      <c r="AV592" s="6">
        <f>(O592/1000000)*AV$41</f>
      </c>
      <c r="AW592" s="6">
        <f>(P592/100)*AW$41</f>
      </c>
      <c r="AX592" s="6">
        <f>(Q592/100)*AX$41</f>
      </c>
      <c r="AY592" s="6">
        <f>(R592/100)*AY$41</f>
      </c>
      <c r="AZ592" s="6">
        <f>(S592/100)*AZ$41</f>
      </c>
      <c r="BA592" s="6">
        <f>(T592/100)*BA$41</f>
      </c>
      <c r="BB592" s="6">
        <f>(U592/100)*BB$41</f>
      </c>
      <c r="BC592" s="6">
        <f>(V592/100)*1940</f>
      </c>
      <c r="BD592" s="3" t="s">
        <v>933</v>
      </c>
      <c r="BE592" s="3"/>
      <c r="BF592" s="7">
        <f>AF592*E592</f>
      </c>
      <c r="BG592" s="6"/>
      <c r="BH592" s="3"/>
      <c r="BI592" s="6"/>
    </row>
    <row x14ac:dyDescent="0.25" r="593" customHeight="1" ht="12.75">
      <c r="A593" s="5" t="s">
        <v>454</v>
      </c>
      <c r="B593" s="38" t="s">
        <v>859</v>
      </c>
      <c r="C593" s="43" t="s">
        <v>869</v>
      </c>
      <c r="D593" s="34"/>
      <c r="E593" s="6">
        <v>7.2</v>
      </c>
      <c r="F593" s="6">
        <v>3.4499999999999997</v>
      </c>
      <c r="G593" s="6">
        <v>4.8</v>
      </c>
      <c r="H593" s="7"/>
      <c r="I593" s="6"/>
      <c r="J593" s="6"/>
      <c r="K593" s="7"/>
      <c r="L593" s="6"/>
      <c r="M593" s="6"/>
      <c r="N593" s="23"/>
      <c r="O593" s="5"/>
      <c r="P593" s="6"/>
      <c r="Q593" s="6"/>
      <c r="R593" s="6"/>
      <c r="S593" s="6"/>
      <c r="T593" s="6"/>
      <c r="U593" s="6"/>
      <c r="V593" s="5"/>
      <c r="W593" s="6"/>
      <c r="X593" s="6">
        <f>E593*F593/100</f>
      </c>
      <c r="Y593" s="6">
        <f>E593*G593/100</f>
      </c>
      <c r="Z593" s="7">
        <f>E593*H593</f>
      </c>
      <c r="AA593" s="7">
        <f>E593*J593</f>
      </c>
      <c r="AB593" s="6">
        <f>E593*I593/100</f>
      </c>
      <c r="AC593" s="15">
        <f>X593+Y593+AB593</f>
      </c>
      <c r="AD593" s="6">
        <f>F593+G593+I593</f>
      </c>
      <c r="AE593" s="3"/>
      <c r="AF593" s="6">
        <f>SUM(AM593:BC593)</f>
      </c>
      <c r="AG593" s="5">
        <f>IF(SUM(AM593:AO593)&gt;0.7*AF593,1,0)</f>
      </c>
      <c r="AH593" s="5">
        <f>IF(AN593&gt;0.4*AF593,1,0)</f>
      </c>
      <c r="AI593" s="5">
        <f>IF(SUM(AP593:AQ593)&gt;0.3*AF593,1,0)</f>
      </c>
      <c r="AJ593" s="5">
        <f>IF(AQ593&gt;0.2*AF593,1,0)</f>
      </c>
      <c r="AK593" s="5">
        <f>IF(SUM(AR593:BC593)&gt;0.3*AF593,1,0)</f>
      </c>
      <c r="AL593" s="3"/>
      <c r="AM593" s="6">
        <f>(F593/100)*AM$41</f>
      </c>
      <c r="AN593" s="6">
        <f>(G593/100)*AN$41</f>
      </c>
      <c r="AO593" s="6">
        <f>(H593/1000000)*AO$41</f>
      </c>
      <c r="AP593" s="6">
        <f>(I593/100)*AP$41</f>
      </c>
      <c r="AQ593" s="6">
        <f>(J593/1000000)*AQ$41</f>
      </c>
      <c r="AR593" s="6">
        <f>(K593/100)*AR$41</f>
      </c>
      <c r="AS593" s="6">
        <f>(L593/100)*AS$41</f>
      </c>
      <c r="AT593" s="6">
        <f>(M593/100)*AT$41</f>
      </c>
      <c r="AU593" s="6">
        <f>(N593/100)*AU$41</f>
      </c>
      <c r="AV593" s="6">
        <f>(O593/1000000)*AV$41</f>
      </c>
      <c r="AW593" s="6">
        <f>(P593/100)*AW$41</f>
      </c>
      <c r="AX593" s="6">
        <f>(Q593/100)*AX$41</f>
      </c>
      <c r="AY593" s="6">
        <f>(R593/100)*AY$41</f>
      </c>
      <c r="AZ593" s="6">
        <f>(S593/100)*AZ$41</f>
      </c>
      <c r="BA593" s="6">
        <f>(T593/100)*BA$41</f>
      </c>
      <c r="BB593" s="6">
        <f>(U593/100)*BB$41</f>
      </c>
      <c r="BC593" s="6"/>
      <c r="BD593" s="3"/>
      <c r="BE593" s="3"/>
      <c r="BF593" s="7">
        <f>AF593*E593</f>
      </c>
      <c r="BG593" s="6"/>
      <c r="BH593" s="3"/>
      <c r="BI593" s="6"/>
    </row>
    <row x14ac:dyDescent="0.25" r="594" customHeight="1" ht="12.75">
      <c r="A594" s="5" t="s">
        <v>415</v>
      </c>
      <c r="B594" s="38" t="s">
        <v>859</v>
      </c>
      <c r="C594" s="43" t="s">
        <v>869</v>
      </c>
      <c r="D594" s="34"/>
      <c r="E594" s="7">
        <v>6.71328</v>
      </c>
      <c r="F594" s="6"/>
      <c r="G594" s="5">
        <v>5</v>
      </c>
      <c r="H594" s="31">
        <v>41.13756613756614</v>
      </c>
      <c r="I594" s="6">
        <v>2.2</v>
      </c>
      <c r="J594" s="7">
        <v>0.2056878306878307</v>
      </c>
      <c r="K594" s="7"/>
      <c r="L594" s="6"/>
      <c r="M594" s="6"/>
      <c r="N594" s="23"/>
      <c r="O594" s="5"/>
      <c r="P594" s="6"/>
      <c r="Q594" s="6"/>
      <c r="R594" s="6"/>
      <c r="S594" s="6"/>
      <c r="T594" s="6"/>
      <c r="U594" s="6"/>
      <c r="V594" s="5"/>
      <c r="W594" s="6"/>
      <c r="X594" s="6">
        <f>E594*F594/100</f>
      </c>
      <c r="Y594" s="6">
        <f>E594*G594/100</f>
      </c>
      <c r="Z594" s="7">
        <f>E594*H594</f>
      </c>
      <c r="AA594" s="7">
        <f>E594*J594</f>
      </c>
      <c r="AB594" s="6">
        <f>E594*I594/100</f>
      </c>
      <c r="AC594" s="15">
        <f>X594+Y594+AB594</f>
      </c>
      <c r="AD594" s="6">
        <f>F594+G594+I594</f>
      </c>
      <c r="AE594" s="3"/>
      <c r="AF594" s="6">
        <f>SUM(AM594:BC594)</f>
      </c>
      <c r="AG594" s="5">
        <f>IF(SUM(AM594:AO594)&gt;0.7*AF594,1,0)</f>
      </c>
      <c r="AH594" s="5">
        <f>IF(AN594&gt;0.4*AF594,1,0)</f>
      </c>
      <c r="AI594" s="5">
        <f>IF(SUM(AP594:AQ594)&gt;0.3*AF594,1,0)</f>
      </c>
      <c r="AJ594" s="5">
        <f>IF(AQ594&gt;0.2*AF594,1,0)</f>
      </c>
      <c r="AK594" s="5">
        <f>IF(SUM(AR594:BC594)&gt;0.3*AF594,1,0)</f>
      </c>
      <c r="AL594" s="3"/>
      <c r="AM594" s="6">
        <f>(F594/100)*AM$41</f>
      </c>
      <c r="AN594" s="6">
        <f>(G594/100)*AN$41</f>
      </c>
      <c r="AO594" s="6">
        <f>(H594/1000000)*AO$41</f>
      </c>
      <c r="AP594" s="6">
        <f>(I594/100)*AP$41</f>
      </c>
      <c r="AQ594" s="6">
        <f>(J594/1000000)*AQ$41</f>
      </c>
      <c r="AR594" s="6">
        <f>(K594/100)*AR$41</f>
      </c>
      <c r="AS594" s="6">
        <f>(L594/100)*AS$41</f>
      </c>
      <c r="AT594" s="6">
        <f>(M594/100)*AT$41</f>
      </c>
      <c r="AU594" s="6">
        <f>(N594/100)*AU$41</f>
      </c>
      <c r="AV594" s="6">
        <f>(O594/1000000)*AV$41</f>
      </c>
      <c r="AW594" s="6">
        <f>(P594/100)*AW$41</f>
      </c>
      <c r="AX594" s="6">
        <f>(Q594/100)*AX$41</f>
      </c>
      <c r="AY594" s="6">
        <f>(R594/100)*AY$41</f>
      </c>
      <c r="AZ594" s="6">
        <f>(S594/100)*AZ$41</f>
      </c>
      <c r="BA594" s="6">
        <f>(T594/100)*BA$41</f>
      </c>
      <c r="BB594" s="6">
        <f>(U594/100)*BB$41</f>
      </c>
      <c r="BC594" s="6"/>
      <c r="BD594" s="3"/>
      <c r="BE594" s="3"/>
      <c r="BF594" s="7">
        <f>AF594*E594</f>
      </c>
      <c r="BG594" s="6"/>
      <c r="BH594" s="3"/>
      <c r="BI594" s="6"/>
    </row>
    <row x14ac:dyDescent="0.25" r="595" customHeight="1" ht="12.75">
      <c r="A595" s="5" t="s">
        <v>612</v>
      </c>
      <c r="B595" s="38" t="s">
        <v>859</v>
      </c>
      <c r="C595" s="43" t="s">
        <v>869</v>
      </c>
      <c r="D595" s="34"/>
      <c r="E595" s="5">
        <v>14</v>
      </c>
      <c r="F595" s="6">
        <v>1.79</v>
      </c>
      <c r="G595" s="6">
        <v>1.55</v>
      </c>
      <c r="H595" s="7">
        <v>67.53142857142858</v>
      </c>
      <c r="I595" s="6"/>
      <c r="J595" s="6"/>
      <c r="K595" s="7"/>
      <c r="L595" s="6"/>
      <c r="M595" s="6"/>
      <c r="N595" s="23"/>
      <c r="O595" s="5"/>
      <c r="P595" s="6"/>
      <c r="Q595" s="6"/>
      <c r="R595" s="6"/>
      <c r="S595" s="6"/>
      <c r="T595" s="6"/>
      <c r="U595" s="6"/>
      <c r="V595" s="5"/>
      <c r="W595" s="6"/>
      <c r="X595" s="6">
        <f>E595*F595/100</f>
      </c>
      <c r="Y595" s="6">
        <f>E595*G595/100</f>
      </c>
      <c r="Z595" s="7">
        <f>E595*H595</f>
      </c>
      <c r="AA595" s="7">
        <f>E595*J595</f>
      </c>
      <c r="AB595" s="6">
        <f>E595*I595/100</f>
      </c>
      <c r="AC595" s="15">
        <f>X595+Y595+AB595</f>
      </c>
      <c r="AD595" s="6">
        <f>F595+G595+I595</f>
      </c>
      <c r="AE595" s="3"/>
      <c r="AF595" s="6">
        <f>SUM(AM595:BC595)</f>
      </c>
      <c r="AG595" s="5">
        <f>IF(SUM(AM595:AO595)&gt;0.7*AF595,1,0)</f>
      </c>
      <c r="AH595" s="5">
        <f>IF(AN595&gt;0.4*AF595,1,0)</f>
      </c>
      <c r="AI595" s="5">
        <f>IF(SUM(AP595:AQ595)&gt;0.3*AF595,1,0)</f>
      </c>
      <c r="AJ595" s="5">
        <f>IF(AQ595&gt;0.2*AF595,1,0)</f>
      </c>
      <c r="AK595" s="5">
        <f>IF(SUM(AR595:BC595)&gt;0.3*AF595,1,0)</f>
      </c>
      <c r="AL595" s="3"/>
      <c r="AM595" s="6">
        <f>(F595/100)*AM$41</f>
      </c>
      <c r="AN595" s="6">
        <f>(G595/100)*AN$41</f>
      </c>
      <c r="AO595" s="6">
        <f>(H595/1000000)*AO$41</f>
      </c>
      <c r="AP595" s="6">
        <f>(I595/100)*AP$41</f>
      </c>
      <c r="AQ595" s="6">
        <f>(J595/1000000)*AQ$41</f>
      </c>
      <c r="AR595" s="6">
        <f>(K595/100)*AR$41</f>
      </c>
      <c r="AS595" s="6">
        <f>(L595/100)*AS$41</f>
      </c>
      <c r="AT595" s="6">
        <f>(M595/100)*AT$41</f>
      </c>
      <c r="AU595" s="6">
        <f>(N595/100)*AU$41</f>
      </c>
      <c r="AV595" s="6">
        <f>(O595/1000000)*AV$41</f>
      </c>
      <c r="AW595" s="6">
        <f>(P595/100)*AW$41</f>
      </c>
      <c r="AX595" s="6">
        <f>(Q595/100)*AX$41</f>
      </c>
      <c r="AY595" s="6">
        <f>(R595/100)*AY$41</f>
      </c>
      <c r="AZ595" s="6">
        <f>(S595/100)*AZ$41</f>
      </c>
      <c r="BA595" s="6">
        <f>(T595/100)*BA$41</f>
      </c>
      <c r="BB595" s="6">
        <f>(U595/100)*BB$41</f>
      </c>
      <c r="BC595" s="6"/>
      <c r="BD595" s="3"/>
      <c r="BE595" s="3"/>
      <c r="BF595" s="7">
        <f>AF595*E595</f>
      </c>
      <c r="BG595" s="6"/>
      <c r="BH595" s="3"/>
      <c r="BI595" s="6"/>
    </row>
    <row x14ac:dyDescent="0.25" r="596" customHeight="1" ht="12.75">
      <c r="A596" s="5" t="s">
        <v>61</v>
      </c>
      <c r="B596" s="38" t="s">
        <v>859</v>
      </c>
      <c r="C596" s="43" t="s">
        <v>869</v>
      </c>
      <c r="D596" s="34"/>
      <c r="E596" s="7">
        <v>2</v>
      </c>
      <c r="F596" s="5">
        <v>10</v>
      </c>
      <c r="G596" s="5">
        <v>10</v>
      </c>
      <c r="H596" s="7"/>
      <c r="I596" s="6">
        <v>0.5</v>
      </c>
      <c r="J596" s="6"/>
      <c r="K596" s="7"/>
      <c r="L596" s="6"/>
      <c r="M596" s="6"/>
      <c r="N596" s="23"/>
      <c r="O596" s="5"/>
      <c r="P596" s="6"/>
      <c r="Q596" s="6"/>
      <c r="R596" s="6"/>
      <c r="S596" s="6"/>
      <c r="T596" s="6"/>
      <c r="U596" s="6"/>
      <c r="V596" s="5"/>
      <c r="W596" s="6"/>
      <c r="X596" s="6">
        <f>E596*F596/100</f>
      </c>
      <c r="Y596" s="6">
        <f>E596*G596/100</f>
      </c>
      <c r="Z596" s="7">
        <f>E596*H596</f>
      </c>
      <c r="AA596" s="7">
        <f>E596*J596</f>
      </c>
      <c r="AB596" s="6">
        <f>E596*I596/100</f>
      </c>
      <c r="AC596" s="15">
        <f>X596+Y596+AB596</f>
      </c>
      <c r="AD596" s="6">
        <f>F596+G596+I596</f>
      </c>
      <c r="AE596" s="3"/>
      <c r="AF596" s="6">
        <f>SUM(AM596:BC596)</f>
      </c>
      <c r="AG596" s="5">
        <f>IF(SUM(AM596:AO596)&gt;0.7*AF596,1,0)</f>
      </c>
      <c r="AH596" s="5">
        <f>IF(AN596&gt;0.4*AF596,1,0)</f>
      </c>
      <c r="AI596" s="5">
        <f>IF(SUM(AP596:AQ596)&gt;0.3*AF596,1,0)</f>
      </c>
      <c r="AJ596" s="5">
        <f>IF(AQ596&gt;0.2*AF596,1,0)</f>
      </c>
      <c r="AK596" s="5">
        <f>IF(SUM(AR596:BC596)&gt;0.3*AF596,1,0)</f>
      </c>
      <c r="AL596" s="3"/>
      <c r="AM596" s="6">
        <f>(F596/100)*AM$41</f>
      </c>
      <c r="AN596" s="6">
        <f>(G596/100)*AN$41</f>
      </c>
      <c r="AO596" s="6">
        <f>(H596/1000000)*AO$41</f>
      </c>
      <c r="AP596" s="6">
        <f>(I596/100)*AP$41</f>
      </c>
      <c r="AQ596" s="6">
        <f>(J596/1000000)*AQ$41</f>
      </c>
      <c r="AR596" s="6">
        <f>(K596/100)*AR$41</f>
      </c>
      <c r="AS596" s="6">
        <f>(L596/100)*AS$41</f>
      </c>
      <c r="AT596" s="6">
        <f>(M596/100)*AT$41</f>
      </c>
      <c r="AU596" s="6">
        <f>(N596/100)*AU$41</f>
      </c>
      <c r="AV596" s="6">
        <f>(O596/1000000)*AV$41</f>
      </c>
      <c r="AW596" s="6">
        <f>(P596/100)*AW$41</f>
      </c>
      <c r="AX596" s="6">
        <f>(Q596/100)*AX$41</f>
      </c>
      <c r="AY596" s="6">
        <f>(R596/100)*AY$41</f>
      </c>
      <c r="AZ596" s="6">
        <f>(S596/100)*AZ$41</f>
      </c>
      <c r="BA596" s="6">
        <f>(T596/100)*BA$41</f>
      </c>
      <c r="BB596" s="6">
        <f>(U596/100)*BB$41</f>
      </c>
      <c r="BC596" s="6"/>
      <c r="BD596" s="3"/>
      <c r="BE596" s="3"/>
      <c r="BF596" s="7">
        <f>AF596*E596</f>
      </c>
      <c r="BG596" s="6"/>
      <c r="BH596" s="3"/>
      <c r="BI596" s="6"/>
    </row>
    <row x14ac:dyDescent="0.25" r="597" customHeight="1" ht="12.75">
      <c r="A597" s="5" t="s">
        <v>79</v>
      </c>
      <c r="B597" s="38" t="s">
        <v>859</v>
      </c>
      <c r="C597" s="43" t="s">
        <v>869</v>
      </c>
      <c r="D597" s="34"/>
      <c r="E597" s="5">
        <v>160</v>
      </c>
      <c r="F597" s="6"/>
      <c r="G597" s="6">
        <v>0.08</v>
      </c>
      <c r="H597" s="7"/>
      <c r="I597" s="6">
        <v>0.13</v>
      </c>
      <c r="J597" s="6"/>
      <c r="K597" s="7"/>
      <c r="L597" s="6"/>
      <c r="M597" s="6">
        <v>0.022</v>
      </c>
      <c r="N597" s="23"/>
      <c r="O597" s="5"/>
      <c r="P597" s="6"/>
      <c r="Q597" s="6">
        <v>35.5</v>
      </c>
      <c r="R597" s="6"/>
      <c r="S597" s="6"/>
      <c r="T597" s="6"/>
      <c r="U597" s="6">
        <v>0.38090662678755033</v>
      </c>
      <c r="V597" s="6">
        <v>0.6</v>
      </c>
      <c r="W597" s="6" t="s">
        <v>1024</v>
      </c>
      <c r="X597" s="6">
        <f>E597*F597/100</f>
      </c>
      <c r="Y597" s="6">
        <f>E597*G597/100</f>
      </c>
      <c r="Z597" s="7">
        <f>E597*H597</f>
      </c>
      <c r="AA597" s="7">
        <f>E597*J597</f>
      </c>
      <c r="AB597" s="6">
        <f>E597*I597/100</f>
      </c>
      <c r="AC597" s="15">
        <f>X597+Y597+AB597</f>
      </c>
      <c r="AD597" s="6">
        <f>F597+G597+I597</f>
      </c>
      <c r="AE597" s="3"/>
      <c r="AF597" s="6">
        <f>SUM(AM597:BC597)</f>
      </c>
      <c r="AG597" s="5">
        <f>IF(SUM(AM597:AO597)&gt;0.7*AF597,1,0)</f>
      </c>
      <c r="AH597" s="5">
        <f>IF(AN597&gt;0.4*AF597,1,0)</f>
      </c>
      <c r="AI597" s="5">
        <f>IF(SUM(AP597:AQ597)&gt;0.3*AF597,1,0)</f>
      </c>
      <c r="AJ597" s="5">
        <f>IF(AQ597&gt;0.2*AF597,1,0)</f>
      </c>
      <c r="AK597" s="5">
        <f>IF(SUM(AR597:BC597)&gt;0.3*AF597,1,0)</f>
      </c>
      <c r="AL597" s="3"/>
      <c r="AM597" s="6">
        <f>(F597/100)*AM$41</f>
      </c>
      <c r="AN597" s="6">
        <f>(G597/100)*AN$41</f>
      </c>
      <c r="AO597" s="6">
        <f>(H597/1000000)*AO$41</f>
      </c>
      <c r="AP597" s="6">
        <f>(I597/100)*AP$41</f>
      </c>
      <c r="AQ597" s="6">
        <f>(J597/1000000)*AQ$41</f>
      </c>
      <c r="AR597" s="6">
        <f>(K597/100)*AR$41</f>
      </c>
      <c r="AS597" s="6">
        <f>(L597/100)*AS$41</f>
      </c>
      <c r="AT597" s="6">
        <f>(M597/100)*AT$41</f>
      </c>
      <c r="AU597" s="6">
        <f>(N597/100)*AU$41</f>
      </c>
      <c r="AV597" s="6">
        <f>(O597/1000000)*AV$41</f>
      </c>
      <c r="AW597" s="6">
        <f>(P597/100)*AW$41</f>
      </c>
      <c r="AX597" s="6">
        <f>(Q597/100)*AX$41</f>
      </c>
      <c r="AY597" s="6">
        <f>(R597/100)*AY$41</f>
      </c>
      <c r="AZ597" s="6">
        <f>(S597/100)*AZ$41</f>
      </c>
      <c r="BA597" s="6">
        <f>(T597/100)*BA$41</f>
      </c>
      <c r="BB597" s="6">
        <f>(U597/100)*BB$41</f>
      </c>
      <c r="BC597" s="6">
        <f>(V597/100)*11200</f>
      </c>
      <c r="BD597" s="3" t="s">
        <v>1025</v>
      </c>
      <c r="BE597" s="3"/>
      <c r="BF597" s="7">
        <f>AF597*E597</f>
      </c>
      <c r="BG597" s="6"/>
      <c r="BH597" s="3"/>
      <c r="BI597" s="6"/>
    </row>
    <row x14ac:dyDescent="0.25" r="598" customHeight="1" ht="12.75">
      <c r="A598" s="5" t="s">
        <v>649</v>
      </c>
      <c r="B598" s="38" t="s">
        <v>859</v>
      </c>
      <c r="C598" s="43" t="s">
        <v>869</v>
      </c>
      <c r="D598" s="34"/>
      <c r="E598" s="6">
        <v>27.880000000000003</v>
      </c>
      <c r="F598" s="6"/>
      <c r="G598" s="6">
        <v>0.2315351506456241</v>
      </c>
      <c r="H598" s="6">
        <v>8.94760832137733</v>
      </c>
      <c r="I598" s="6">
        <v>0.42077474892395983</v>
      </c>
      <c r="J598" s="6">
        <v>0.3050321018651363</v>
      </c>
      <c r="K598" s="7"/>
      <c r="L598" s="6"/>
      <c r="M598" s="6"/>
      <c r="N598" s="23"/>
      <c r="O598" s="5"/>
      <c r="P598" s="6"/>
      <c r="Q598" s="6"/>
      <c r="R598" s="6"/>
      <c r="S598" s="6"/>
      <c r="T598" s="6"/>
      <c r="U598" s="6"/>
      <c r="V598" s="5"/>
      <c r="W598" s="6"/>
      <c r="X598" s="6">
        <f>E598*F598/100</f>
      </c>
      <c r="Y598" s="6">
        <f>E598*G598/100</f>
      </c>
      <c r="Z598" s="7">
        <f>E598*H598</f>
      </c>
      <c r="AA598" s="7">
        <f>E598*J598</f>
      </c>
      <c r="AB598" s="6">
        <f>E598*I598/100</f>
      </c>
      <c r="AC598" s="15">
        <f>X598+Y598+AB598</f>
      </c>
      <c r="AD598" s="6">
        <f>F598+G598+I598</f>
      </c>
      <c r="AE598" s="3"/>
      <c r="AF598" s="6">
        <f>SUM(AM598:BC598)</f>
      </c>
      <c r="AG598" s="5">
        <f>IF(SUM(AM598:AO598)&gt;0.7*AF598,1,0)</f>
      </c>
      <c r="AH598" s="5">
        <f>IF(AN598&gt;0.4*AF598,1,0)</f>
      </c>
      <c r="AI598" s="5">
        <f>IF(SUM(AP598:AQ598)&gt;0.3*AF598,1,0)</f>
      </c>
      <c r="AJ598" s="5">
        <f>IF(AQ598&gt;0.2*AF598,1,0)</f>
      </c>
      <c r="AK598" s="5">
        <f>IF(SUM(AR598:BC598)&gt;0.3*AF598,1,0)</f>
      </c>
      <c r="AL598" s="3"/>
      <c r="AM598" s="6">
        <f>(F598/100)*AM$41</f>
      </c>
      <c r="AN598" s="6">
        <f>(G598/100)*AN$41</f>
      </c>
      <c r="AO598" s="6">
        <f>(H598/1000000)*AO$41</f>
      </c>
      <c r="AP598" s="6">
        <f>(I598/100)*AP$41</f>
      </c>
      <c r="AQ598" s="6">
        <f>(J598/1000000)*AQ$41</f>
      </c>
      <c r="AR598" s="6">
        <f>(K598/100)*AR$41</f>
      </c>
      <c r="AS598" s="6">
        <f>(L598/100)*AS$41</f>
      </c>
      <c r="AT598" s="6">
        <f>(M598/100)*AT$41</f>
      </c>
      <c r="AU598" s="6">
        <f>(N598/100)*AU$41</f>
      </c>
      <c r="AV598" s="6">
        <f>(O598/1000000)*AV$41</f>
      </c>
      <c r="AW598" s="6">
        <f>(P598/100)*AW$41</f>
      </c>
      <c r="AX598" s="6">
        <f>(Q598/100)*AX$41</f>
      </c>
      <c r="AY598" s="6">
        <f>(R598/100)*AY$41</f>
      </c>
      <c r="AZ598" s="6">
        <f>(S598/100)*AZ$41</f>
      </c>
      <c r="BA598" s="6">
        <f>(T598/100)*BA$41</f>
      </c>
      <c r="BB598" s="6">
        <f>(U598/100)*BB$41</f>
      </c>
      <c r="BC598" s="6"/>
      <c r="BD598" s="3"/>
      <c r="BE598" s="3"/>
      <c r="BF598" s="7">
        <f>AF598*E598</f>
      </c>
      <c r="BG598" s="6"/>
      <c r="BH598" s="3"/>
      <c r="BI598" s="6"/>
    </row>
    <row x14ac:dyDescent="0.25" r="599" customHeight="1" ht="12.75">
      <c r="A599" s="5" t="s">
        <v>227</v>
      </c>
      <c r="B599" s="38" t="s">
        <v>859</v>
      </c>
      <c r="C599" s="43" t="s">
        <v>869</v>
      </c>
      <c r="D599" s="34"/>
      <c r="E599" s="6">
        <v>1.5</v>
      </c>
      <c r="F599" s="7">
        <v>5.486666666666667</v>
      </c>
      <c r="G599" s="7">
        <v>6.54</v>
      </c>
      <c r="H599" s="31">
        <v>102.53333333333335</v>
      </c>
      <c r="I599" s="6"/>
      <c r="J599" s="6"/>
      <c r="K599" s="7"/>
      <c r="L599" s="6"/>
      <c r="M599" s="6"/>
      <c r="N599" s="23"/>
      <c r="O599" s="5"/>
      <c r="P599" s="6"/>
      <c r="Q599" s="6"/>
      <c r="R599" s="6"/>
      <c r="S599" s="6"/>
      <c r="T599" s="6"/>
      <c r="U599" s="6"/>
      <c r="V599" s="5"/>
      <c r="W599" s="6"/>
      <c r="X599" s="6">
        <f>E599*F599/100</f>
      </c>
      <c r="Y599" s="6">
        <f>E599*G599/100</f>
      </c>
      <c r="Z599" s="7">
        <f>E599*H599</f>
      </c>
      <c r="AA599" s="7">
        <f>E599*J599</f>
      </c>
      <c r="AB599" s="6">
        <f>E599*I599/100</f>
      </c>
      <c r="AC599" s="15">
        <f>X599+Y599+AB599</f>
      </c>
      <c r="AD599" s="6">
        <f>F599+G599+I599</f>
      </c>
      <c r="AE599" s="3"/>
      <c r="AF599" s="6">
        <f>SUM(AM599:BC599)</f>
      </c>
      <c r="AG599" s="5">
        <f>IF(SUM(AM599:AO599)&gt;0.7*AF599,1,0)</f>
      </c>
      <c r="AH599" s="5">
        <f>IF(AN599&gt;0.4*AF599,1,0)</f>
      </c>
      <c r="AI599" s="5">
        <f>IF(SUM(AP599:AQ599)&gt;0.3*AF599,1,0)</f>
      </c>
      <c r="AJ599" s="5">
        <f>IF(AQ599&gt;0.2*AF599,1,0)</f>
      </c>
      <c r="AK599" s="5">
        <f>IF(SUM(AR599:BC599)&gt;0.3*AF599,1,0)</f>
      </c>
      <c r="AL599" s="3"/>
      <c r="AM599" s="6">
        <f>(F599/100)*AM$41</f>
      </c>
      <c r="AN599" s="6">
        <f>(G599/100)*AN$41</f>
      </c>
      <c r="AO599" s="6">
        <f>(H599/1000000)*AO$41</f>
      </c>
      <c r="AP599" s="6">
        <f>(I599/100)*AP$41</f>
      </c>
      <c r="AQ599" s="6">
        <f>(J599/1000000)*AQ$41</f>
      </c>
      <c r="AR599" s="6">
        <f>(K599/100)*AR$41</f>
      </c>
      <c r="AS599" s="6">
        <f>(L599/100)*AS$41</f>
      </c>
      <c r="AT599" s="6">
        <f>(M599/100)*AT$41</f>
      </c>
      <c r="AU599" s="6">
        <f>(N599/100)*AU$41</f>
      </c>
      <c r="AV599" s="6">
        <f>(O599/1000000)*AV$41</f>
      </c>
      <c r="AW599" s="6">
        <f>(P599/100)*AW$41</f>
      </c>
      <c r="AX599" s="6">
        <f>(Q599/100)*AX$41</f>
      </c>
      <c r="AY599" s="6">
        <f>(R599/100)*AY$41</f>
      </c>
      <c r="AZ599" s="6">
        <f>(S599/100)*AZ$41</f>
      </c>
      <c r="BA599" s="6">
        <f>(T599/100)*BA$41</f>
      </c>
      <c r="BB599" s="6">
        <f>(U599/100)*BB$41</f>
      </c>
      <c r="BC599" s="6"/>
      <c r="BD599" s="3"/>
      <c r="BE599" s="3"/>
      <c r="BF599" s="7">
        <f>AF599*E599</f>
      </c>
      <c r="BG599" s="6"/>
      <c r="BH599" s="3"/>
      <c r="BI599" s="6"/>
    </row>
    <row x14ac:dyDescent="0.25" r="600" customHeight="1" ht="12.75">
      <c r="A600" s="5" t="s">
        <v>539</v>
      </c>
      <c r="B600" s="38" t="s">
        <v>859</v>
      </c>
      <c r="C600" s="43" t="s">
        <v>869</v>
      </c>
      <c r="D600" s="34"/>
      <c r="E600" s="23">
        <v>0.9071</v>
      </c>
      <c r="F600" s="6">
        <v>2.23</v>
      </c>
      <c r="G600" s="7">
        <v>3.79</v>
      </c>
      <c r="H600" s="6">
        <v>214.9</v>
      </c>
      <c r="I600" s="6"/>
      <c r="J600" s="6"/>
      <c r="K600" s="7"/>
      <c r="L600" s="6"/>
      <c r="M600" s="6"/>
      <c r="N600" s="23"/>
      <c r="O600" s="5"/>
      <c r="P600" s="6"/>
      <c r="Q600" s="6"/>
      <c r="R600" s="6"/>
      <c r="S600" s="6"/>
      <c r="T600" s="6"/>
      <c r="U600" s="6"/>
      <c r="V600" s="5"/>
      <c r="W600" s="6"/>
      <c r="X600" s="6">
        <f>E600*F600/100</f>
      </c>
      <c r="Y600" s="6">
        <f>E600*G600/100</f>
      </c>
      <c r="Z600" s="7">
        <f>E600*H600</f>
      </c>
      <c r="AA600" s="7">
        <f>E600*J600</f>
      </c>
      <c r="AB600" s="6">
        <f>E600*I600/100</f>
      </c>
      <c r="AC600" s="15">
        <f>X600+Y600+AB600</f>
      </c>
      <c r="AD600" s="6">
        <f>F600+G600+I600</f>
      </c>
      <c r="AE600" s="3"/>
      <c r="AF600" s="6">
        <f>SUM(AM600:BC600)</f>
      </c>
      <c r="AG600" s="5">
        <f>IF(SUM(AM600:AO600)&gt;0.7*AF600,1,0)</f>
      </c>
      <c r="AH600" s="5">
        <f>IF(AN600&gt;0.4*AF600,1,0)</f>
      </c>
      <c r="AI600" s="5">
        <f>IF(SUM(AP600:AQ600)&gt;0.3*AF600,1,0)</f>
      </c>
      <c r="AJ600" s="5">
        <f>IF(AQ600&gt;0.2*AF600,1,0)</f>
      </c>
      <c r="AK600" s="5">
        <f>IF(SUM(AR600:BC600)&gt;0.3*AF600,1,0)</f>
      </c>
      <c r="AL600" s="3"/>
      <c r="AM600" s="6">
        <f>(F600/100)*AM$41</f>
      </c>
      <c r="AN600" s="6">
        <f>(G600/100)*AN$41</f>
      </c>
      <c r="AO600" s="6">
        <f>(H600/1000000)*AO$41</f>
      </c>
      <c r="AP600" s="6">
        <f>(I600/100)*AP$41</f>
      </c>
      <c r="AQ600" s="6">
        <f>(J600/1000000)*AQ$41</f>
      </c>
      <c r="AR600" s="6">
        <f>(K600/100)*AR$41</f>
      </c>
      <c r="AS600" s="6">
        <f>(L600/100)*AS$41</f>
      </c>
      <c r="AT600" s="6">
        <f>(M600/100)*AT$41</f>
      </c>
      <c r="AU600" s="6">
        <f>(N600/100)*AU$41</f>
      </c>
      <c r="AV600" s="6">
        <f>(O600/1000000)*AV$41</f>
      </c>
      <c r="AW600" s="6">
        <f>(P600/100)*AW$41</f>
      </c>
      <c r="AX600" s="6">
        <f>(Q600/100)*AX$41</f>
      </c>
      <c r="AY600" s="6">
        <f>(R600/100)*AY$41</f>
      </c>
      <c r="AZ600" s="6">
        <f>(S600/100)*AZ$41</f>
      </c>
      <c r="BA600" s="6">
        <f>(T600/100)*BA$41</f>
      </c>
      <c r="BB600" s="6">
        <f>(U600/100)*BB$41</f>
      </c>
      <c r="BC600" s="6"/>
      <c r="BD600" s="3"/>
      <c r="BE600" s="3"/>
      <c r="BF600" s="7">
        <f>AF600*E600</f>
      </c>
      <c r="BG600" s="6"/>
      <c r="BH600" s="3"/>
      <c r="BI600" s="6"/>
    </row>
    <row x14ac:dyDescent="0.25" r="601" customHeight="1" ht="12.75">
      <c r="A601" s="5" t="s">
        <v>84</v>
      </c>
      <c r="B601" s="38" t="s">
        <v>859</v>
      </c>
      <c r="C601" s="43" t="s">
        <v>869</v>
      </c>
      <c r="D601" s="34"/>
      <c r="E601" s="23">
        <v>0.083906</v>
      </c>
      <c r="F601" s="6">
        <v>3.7</v>
      </c>
      <c r="G601" s="6">
        <v>12.5</v>
      </c>
      <c r="H601" s="6">
        <v>64.4</v>
      </c>
      <c r="I601" s="6">
        <v>1.69</v>
      </c>
      <c r="J601" s="6"/>
      <c r="K601" s="7"/>
      <c r="L601" s="6"/>
      <c r="M601" s="6"/>
      <c r="N601" s="23"/>
      <c r="O601" s="5"/>
      <c r="P601" s="6"/>
      <c r="Q601" s="6"/>
      <c r="R601" s="6"/>
      <c r="S601" s="6"/>
      <c r="T601" s="6"/>
      <c r="U601" s="6"/>
      <c r="V601" s="5"/>
      <c r="W601" s="6"/>
      <c r="X601" s="6">
        <f>E601*F601/100</f>
      </c>
      <c r="Y601" s="6">
        <f>E601*G601/100</f>
      </c>
      <c r="Z601" s="7">
        <f>E601*H601</f>
      </c>
      <c r="AA601" s="7">
        <f>E601*J601</f>
      </c>
      <c r="AB601" s="6">
        <f>E601*I601/100</f>
      </c>
      <c r="AC601" s="15">
        <f>X601+Y601+AB601</f>
      </c>
      <c r="AD601" s="6">
        <f>F601+G601+I601</f>
      </c>
      <c r="AE601" s="3"/>
      <c r="AF601" s="6">
        <f>SUM(AM601:BC601)</f>
      </c>
      <c r="AG601" s="5">
        <f>IF(SUM(AM601:AO601)&gt;0.7*AF601,1,0)</f>
      </c>
      <c r="AH601" s="5">
        <f>IF(AN601&gt;0.4*AF601,1,0)</f>
      </c>
      <c r="AI601" s="5">
        <f>IF(SUM(AP601:AQ601)&gt;0.3*AF601,1,0)</f>
      </c>
      <c r="AJ601" s="5">
        <f>IF(AQ601&gt;0.2*AF601,1,0)</f>
      </c>
      <c r="AK601" s="5">
        <f>IF(SUM(AR601:BC601)&gt;0.3*AF601,1,0)</f>
      </c>
      <c r="AL601" s="3"/>
      <c r="AM601" s="6">
        <f>(F601/100)*AM$41</f>
      </c>
      <c r="AN601" s="6">
        <f>(G601/100)*AN$41</f>
      </c>
      <c r="AO601" s="6">
        <f>(H601/1000000)*AO$41</f>
      </c>
      <c r="AP601" s="6">
        <f>(I601/100)*AP$41</f>
      </c>
      <c r="AQ601" s="6">
        <f>(J601/1000000)*AQ$41</f>
      </c>
      <c r="AR601" s="6">
        <f>(K601/100)*AR$41</f>
      </c>
      <c r="AS601" s="6">
        <f>(L601/100)*AS$41</f>
      </c>
      <c r="AT601" s="6">
        <f>(M601/100)*AT$41</f>
      </c>
      <c r="AU601" s="6">
        <f>(N601/100)*AU$41</f>
      </c>
      <c r="AV601" s="6">
        <f>(O601/1000000)*AV$41</f>
      </c>
      <c r="AW601" s="6">
        <f>(P601/100)*AW$41</f>
      </c>
      <c r="AX601" s="6">
        <f>(Q601/100)*AX$41</f>
      </c>
      <c r="AY601" s="6">
        <f>(R601/100)*AY$41</f>
      </c>
      <c r="AZ601" s="6">
        <f>(S601/100)*AZ$41</f>
      </c>
      <c r="BA601" s="6">
        <f>(T601/100)*BA$41</f>
      </c>
      <c r="BB601" s="6">
        <f>(U601/100)*BB$41</f>
      </c>
      <c r="BC601" s="6"/>
      <c r="BD601" s="3"/>
      <c r="BE601" s="3"/>
      <c r="BF601" s="7">
        <f>AF601*E601</f>
      </c>
      <c r="BG601" s="6"/>
      <c r="BH601" s="3"/>
      <c r="BI601" s="6"/>
    </row>
    <row x14ac:dyDescent="0.25" r="602" customHeight="1" ht="12.75">
      <c r="A602" s="5" t="s">
        <v>47</v>
      </c>
      <c r="B602" s="38" t="s">
        <v>859</v>
      </c>
      <c r="C602" s="43" t="s">
        <v>869</v>
      </c>
      <c r="D602" s="34"/>
      <c r="E602" s="23">
        <v>0.090719</v>
      </c>
      <c r="F602" s="5">
        <v>6</v>
      </c>
      <c r="G602" s="5">
        <v>10</v>
      </c>
      <c r="H602" s="6">
        <v>687.5</v>
      </c>
      <c r="I602" s="6"/>
      <c r="J602" s="6"/>
      <c r="K602" s="7"/>
      <c r="L602" s="6"/>
      <c r="M602" s="6"/>
      <c r="N602" s="23"/>
      <c r="O602" s="5"/>
      <c r="P602" s="6"/>
      <c r="Q602" s="6"/>
      <c r="R602" s="6"/>
      <c r="S602" s="6"/>
      <c r="T602" s="6"/>
      <c r="U602" s="6"/>
      <c r="V602" s="5"/>
      <c r="W602" s="6"/>
      <c r="X602" s="6">
        <f>E602*F602/100</f>
      </c>
      <c r="Y602" s="6">
        <f>E602*G602/100</f>
      </c>
      <c r="Z602" s="7">
        <f>E602*H602</f>
      </c>
      <c r="AA602" s="7">
        <f>E602*J602</f>
      </c>
      <c r="AB602" s="6">
        <f>E602*I602/100</f>
      </c>
      <c r="AC602" s="15">
        <f>X602+Y602+AB602</f>
      </c>
      <c r="AD602" s="6">
        <f>F602+G602+I602</f>
      </c>
      <c r="AE602" s="3"/>
      <c r="AF602" s="6">
        <f>SUM(AM602:BC602)</f>
      </c>
      <c r="AG602" s="5">
        <f>IF(SUM(AM602:AO602)&gt;0.7*AF602,1,0)</f>
      </c>
      <c r="AH602" s="5">
        <f>IF(AN602&gt;0.4*AF602,1,0)</f>
      </c>
      <c r="AI602" s="5">
        <f>IF(SUM(AP602:AQ602)&gt;0.3*AF602,1,0)</f>
      </c>
      <c r="AJ602" s="5">
        <f>IF(AQ602&gt;0.2*AF602,1,0)</f>
      </c>
      <c r="AK602" s="5">
        <f>IF(SUM(AR602:BC602)&gt;0.3*AF602,1,0)</f>
      </c>
      <c r="AL602" s="3"/>
      <c r="AM602" s="6">
        <f>(F602/100)*AM$41</f>
      </c>
      <c r="AN602" s="6">
        <f>(G602/100)*AN$41</f>
      </c>
      <c r="AO602" s="6">
        <f>(H602/1000000)*AO$41</f>
      </c>
      <c r="AP602" s="6">
        <f>(I602/100)*AP$41</f>
      </c>
      <c r="AQ602" s="6">
        <f>(J602/1000000)*AQ$41</f>
      </c>
      <c r="AR602" s="6">
        <f>(K602/100)*AR$41</f>
      </c>
      <c r="AS602" s="6">
        <f>(L602/100)*AS$41</f>
      </c>
      <c r="AT602" s="6">
        <f>(M602/100)*AT$41</f>
      </c>
      <c r="AU602" s="6">
        <f>(N602/100)*AU$41</f>
      </c>
      <c r="AV602" s="6">
        <f>(O602/1000000)*AV$41</f>
      </c>
      <c r="AW602" s="6">
        <f>(P602/100)*AW$41</f>
      </c>
      <c r="AX602" s="6">
        <f>(Q602/100)*AX$41</f>
      </c>
      <c r="AY602" s="6">
        <f>(R602/100)*AY$41</f>
      </c>
      <c r="AZ602" s="6">
        <f>(S602/100)*AZ$41</f>
      </c>
      <c r="BA602" s="6">
        <f>(T602/100)*BA$41</f>
      </c>
      <c r="BB602" s="6">
        <f>(U602/100)*BB$41</f>
      </c>
      <c r="BC602" s="6"/>
      <c r="BD602" s="3"/>
      <c r="BE602" s="3"/>
      <c r="BF602" s="7">
        <f>AF602*E602</f>
      </c>
      <c r="BG602" s="6"/>
      <c r="BH602" s="3"/>
      <c r="BI602" s="6"/>
    </row>
    <row x14ac:dyDescent="0.25" r="603" customHeight="1" ht="12.75">
      <c r="A603" s="5" t="s">
        <v>16</v>
      </c>
      <c r="B603" s="38" t="s">
        <v>859</v>
      </c>
      <c r="C603" s="43" t="s">
        <v>869</v>
      </c>
      <c r="D603" s="34"/>
      <c r="E603" s="6">
        <v>0.068</v>
      </c>
      <c r="F603" s="6">
        <v>0.6</v>
      </c>
      <c r="G603" s="6">
        <v>7.45</v>
      </c>
      <c r="H603" s="6">
        <v>704.2</v>
      </c>
      <c r="I603" s="6">
        <v>6.1</v>
      </c>
      <c r="J603" s="6">
        <v>0.34</v>
      </c>
      <c r="K603" s="7"/>
      <c r="L603" s="6"/>
      <c r="M603" s="6"/>
      <c r="N603" s="23"/>
      <c r="O603" s="5"/>
      <c r="P603" s="6"/>
      <c r="Q603" s="6"/>
      <c r="R603" s="6"/>
      <c r="S603" s="6"/>
      <c r="T603" s="6"/>
      <c r="U603" s="6"/>
      <c r="V603" s="5"/>
      <c r="W603" s="6"/>
      <c r="X603" s="6">
        <f>E603*F603/100</f>
      </c>
      <c r="Y603" s="6">
        <f>E603*G603/100</f>
      </c>
      <c r="Z603" s="7">
        <f>E603*H603</f>
      </c>
      <c r="AA603" s="7">
        <f>E603*J603</f>
      </c>
      <c r="AB603" s="6">
        <f>E603*I603/100</f>
      </c>
      <c r="AC603" s="15">
        <f>X603+Y603+AB603</f>
      </c>
      <c r="AD603" s="6">
        <f>F603+G603+I603</f>
      </c>
      <c r="AE603" s="3"/>
      <c r="AF603" s="6">
        <f>SUM(AM603:BC603)</f>
      </c>
      <c r="AG603" s="5">
        <f>IF(SUM(AM603:AO603)&gt;0.7*AF603,1,0)</f>
      </c>
      <c r="AH603" s="5">
        <f>IF(AN603&gt;0.4*AF603,1,0)</f>
      </c>
      <c r="AI603" s="5">
        <f>IF(SUM(AP603:AQ603)&gt;0.3*AF603,1,0)</f>
      </c>
      <c r="AJ603" s="5">
        <f>IF(AQ603&gt;0.2*AF603,1,0)</f>
      </c>
      <c r="AK603" s="5">
        <f>IF(SUM(AR603:BC603)&gt;0.3*AF603,1,0)</f>
      </c>
      <c r="AL603" s="3"/>
      <c r="AM603" s="6">
        <f>(F603/100)*AM$41</f>
      </c>
      <c r="AN603" s="6">
        <f>(G603/100)*AN$41</f>
      </c>
      <c r="AO603" s="6">
        <f>(H603/1000000)*AO$41</f>
      </c>
      <c r="AP603" s="6">
        <f>(I603/100)*AP$41</f>
      </c>
      <c r="AQ603" s="6">
        <f>(J603/1000000)*AQ$41</f>
      </c>
      <c r="AR603" s="6">
        <f>(K603/100)*AR$41</f>
      </c>
      <c r="AS603" s="6">
        <f>(L603/100)*AS$41</f>
      </c>
      <c r="AT603" s="6">
        <f>(M603/100)*AT$41</f>
      </c>
      <c r="AU603" s="6">
        <f>(N603/100)*AU$41</f>
      </c>
      <c r="AV603" s="6">
        <f>(O603/1000000)*AV$41</f>
      </c>
      <c r="AW603" s="6">
        <f>(P603/100)*AW$41</f>
      </c>
      <c r="AX603" s="6">
        <f>(Q603/100)*AX$41</f>
      </c>
      <c r="AY603" s="6">
        <f>(R603/100)*AY$41</f>
      </c>
      <c r="AZ603" s="6">
        <f>(S603/100)*AZ$41</f>
      </c>
      <c r="BA603" s="6">
        <f>(T603/100)*BA$41</f>
      </c>
      <c r="BB603" s="6">
        <f>(U603/100)*BB$41</f>
      </c>
      <c r="BC603" s="6"/>
      <c r="BD603" s="3"/>
      <c r="BE603" s="3"/>
      <c r="BF603" s="7">
        <f>AF603*E603</f>
      </c>
      <c r="BG603" s="6"/>
      <c r="BH603" s="3"/>
      <c r="BI603" s="6"/>
    </row>
    <row x14ac:dyDescent="0.25" r="604" customHeight="1" ht="12.75">
      <c r="A604" s="5" t="s">
        <v>675</v>
      </c>
      <c r="B604" s="38" t="s">
        <v>859</v>
      </c>
      <c r="C604" s="43" t="s">
        <v>869</v>
      </c>
      <c r="D604" s="34"/>
      <c r="E604" s="23">
        <v>0.307234</v>
      </c>
      <c r="F604" s="6"/>
      <c r="G604" s="7">
        <v>2.73020564130272</v>
      </c>
      <c r="H604" s="7">
        <v>54.56092554860464</v>
      </c>
      <c r="I604" s="6"/>
      <c r="J604" s="7">
        <v>2.5929734339298385</v>
      </c>
      <c r="K604" s="7"/>
      <c r="L604" s="6"/>
      <c r="M604" s="6"/>
      <c r="N604" s="23"/>
      <c r="O604" s="5"/>
      <c r="P604" s="6"/>
      <c r="Q604" s="6"/>
      <c r="R604" s="6"/>
      <c r="S604" s="6"/>
      <c r="T604" s="6"/>
      <c r="U604" s="6"/>
      <c r="V604" s="5"/>
      <c r="W604" s="6"/>
      <c r="X604" s="6">
        <f>E604*F604/100</f>
      </c>
      <c r="Y604" s="6">
        <f>E604*G604/100</f>
      </c>
      <c r="Z604" s="7">
        <f>E604*H604</f>
      </c>
      <c r="AA604" s="7">
        <f>E604*J604</f>
      </c>
      <c r="AB604" s="6">
        <f>E604*I604/100</f>
      </c>
      <c r="AC604" s="15">
        <f>X604+Y604+AB604</f>
      </c>
      <c r="AD604" s="6">
        <f>F604+G604+I604</f>
      </c>
      <c r="AE604" s="3"/>
      <c r="AF604" s="6">
        <f>SUM(AM604:BC604)</f>
      </c>
      <c r="AG604" s="5">
        <f>IF(SUM(AM604:AO604)&gt;0.7*AF604,1,0)</f>
      </c>
      <c r="AH604" s="5">
        <f>IF(AN604&gt;0.4*AF604,1,0)</f>
      </c>
      <c r="AI604" s="5">
        <f>IF(SUM(AP604:AQ604)&gt;0.3*AF604,1,0)</f>
      </c>
      <c r="AJ604" s="5">
        <f>IF(AQ604&gt;0.2*AF604,1,0)</f>
      </c>
      <c r="AK604" s="5">
        <f>IF(SUM(AR604:BC604)&gt;0.3*AF604,1,0)</f>
      </c>
      <c r="AL604" s="3"/>
      <c r="AM604" s="6">
        <f>(F604/100)*AM$41</f>
      </c>
      <c r="AN604" s="6">
        <f>(G604/100)*AN$41</f>
      </c>
      <c r="AO604" s="6">
        <f>(H604/1000000)*AO$41</f>
      </c>
      <c r="AP604" s="6">
        <f>(I604/100)*AP$41</f>
      </c>
      <c r="AQ604" s="6">
        <f>(J604/1000000)*AQ$41</f>
      </c>
      <c r="AR604" s="6">
        <f>(K604/100)*AR$41</f>
      </c>
      <c r="AS604" s="6">
        <f>(L604/100)*AS$41</f>
      </c>
      <c r="AT604" s="6">
        <f>(M604/100)*AT$41</f>
      </c>
      <c r="AU604" s="6">
        <f>(N604/100)*AU$41</f>
      </c>
      <c r="AV604" s="6">
        <f>(O604/1000000)*AV$41</f>
      </c>
      <c r="AW604" s="6">
        <f>(P604/100)*AW$41</f>
      </c>
      <c r="AX604" s="6">
        <f>(Q604/100)*AX$41</f>
      </c>
      <c r="AY604" s="6">
        <f>(R604/100)*AY$41</f>
      </c>
      <c r="AZ604" s="6">
        <f>(S604/100)*AZ$41</f>
      </c>
      <c r="BA604" s="6">
        <f>(T604/100)*BA$41</f>
      </c>
      <c r="BB604" s="6">
        <f>(U604/100)*BB$41</f>
      </c>
      <c r="BC604" s="6"/>
      <c r="BD604" s="3"/>
      <c r="BE604" s="3"/>
      <c r="BF604" s="7">
        <f>AF604*E604</f>
      </c>
      <c r="BG604" s="6"/>
      <c r="BH604" s="3"/>
      <c r="BI604" s="6"/>
    </row>
    <row x14ac:dyDescent="0.25" r="605" customHeight="1" ht="12.75">
      <c r="A605" s="5" t="s">
        <v>231</v>
      </c>
      <c r="B605" s="38" t="s">
        <v>859</v>
      </c>
      <c r="C605" s="43" t="s">
        <v>869</v>
      </c>
      <c r="D605" s="34"/>
      <c r="E605" s="6">
        <v>0.00742</v>
      </c>
      <c r="F605" s="6">
        <v>6.7</v>
      </c>
      <c r="G605" s="6">
        <v>3.7</v>
      </c>
      <c r="H605" s="5">
        <v>343</v>
      </c>
      <c r="I605" s="6"/>
      <c r="J605" s="6"/>
      <c r="K605" s="7"/>
      <c r="L605" s="6"/>
      <c r="M605" s="6"/>
      <c r="N605" s="23"/>
      <c r="O605" s="5"/>
      <c r="P605" s="6"/>
      <c r="Q605" s="6"/>
      <c r="R605" s="6"/>
      <c r="S605" s="6"/>
      <c r="T605" s="6"/>
      <c r="U605" s="6"/>
      <c r="V605" s="5"/>
      <c r="W605" s="6"/>
      <c r="X605" s="6">
        <f>E605*F605/100</f>
      </c>
      <c r="Y605" s="6">
        <f>E605*G605/100</f>
      </c>
      <c r="Z605" s="7">
        <f>E605*H605</f>
      </c>
      <c r="AA605" s="7">
        <f>E605*J605</f>
      </c>
      <c r="AB605" s="6">
        <f>E605*I605/100</f>
      </c>
      <c r="AC605" s="15">
        <f>X605+Y605+AB605</f>
      </c>
      <c r="AD605" s="6">
        <f>F605+G605+I605</f>
      </c>
      <c r="AE605" s="3"/>
      <c r="AF605" s="6">
        <f>SUM(AM605:BC605)</f>
      </c>
      <c r="AG605" s="5">
        <f>IF(SUM(AM605:AO605)&gt;0.7*AF605,1,0)</f>
      </c>
      <c r="AH605" s="5">
        <f>IF(AN605&gt;0.4*AF605,1,0)</f>
      </c>
      <c r="AI605" s="5">
        <f>IF(SUM(AP605:AQ605)&gt;0.3*AF605,1,0)</f>
      </c>
      <c r="AJ605" s="5">
        <f>IF(AQ605&gt;0.2*AF605,1,0)</f>
      </c>
      <c r="AK605" s="5">
        <f>IF(SUM(AR605:BC605)&gt;0.3*AF605,1,0)</f>
      </c>
      <c r="AL605" s="3"/>
      <c r="AM605" s="6">
        <f>(F605/100)*AM$41</f>
      </c>
      <c r="AN605" s="6">
        <f>(G605/100)*AN$41</f>
      </c>
      <c r="AO605" s="6">
        <f>(H605/1000000)*AO$41</f>
      </c>
      <c r="AP605" s="6">
        <f>(I605/100)*AP$41</f>
      </c>
      <c r="AQ605" s="6">
        <f>(J605/1000000)*AQ$41</f>
      </c>
      <c r="AR605" s="6">
        <f>(K605/100)*AR$41</f>
      </c>
      <c r="AS605" s="6">
        <f>(L605/100)*AS$41</f>
      </c>
      <c r="AT605" s="6">
        <f>(M605/100)*AT$41</f>
      </c>
      <c r="AU605" s="6">
        <f>(N605/100)*AU$41</f>
      </c>
      <c r="AV605" s="6">
        <f>(O605/1000000)*AV$41</f>
      </c>
      <c r="AW605" s="6">
        <f>(P605/100)*AW$41</f>
      </c>
      <c r="AX605" s="6">
        <f>(Q605/100)*AX$41</f>
      </c>
      <c r="AY605" s="6">
        <f>(R605/100)*AY$41</f>
      </c>
      <c r="AZ605" s="6">
        <f>(S605/100)*AZ$41</f>
      </c>
      <c r="BA605" s="6">
        <f>(T605/100)*BA$41</f>
      </c>
      <c r="BB605" s="6">
        <f>(U605/100)*BB$41</f>
      </c>
      <c r="BC605" s="6"/>
      <c r="BD605" s="3"/>
      <c r="BE605" s="3"/>
      <c r="BF605" s="7">
        <f>AF605*E605</f>
      </c>
      <c r="BG605" s="6"/>
      <c r="BH605" s="3"/>
      <c r="BI605" s="6"/>
    </row>
    <row x14ac:dyDescent="0.25" r="606" customHeight="1" ht="12.75">
      <c r="A606" s="5" t="s">
        <v>641</v>
      </c>
      <c r="B606" s="38" t="s">
        <v>859</v>
      </c>
      <c r="C606" s="43" t="s">
        <v>1079</v>
      </c>
      <c r="D606" s="34"/>
      <c r="E606" s="23">
        <v>0.317485</v>
      </c>
      <c r="F606" s="6">
        <v>0.1</v>
      </c>
      <c r="G606" s="6">
        <v>2.6</v>
      </c>
      <c r="H606" s="7">
        <v>13.369708994708995</v>
      </c>
      <c r="I606" s="6">
        <v>0.1</v>
      </c>
      <c r="J606" s="6">
        <v>3.496693121693122</v>
      </c>
      <c r="K606" s="7"/>
      <c r="L606" s="6"/>
      <c r="M606" s="6"/>
      <c r="N606" s="23"/>
      <c r="O606" s="5"/>
      <c r="P606" s="6"/>
      <c r="Q606" s="6"/>
      <c r="R606" s="6"/>
      <c r="S606" s="6"/>
      <c r="T606" s="6"/>
      <c r="U606" s="6"/>
      <c r="V606" s="5"/>
      <c r="W606" s="6"/>
      <c r="X606" s="6">
        <f>E606*F606/100</f>
      </c>
      <c r="Y606" s="6">
        <f>E606*G606/100</f>
      </c>
      <c r="Z606" s="7">
        <f>E606*H606</f>
      </c>
      <c r="AA606" s="7">
        <f>E606*J606</f>
      </c>
      <c r="AB606" s="6">
        <f>E606*I606/100</f>
      </c>
      <c r="AC606" s="15">
        <f>X606+Y606+AB606</f>
      </c>
      <c r="AD606" s="6">
        <f>F606+G606+I606</f>
      </c>
      <c r="AE606" s="3"/>
      <c r="AF606" s="6">
        <f>SUM(AM606:BC606)</f>
      </c>
      <c r="AG606" s="5">
        <f>IF(SUM(AM606:AO606)&gt;0.7*AF606,1,0)</f>
      </c>
      <c r="AH606" s="5">
        <f>IF(AN606&gt;0.4*AF606,1,0)</f>
      </c>
      <c r="AI606" s="5">
        <f>IF(SUM(AP606:AQ606)&gt;0.3*AF606,1,0)</f>
      </c>
      <c r="AJ606" s="5">
        <f>IF(AQ606&gt;0.2*AF606,1,0)</f>
      </c>
      <c r="AK606" s="5">
        <f>IF(SUM(AR606:BC606)&gt;0.3*AF606,1,0)</f>
      </c>
      <c r="AL606" s="3"/>
      <c r="AM606" s="6">
        <f>(F606/100)*AM$41</f>
      </c>
      <c r="AN606" s="6">
        <f>(G606/100)*AN$41</f>
      </c>
      <c r="AO606" s="6">
        <f>(H606/1000000)*AO$41</f>
      </c>
      <c r="AP606" s="6">
        <f>(I606/100)*AP$41</f>
      </c>
      <c r="AQ606" s="6">
        <f>(J606/1000000)*AQ$41</f>
      </c>
      <c r="AR606" s="6">
        <f>(K606/100)*AR$41</f>
      </c>
      <c r="AS606" s="6">
        <f>(L606/100)*AS$41</f>
      </c>
      <c r="AT606" s="6">
        <f>(M606/100)*AT$41</f>
      </c>
      <c r="AU606" s="6">
        <f>(N606/100)*AU$41</f>
      </c>
      <c r="AV606" s="6">
        <f>(O606/1000000)*AV$41</f>
      </c>
      <c r="AW606" s="6">
        <f>(P606/100)*AW$41</f>
      </c>
      <c r="AX606" s="6">
        <f>(Q606/100)*AX$41</f>
      </c>
      <c r="AY606" s="6">
        <f>(R606/100)*AY$41</f>
      </c>
      <c r="AZ606" s="6">
        <f>(S606/100)*AZ$41</f>
      </c>
      <c r="BA606" s="6">
        <f>(T606/100)*BA$41</f>
      </c>
      <c r="BB606" s="6">
        <f>(U606/100)*BB$41</f>
      </c>
      <c r="BC606" s="6"/>
      <c r="BD606" s="3"/>
      <c r="BE606" s="3"/>
      <c r="BF606" s="7">
        <f>AF606*E606</f>
      </c>
      <c r="BG606" s="6"/>
      <c r="BH606" s="3"/>
      <c r="BI606" s="6"/>
    </row>
    <row x14ac:dyDescent="0.25" r="607" customHeight="1" ht="12.75">
      <c r="A607" s="5" t="s">
        <v>362</v>
      </c>
      <c r="B607" s="38" t="s">
        <v>859</v>
      </c>
      <c r="C607" s="43" t="s">
        <v>1023</v>
      </c>
      <c r="D607" s="34"/>
      <c r="E607" s="23">
        <v>0.9050629999999998</v>
      </c>
      <c r="F607" s="7">
        <v>6.0933526174421</v>
      </c>
      <c r="G607" s="6">
        <v>3.4857420091198077</v>
      </c>
      <c r="H607" s="31">
        <v>136.54615327330808</v>
      </c>
      <c r="I607" s="6">
        <v>0.03557873871763625</v>
      </c>
      <c r="J607" s="6"/>
      <c r="K607" s="7"/>
      <c r="L607" s="6"/>
      <c r="M607" s="6"/>
      <c r="N607" s="23"/>
      <c r="O607" s="5"/>
      <c r="P607" s="6"/>
      <c r="Q607" s="6"/>
      <c r="R607" s="6"/>
      <c r="S607" s="6"/>
      <c r="T607" s="6"/>
      <c r="U607" s="6"/>
      <c r="V607" s="5"/>
      <c r="W607" s="6"/>
      <c r="X607" s="6">
        <f>E607*F607/100</f>
      </c>
      <c r="Y607" s="6">
        <f>E607*G607/100</f>
      </c>
      <c r="Z607" s="7">
        <f>E607*H607</f>
      </c>
      <c r="AA607" s="7">
        <f>E607*J607</f>
      </c>
      <c r="AB607" s="6">
        <f>E607*I607/100</f>
      </c>
      <c r="AC607" s="15">
        <f>X607+Y607+AB607</f>
      </c>
      <c r="AD607" s="6">
        <f>F607+G607+I607</f>
      </c>
      <c r="AE607" s="3"/>
      <c r="AF607" s="6">
        <f>SUM(AM607:BC607)</f>
      </c>
      <c r="AG607" s="5">
        <f>IF(SUM(AM607:AO607)&gt;0.7*AF607,1,0)</f>
      </c>
      <c r="AH607" s="5">
        <f>IF(AN607&gt;0.4*AF607,1,0)</f>
      </c>
      <c r="AI607" s="5">
        <f>IF(SUM(AP607:AQ607)&gt;0.3*AF607,1,0)</f>
      </c>
      <c r="AJ607" s="5">
        <f>IF(AQ607&gt;0.2*AF607,1,0)</f>
      </c>
      <c r="AK607" s="5">
        <f>IF(SUM(AR607:BC607)&gt;0.3*AF607,1,0)</f>
      </c>
      <c r="AL607" s="3"/>
      <c r="AM607" s="6">
        <f>(F607/100)*AM$41</f>
      </c>
      <c r="AN607" s="6">
        <f>(G607/100)*AN$41</f>
      </c>
      <c r="AO607" s="6">
        <f>(H607/1000000)*AO$41</f>
      </c>
      <c r="AP607" s="6">
        <f>(I607/100)*AP$41</f>
      </c>
      <c r="AQ607" s="6">
        <f>(J607/1000000)*AQ$41</f>
      </c>
      <c r="AR607" s="6">
        <f>(K607/100)*AR$41</f>
      </c>
      <c r="AS607" s="6">
        <f>(L607/100)*AS$41</f>
      </c>
      <c r="AT607" s="6">
        <f>(M607/100)*AT$41</f>
      </c>
      <c r="AU607" s="6">
        <f>(N607/100)*AU$41</f>
      </c>
      <c r="AV607" s="6">
        <f>(O607/1000000)*AV$41</f>
      </c>
      <c r="AW607" s="6">
        <f>(P607/100)*AW$41</f>
      </c>
      <c r="AX607" s="6">
        <f>(Q607/100)*AX$41</f>
      </c>
      <c r="AY607" s="6">
        <f>(R607/100)*AY$41</f>
      </c>
      <c r="AZ607" s="6">
        <f>(S607/100)*AZ$41</f>
      </c>
      <c r="BA607" s="6">
        <f>(T607/100)*BA$41</f>
      </c>
      <c r="BB607" s="6">
        <f>(U607/100)*BB$41</f>
      </c>
      <c r="BC607" s="6"/>
      <c r="BD607" s="3"/>
      <c r="BE607" s="3"/>
      <c r="BF607" s="7">
        <f>AF607*E607</f>
      </c>
      <c r="BG607" s="6"/>
      <c r="BH607" s="3"/>
      <c r="BI607" s="6"/>
    </row>
    <row x14ac:dyDescent="0.25" r="608" customHeight="1" ht="12.75">
      <c r="A608" s="5" t="s">
        <v>298</v>
      </c>
      <c r="B608" s="38" t="s">
        <v>859</v>
      </c>
      <c r="C608" s="43" t="s">
        <v>1023</v>
      </c>
      <c r="D608" s="34"/>
      <c r="E608" s="23">
        <v>0.327373</v>
      </c>
      <c r="F608" s="6">
        <v>5.64</v>
      </c>
      <c r="G608" s="6">
        <v>4.6</v>
      </c>
      <c r="H608" s="6">
        <v>254.8</v>
      </c>
      <c r="I608" s="6"/>
      <c r="J608" s="6"/>
      <c r="K608" s="7"/>
      <c r="L608" s="6"/>
      <c r="M608" s="6"/>
      <c r="N608" s="23"/>
      <c r="O608" s="5"/>
      <c r="P608" s="6"/>
      <c r="Q608" s="6"/>
      <c r="R608" s="6"/>
      <c r="S608" s="6"/>
      <c r="T608" s="6"/>
      <c r="U608" s="6"/>
      <c r="V608" s="5"/>
      <c r="W608" s="6"/>
      <c r="X608" s="6">
        <f>E608*F608/100</f>
      </c>
      <c r="Y608" s="6">
        <f>E608*G608/100</f>
      </c>
      <c r="Z608" s="7">
        <f>E608*H608</f>
      </c>
      <c r="AA608" s="7">
        <f>E608*J608</f>
      </c>
      <c r="AB608" s="6">
        <f>E608*I608/100</f>
      </c>
      <c r="AC608" s="15">
        <f>X608+Y608+AB608</f>
      </c>
      <c r="AD608" s="6">
        <f>F608+G608+I608</f>
      </c>
      <c r="AE608" s="3"/>
      <c r="AF608" s="6">
        <f>SUM(AM608:BC608)</f>
      </c>
      <c r="AG608" s="5">
        <f>IF(SUM(AM608:AO608)&gt;0.7*AF608,1,0)</f>
      </c>
      <c r="AH608" s="5">
        <f>IF(AN608&gt;0.4*AF608,1,0)</f>
      </c>
      <c r="AI608" s="5">
        <f>IF(SUM(AP608:AQ608)&gt;0.3*AF608,1,0)</f>
      </c>
      <c r="AJ608" s="5">
        <f>IF(AQ608&gt;0.2*AF608,1,0)</f>
      </c>
      <c r="AK608" s="5">
        <f>IF(SUM(AR608:BC608)&gt;0.3*AF608,1,0)</f>
      </c>
      <c r="AL608" s="3"/>
      <c r="AM608" s="6">
        <f>(F608/100)*AM$41</f>
      </c>
      <c r="AN608" s="6">
        <f>(G608/100)*AN$41</f>
      </c>
      <c r="AO608" s="6">
        <f>(H608/1000000)*AO$41</f>
      </c>
      <c r="AP608" s="6">
        <f>(I608/100)*AP$41</f>
      </c>
      <c r="AQ608" s="6">
        <f>(J608/1000000)*AQ$41</f>
      </c>
      <c r="AR608" s="6">
        <f>(K608/100)*AR$41</f>
      </c>
      <c r="AS608" s="6">
        <f>(L608/100)*AS$41</f>
      </c>
      <c r="AT608" s="6">
        <f>(M608/100)*AT$41</f>
      </c>
      <c r="AU608" s="6">
        <f>(N608/100)*AU$41</f>
      </c>
      <c r="AV608" s="6">
        <f>(O608/1000000)*AV$41</f>
      </c>
      <c r="AW608" s="6">
        <f>(P608/100)*AW$41</f>
      </c>
      <c r="AX608" s="6">
        <f>(Q608/100)*AX$41</f>
      </c>
      <c r="AY608" s="6">
        <f>(R608/100)*AY$41</f>
      </c>
      <c r="AZ608" s="6">
        <f>(S608/100)*AZ$41</f>
      </c>
      <c r="BA608" s="6">
        <f>(T608/100)*BA$41</f>
      </c>
      <c r="BB608" s="6">
        <f>(U608/100)*BB$41</f>
      </c>
      <c r="BC608" s="6"/>
      <c r="BD608" s="3"/>
      <c r="BE608" s="3"/>
      <c r="BF608" s="7">
        <f>AF608*E608</f>
      </c>
      <c r="BG608" s="6"/>
      <c r="BH608" s="3"/>
      <c r="BI608" s="6"/>
    </row>
    <row x14ac:dyDescent="0.25" r="609" customHeight="1" ht="12.75">
      <c r="A609" s="5" t="s">
        <v>51</v>
      </c>
      <c r="B609" s="3" t="s">
        <v>855</v>
      </c>
      <c r="C609" s="43" t="s">
        <v>870</v>
      </c>
      <c r="D609" s="34"/>
      <c r="E609" s="6">
        <v>193.323</v>
      </c>
      <c r="F609" s="7">
        <v>0.9256508537525281</v>
      </c>
      <c r="G609" s="7">
        <v>3.7785473016661233</v>
      </c>
      <c r="H609" s="31">
        <v>53.3117270060986</v>
      </c>
      <c r="I609" s="7">
        <v>1.2443439218303047</v>
      </c>
      <c r="J609" s="6"/>
      <c r="K609" s="7"/>
      <c r="L609" s="6"/>
      <c r="M609" s="6"/>
      <c r="N609" s="23"/>
      <c r="O609" s="5"/>
      <c r="P609" s="6"/>
      <c r="Q609" s="6"/>
      <c r="R609" s="6"/>
      <c r="S609" s="6"/>
      <c r="T609" s="6"/>
      <c r="U609" s="6"/>
      <c r="V609" s="5"/>
      <c r="W609" s="6"/>
      <c r="X609" s="6">
        <f>E609*F609/100</f>
      </c>
      <c r="Y609" s="6">
        <f>E609*G609/100</f>
      </c>
      <c r="Z609" s="7">
        <f>E609*H609</f>
      </c>
      <c r="AA609" s="7">
        <f>E609*J609</f>
      </c>
      <c r="AB609" s="6">
        <f>E609*I609/100</f>
      </c>
      <c r="AC609" s="15">
        <f>X609+Y609+AB609</f>
      </c>
      <c r="AD609" s="6">
        <f>F609+G609+I609</f>
      </c>
      <c r="AE609" s="3"/>
      <c r="AF609" s="6">
        <f>SUM(AM609:BC609)</f>
      </c>
      <c r="AG609" s="5">
        <f>IF(SUM(AM609:AO609)&gt;0.7*AF609,1,0)</f>
      </c>
      <c r="AH609" s="5">
        <f>IF(AN609&gt;0.4*AF609,1,0)</f>
      </c>
      <c r="AI609" s="5">
        <f>IF(SUM(AP609:AQ609)&gt;0.3*AF609,1,0)</f>
      </c>
      <c r="AJ609" s="5">
        <f>IF(AQ609&gt;0.2*AF609,1,0)</f>
      </c>
      <c r="AK609" s="5">
        <f>IF(SUM(AR609:BC609)&gt;0.3*AF609,1,0)</f>
      </c>
      <c r="AL609" s="3"/>
      <c r="AM609" s="6">
        <f>(F609/100)*AM$41</f>
      </c>
      <c r="AN609" s="6">
        <f>(G609/100)*AN$41</f>
      </c>
      <c r="AO609" s="6">
        <f>(H609/1000000)*AO$41</f>
      </c>
      <c r="AP609" s="6">
        <f>(I609/100)*AP$41</f>
      </c>
      <c r="AQ609" s="6">
        <f>(J609/1000000)*AQ$41</f>
      </c>
      <c r="AR609" s="6">
        <f>(K609/100)*AR$41</f>
      </c>
      <c r="AS609" s="6">
        <f>(L609/100)*AS$41</f>
      </c>
      <c r="AT609" s="6">
        <f>(M609/100)*AT$41</f>
      </c>
      <c r="AU609" s="6">
        <f>(N609/100)*AU$41</f>
      </c>
      <c r="AV609" s="6">
        <f>(O609/1000000)*AV$41</f>
      </c>
      <c r="AW609" s="6">
        <f>(P609/100)*AW$41</f>
      </c>
      <c r="AX609" s="6">
        <f>(Q609/100)*AX$41</f>
      </c>
      <c r="AY609" s="6">
        <f>(R609/100)*AY$41</f>
      </c>
      <c r="AZ609" s="6">
        <f>(S609/100)*AZ$41</f>
      </c>
      <c r="BA609" s="6">
        <f>(T609/100)*BA$41</f>
      </c>
      <c r="BB609" s="6">
        <f>(U609/100)*BB$41</f>
      </c>
      <c r="BC609" s="6"/>
      <c r="BD609" s="3"/>
      <c r="BE609" s="3"/>
      <c r="BF609" s="7">
        <f>AF609*E609</f>
      </c>
      <c r="BG609" s="6"/>
      <c r="BH609" s="3"/>
      <c r="BI609" s="6"/>
    </row>
    <row x14ac:dyDescent="0.25" r="610" customHeight="1" ht="12.75">
      <c r="A610" s="5" t="s">
        <v>134</v>
      </c>
      <c r="B610" s="3" t="s">
        <v>855</v>
      </c>
      <c r="C610" s="43" t="s">
        <v>870</v>
      </c>
      <c r="D610" s="34"/>
      <c r="E610" s="6">
        <v>74.39999999999999</v>
      </c>
      <c r="F610" s="7">
        <v>1.7739247311827961</v>
      </c>
      <c r="G610" s="7">
        <v>3.927016129032258</v>
      </c>
      <c r="H610" s="31">
        <v>125.48790322580646</v>
      </c>
      <c r="I610" s="6">
        <v>0.05474462365591399</v>
      </c>
      <c r="J610" s="7">
        <v>0.3736559139784946</v>
      </c>
      <c r="K610" s="7"/>
      <c r="L610" s="6"/>
      <c r="M610" s="6"/>
      <c r="N610" s="23"/>
      <c r="O610" s="5"/>
      <c r="P610" s="6"/>
      <c r="Q610" s="6"/>
      <c r="R610" s="6"/>
      <c r="S610" s="6"/>
      <c r="T610" s="6"/>
      <c r="U610" s="6"/>
      <c r="V610" s="5"/>
      <c r="W610" s="6"/>
      <c r="X610" s="6">
        <f>E610*F610/100</f>
      </c>
      <c r="Y610" s="6">
        <f>E610*G610/100</f>
      </c>
      <c r="Z610" s="7">
        <f>E610*H610</f>
      </c>
      <c r="AA610" s="7">
        <f>E610*J610</f>
      </c>
      <c r="AB610" s="6">
        <f>E610*I610/100</f>
      </c>
      <c r="AC610" s="15">
        <f>X610+Y610+AB610</f>
      </c>
      <c r="AD610" s="6">
        <f>F610+G610+I610</f>
      </c>
      <c r="AE610" s="3"/>
      <c r="AF610" s="6">
        <f>SUM(AM610:BC610)</f>
      </c>
      <c r="AG610" s="5">
        <f>IF(SUM(AM610:AO610)&gt;0.7*AF610,1,0)</f>
      </c>
      <c r="AH610" s="5">
        <f>IF(AN610&gt;0.4*AF610,1,0)</f>
      </c>
      <c r="AI610" s="5">
        <f>IF(SUM(AP610:AQ610)&gt;0.3*AF610,1,0)</f>
      </c>
      <c r="AJ610" s="5">
        <f>IF(AQ610&gt;0.2*AF610,1,0)</f>
      </c>
      <c r="AK610" s="5">
        <f>IF(SUM(AR610:BC610)&gt;0.3*AF610,1,0)</f>
      </c>
      <c r="AL610" s="3"/>
      <c r="AM610" s="6">
        <f>(F610/100)*AM$41</f>
      </c>
      <c r="AN610" s="6">
        <f>(G610/100)*AN$41</f>
      </c>
      <c r="AO610" s="6">
        <f>(H610/1000000)*AO$41</f>
      </c>
      <c r="AP610" s="6">
        <f>(I610/100)*AP$41</f>
      </c>
      <c r="AQ610" s="6">
        <f>(J610/1000000)*AQ$41</f>
      </c>
      <c r="AR610" s="6">
        <f>(K610/100)*AR$41</f>
      </c>
      <c r="AS610" s="6">
        <f>(L610/100)*AS$41</f>
      </c>
      <c r="AT610" s="6">
        <f>(M610/100)*AT$41</f>
      </c>
      <c r="AU610" s="6">
        <f>(N610/100)*AU$41</f>
      </c>
      <c r="AV610" s="6">
        <f>(O610/1000000)*AV$41</f>
      </c>
      <c r="AW610" s="6">
        <f>(P610/100)*AW$41</f>
      </c>
      <c r="AX610" s="6">
        <f>(Q610/100)*AX$41</f>
      </c>
      <c r="AY610" s="6">
        <f>(R610/100)*AY$41</f>
      </c>
      <c r="AZ610" s="6">
        <f>(S610/100)*AZ$41</f>
      </c>
      <c r="BA610" s="6">
        <f>(T610/100)*BA$41</f>
      </c>
      <c r="BB610" s="6">
        <f>(U610/100)*BB$41</f>
      </c>
      <c r="BC610" s="6"/>
      <c r="BD610" s="3"/>
      <c r="BE610" s="3"/>
      <c r="BF610" s="7">
        <f>AF610*E610</f>
      </c>
      <c r="BG610" s="6"/>
      <c r="BH610" s="3"/>
      <c r="BI610" s="6"/>
    </row>
    <row x14ac:dyDescent="0.25" r="611" customHeight="1" ht="12.75">
      <c r="A611" s="5" t="s">
        <v>119</v>
      </c>
      <c r="B611" s="3" t="s">
        <v>855</v>
      </c>
      <c r="C611" s="43" t="s">
        <v>870</v>
      </c>
      <c r="D611" s="34"/>
      <c r="E611" s="5">
        <v>87</v>
      </c>
      <c r="F611" s="7">
        <v>0.5310344827586208</v>
      </c>
      <c r="G611" s="7">
        <v>3.810344827586207</v>
      </c>
      <c r="H611" s="31">
        <v>143.79310344827587</v>
      </c>
      <c r="I611" s="7">
        <v>0.43103448275862066</v>
      </c>
      <c r="J611" s="7">
        <v>0.2310344827586207</v>
      </c>
      <c r="K611" s="7"/>
      <c r="L611" s="6"/>
      <c r="M611" s="6"/>
      <c r="N611" s="23"/>
      <c r="O611" s="5"/>
      <c r="P611" s="6"/>
      <c r="Q611" s="6"/>
      <c r="R611" s="6"/>
      <c r="S611" s="6"/>
      <c r="T611" s="6"/>
      <c r="U611" s="6"/>
      <c r="V611" s="5"/>
      <c r="W611" s="6"/>
      <c r="X611" s="6">
        <f>E611*F611/100</f>
      </c>
      <c r="Y611" s="6">
        <f>E611*G611/100</f>
      </c>
      <c r="Z611" s="7">
        <f>E611*H611</f>
      </c>
      <c r="AA611" s="7">
        <f>E611*J611</f>
      </c>
      <c r="AB611" s="6">
        <f>E611*I611/100</f>
      </c>
      <c r="AC611" s="15">
        <f>X611+Y611+AB611</f>
      </c>
      <c r="AD611" s="6">
        <f>F611+G611+I611</f>
      </c>
      <c r="AE611" s="3"/>
      <c r="AF611" s="6">
        <f>SUM(AM611:BC611)</f>
      </c>
      <c r="AG611" s="5">
        <f>IF(SUM(AM611:AO611)&gt;0.7*AF611,1,0)</f>
      </c>
      <c r="AH611" s="5">
        <f>IF(AN611&gt;0.4*AF611,1,0)</f>
      </c>
      <c r="AI611" s="5">
        <f>IF(SUM(AP611:AQ611)&gt;0.3*AF611,1,0)</f>
      </c>
      <c r="AJ611" s="5">
        <f>IF(AQ611&gt;0.2*AF611,1,0)</f>
      </c>
      <c r="AK611" s="5">
        <f>IF(SUM(AR611:BC611)&gt;0.3*AF611,1,0)</f>
      </c>
      <c r="AL611" s="3"/>
      <c r="AM611" s="6">
        <f>(F611/100)*AM$41</f>
      </c>
      <c r="AN611" s="6">
        <f>(G611/100)*AN$41</f>
      </c>
      <c r="AO611" s="6">
        <f>(H611/1000000)*AO$41</f>
      </c>
      <c r="AP611" s="6">
        <f>(I611/100)*AP$41</f>
      </c>
      <c r="AQ611" s="6">
        <f>(J611/1000000)*AQ$41</f>
      </c>
      <c r="AR611" s="6">
        <f>(K611/100)*AR$41</f>
      </c>
      <c r="AS611" s="6">
        <f>(L611/100)*AS$41</f>
      </c>
      <c r="AT611" s="6">
        <f>(M611/100)*AT$41</f>
      </c>
      <c r="AU611" s="6">
        <f>(N611/100)*AU$41</f>
      </c>
      <c r="AV611" s="6">
        <f>(O611/1000000)*AV$41</f>
      </c>
      <c r="AW611" s="6">
        <f>(P611/100)*AW$41</f>
      </c>
      <c r="AX611" s="6">
        <f>(Q611/100)*AX$41</f>
      </c>
      <c r="AY611" s="6">
        <f>(R611/100)*AY$41</f>
      </c>
      <c r="AZ611" s="6">
        <f>(S611/100)*AZ$41</f>
      </c>
      <c r="BA611" s="6">
        <f>(T611/100)*BA$41</f>
      </c>
      <c r="BB611" s="6">
        <f>(U611/100)*BB$41</f>
      </c>
      <c r="BC611" s="6"/>
      <c r="BD611" s="3"/>
      <c r="BE611" s="3"/>
      <c r="BF611" s="7">
        <f>AF611*E611</f>
      </c>
      <c r="BG611" s="6"/>
      <c r="BH611" s="3"/>
      <c r="BI611" s="6"/>
    </row>
    <row x14ac:dyDescent="0.25" r="612" customHeight="1" ht="12.75">
      <c r="A612" s="5" t="s">
        <v>140</v>
      </c>
      <c r="B612" s="3" t="s">
        <v>855</v>
      </c>
      <c r="C612" s="43" t="s">
        <v>870</v>
      </c>
      <c r="D612" s="34"/>
      <c r="E612" s="5">
        <v>107</v>
      </c>
      <c r="F612" s="6">
        <v>3.494392523364486</v>
      </c>
      <c r="G612" s="6">
        <v>0.08691588785046729</v>
      </c>
      <c r="H612" s="7">
        <v>9.25233644859813</v>
      </c>
      <c r="I612" s="6">
        <v>0.18831775700934578</v>
      </c>
      <c r="J612" s="6">
        <v>0.10579439252336449</v>
      </c>
      <c r="K612" s="7"/>
      <c r="L612" s="6"/>
      <c r="M612" s="6"/>
      <c r="N612" s="23"/>
      <c r="O612" s="5"/>
      <c r="P612" s="6"/>
      <c r="Q612" s="6"/>
      <c r="R612" s="6"/>
      <c r="S612" s="6"/>
      <c r="T612" s="6"/>
      <c r="U612" s="6"/>
      <c r="V612" s="5"/>
      <c r="W612" s="6"/>
      <c r="X612" s="6">
        <f>E612*F612/100</f>
      </c>
      <c r="Y612" s="6">
        <f>E612*G612/100</f>
      </c>
      <c r="Z612" s="7">
        <f>E612*H612</f>
      </c>
      <c r="AA612" s="7">
        <f>E612*J612</f>
      </c>
      <c r="AB612" s="6">
        <f>E612*I612/100</f>
      </c>
      <c r="AC612" s="15">
        <f>X612+Y612+AB612</f>
      </c>
      <c r="AD612" s="6">
        <f>F612+G612+I612</f>
      </c>
      <c r="AE612" s="3"/>
      <c r="AF612" s="6">
        <f>SUM(AM612:BC612)</f>
      </c>
      <c r="AG612" s="5">
        <f>IF(SUM(AM612:AO612)&gt;0.7*AF612,1,0)</f>
      </c>
      <c r="AH612" s="5">
        <f>IF(AN612&gt;0.4*AF612,1,0)</f>
      </c>
      <c r="AI612" s="5">
        <f>IF(SUM(AP612:AQ612)&gt;0.3*AF612,1,0)</f>
      </c>
      <c r="AJ612" s="5">
        <f>IF(AQ612&gt;0.2*AF612,1,0)</f>
      </c>
      <c r="AK612" s="5">
        <f>IF(SUM(AR612:BC612)&gt;0.3*AF612,1,0)</f>
      </c>
      <c r="AL612" s="3"/>
      <c r="AM612" s="6">
        <f>(F612/100)*AM$41</f>
      </c>
      <c r="AN612" s="6">
        <f>(G612/100)*AN$41</f>
      </c>
      <c r="AO612" s="6">
        <f>(H612/1000000)*AO$41</f>
      </c>
      <c r="AP612" s="6">
        <f>(I612/100)*AP$41</f>
      </c>
      <c r="AQ612" s="6">
        <f>(J612/1000000)*AQ$41</f>
      </c>
      <c r="AR612" s="6">
        <f>(K612/100)*AR$41</f>
      </c>
      <c r="AS612" s="6">
        <f>(L612/100)*AS$41</f>
      </c>
      <c r="AT612" s="6">
        <f>(M612/100)*AT$41</f>
      </c>
      <c r="AU612" s="6">
        <f>(N612/100)*AU$41</f>
      </c>
      <c r="AV612" s="6">
        <f>(O612/1000000)*AV$41</f>
      </c>
      <c r="AW612" s="6">
        <f>(P612/100)*AW$41</f>
      </c>
      <c r="AX612" s="6">
        <f>(Q612/100)*AX$41</f>
      </c>
      <c r="AY612" s="6">
        <f>(R612/100)*AY$41</f>
      </c>
      <c r="AZ612" s="6">
        <f>(S612/100)*AZ$41</f>
      </c>
      <c r="BA612" s="6">
        <f>(T612/100)*BA$41</f>
      </c>
      <c r="BB612" s="6">
        <f>(U612/100)*BB$41</f>
      </c>
      <c r="BC612" s="6"/>
      <c r="BD612" s="3"/>
      <c r="BE612" s="3"/>
      <c r="BF612" s="7">
        <f>AF612*E612</f>
      </c>
      <c r="BG612" s="6"/>
      <c r="BH612" s="3"/>
      <c r="BI612" s="6"/>
    </row>
    <row x14ac:dyDescent="0.25" r="613" customHeight="1" ht="12.75">
      <c r="A613" s="5" t="s">
        <v>169</v>
      </c>
      <c r="B613" s="3" t="s">
        <v>855</v>
      </c>
      <c r="C613" s="43" t="s">
        <v>870</v>
      </c>
      <c r="D613" s="34"/>
      <c r="E613" s="23">
        <v>85.107369</v>
      </c>
      <c r="F613" s="6">
        <v>0.29</v>
      </c>
      <c r="G613" s="6">
        <v>2.57</v>
      </c>
      <c r="H613" s="7">
        <v>24.569000000000003</v>
      </c>
      <c r="I613" s="6">
        <v>0.75</v>
      </c>
      <c r="J613" s="6"/>
      <c r="K613" s="7"/>
      <c r="L613" s="6"/>
      <c r="M613" s="6"/>
      <c r="N613" s="23"/>
      <c r="O613" s="5"/>
      <c r="P613" s="6"/>
      <c r="Q613" s="6"/>
      <c r="R613" s="6"/>
      <c r="S613" s="6"/>
      <c r="T613" s="6"/>
      <c r="U613" s="6"/>
      <c r="V613" s="5"/>
      <c r="W613" s="6"/>
      <c r="X613" s="6">
        <f>E613*F613/100</f>
      </c>
      <c r="Y613" s="6">
        <f>E613*G613/100</f>
      </c>
      <c r="Z613" s="7">
        <f>E613*H613</f>
      </c>
      <c r="AA613" s="7">
        <f>E613*J613</f>
      </c>
      <c r="AB613" s="6">
        <f>E613*I613/100</f>
      </c>
      <c r="AC613" s="15">
        <f>X613+Y613+AB613</f>
      </c>
      <c r="AD613" s="6">
        <f>F613+G613+I613</f>
      </c>
      <c r="AE613" s="3"/>
      <c r="AF613" s="6">
        <f>SUM(AM613:BC613)</f>
      </c>
      <c r="AG613" s="5">
        <f>IF(SUM(AM613:AO613)&gt;0.7*AF613,1,0)</f>
      </c>
      <c r="AH613" s="5">
        <f>IF(AN613&gt;0.4*AF613,1,0)</f>
      </c>
      <c r="AI613" s="5">
        <f>IF(SUM(AP613:AQ613)&gt;0.3*AF613,1,0)</f>
      </c>
      <c r="AJ613" s="5">
        <f>IF(AQ613&gt;0.2*AF613,1,0)</f>
      </c>
      <c r="AK613" s="5">
        <f>IF(SUM(AR613:BC613)&gt;0.3*AF613,1,0)</f>
      </c>
      <c r="AL613" s="3"/>
      <c r="AM613" s="6">
        <f>(F613/100)*AM$41</f>
      </c>
      <c r="AN613" s="6">
        <f>(G613/100)*AN$41</f>
      </c>
      <c r="AO613" s="6">
        <f>(H613/1000000)*AO$41</f>
      </c>
      <c r="AP613" s="6">
        <f>(I613/100)*AP$41</f>
      </c>
      <c r="AQ613" s="6">
        <f>(J613/1000000)*AQ$41</f>
      </c>
      <c r="AR613" s="6">
        <f>(K613/100)*AR$41</f>
      </c>
      <c r="AS613" s="6">
        <f>(L613/100)*AS$41</f>
      </c>
      <c r="AT613" s="6">
        <f>(M613/100)*AT$41</f>
      </c>
      <c r="AU613" s="6">
        <f>(N613/100)*AU$41</f>
      </c>
      <c r="AV613" s="6">
        <f>(O613/1000000)*AV$41</f>
      </c>
      <c r="AW613" s="6">
        <f>(P613/100)*AW$41</f>
      </c>
      <c r="AX613" s="6">
        <f>(Q613/100)*AX$41</f>
      </c>
      <c r="AY613" s="6">
        <f>(R613/100)*AY$41</f>
      </c>
      <c r="AZ613" s="6">
        <f>(S613/100)*AZ$41</f>
      </c>
      <c r="BA613" s="6">
        <f>(T613/100)*BA$41</f>
      </c>
      <c r="BB613" s="6">
        <f>(U613/100)*BB$41</f>
      </c>
      <c r="BC613" s="6"/>
      <c r="BD613" s="3"/>
      <c r="BE613" s="3"/>
      <c r="BF613" s="7">
        <f>AF613*E613</f>
      </c>
      <c r="BG613" s="6"/>
      <c r="BH613" s="3"/>
      <c r="BI613" s="6"/>
    </row>
    <row x14ac:dyDescent="0.25" r="614" customHeight="1" ht="12.75">
      <c r="A614" s="5" t="s">
        <v>149</v>
      </c>
      <c r="B614" s="3" t="s">
        <v>855</v>
      </c>
      <c r="C614" s="43" t="s">
        <v>870</v>
      </c>
      <c r="D614" s="34"/>
      <c r="E614" s="6">
        <v>19.1</v>
      </c>
      <c r="F614" s="7">
        <v>3.493717277486912</v>
      </c>
      <c r="G614" s="7">
        <v>11.002094240837696</v>
      </c>
      <c r="H614" s="31">
        <v>121.46596858638742</v>
      </c>
      <c r="I614" s="7">
        <v>0.4172774869109947</v>
      </c>
      <c r="J614" s="7">
        <v>1.7418848167539267</v>
      </c>
      <c r="K614" s="7"/>
      <c r="L614" s="6"/>
      <c r="M614" s="6"/>
      <c r="N614" s="23"/>
      <c r="O614" s="5"/>
      <c r="P614" s="6"/>
      <c r="Q614" s="6"/>
      <c r="R614" s="6"/>
      <c r="S614" s="6"/>
      <c r="T614" s="6"/>
      <c r="U614" s="6"/>
      <c r="V614" s="5"/>
      <c r="W614" s="6"/>
      <c r="X614" s="6">
        <f>E614*F614/100</f>
      </c>
      <c r="Y614" s="6">
        <f>E614*G614/100</f>
      </c>
      <c r="Z614" s="7">
        <f>E614*H614</f>
      </c>
      <c r="AA614" s="7">
        <f>E614*J614</f>
      </c>
      <c r="AB614" s="6">
        <f>E614*I614/100</f>
      </c>
      <c r="AC614" s="15">
        <f>X614+Y614+AB614</f>
      </c>
      <c r="AD614" s="6">
        <f>F614+G614+I614</f>
      </c>
      <c r="AE614" s="3"/>
      <c r="AF614" s="6">
        <f>SUM(AM614:BC614)</f>
      </c>
      <c r="AG614" s="5">
        <f>IF(SUM(AM614:AO614)&gt;0.7*AF614,1,0)</f>
      </c>
      <c r="AH614" s="5">
        <f>IF(AN614&gt;0.4*AF614,1,0)</f>
      </c>
      <c r="AI614" s="5">
        <f>IF(SUM(AP614:AQ614)&gt;0.3*AF614,1,0)</f>
      </c>
      <c r="AJ614" s="5">
        <f>IF(AQ614&gt;0.2*AF614,1,0)</f>
      </c>
      <c r="AK614" s="5">
        <f>IF(SUM(AR614:BC614)&gt;0.3*AF614,1,0)</f>
      </c>
      <c r="AL614" s="3"/>
      <c r="AM614" s="6">
        <f>(F614/100)*AM$41</f>
      </c>
      <c r="AN614" s="6">
        <f>(G614/100)*AN$41</f>
      </c>
      <c r="AO614" s="6">
        <f>(H614/1000000)*AO$41</f>
      </c>
      <c r="AP614" s="6">
        <f>(I614/100)*AP$41</f>
      </c>
      <c r="AQ614" s="6">
        <f>(J614/1000000)*AQ$41</f>
      </c>
      <c r="AR614" s="6">
        <f>(K614/100)*AR$41</f>
      </c>
      <c r="AS614" s="6">
        <f>(L614/100)*AS$41</f>
      </c>
      <c r="AT614" s="6">
        <f>(M614/100)*AT$41</f>
      </c>
      <c r="AU614" s="6">
        <f>(N614/100)*AU$41</f>
      </c>
      <c r="AV614" s="6">
        <f>(O614/1000000)*AV$41</f>
      </c>
      <c r="AW614" s="6">
        <f>(P614/100)*AW$41</f>
      </c>
      <c r="AX614" s="6">
        <f>(Q614/100)*AX$41</f>
      </c>
      <c r="AY614" s="6">
        <f>(R614/100)*AY$41</f>
      </c>
      <c r="AZ614" s="6">
        <f>(S614/100)*AZ$41</f>
      </c>
      <c r="BA614" s="6">
        <f>(T614/100)*BA$41</f>
      </c>
      <c r="BB614" s="6">
        <f>(U614/100)*BB$41</f>
      </c>
      <c r="BC614" s="6"/>
      <c r="BD614" s="3"/>
      <c r="BE614" s="3"/>
      <c r="BF614" s="7">
        <f>AF614*E614</f>
      </c>
      <c r="BG614" s="6"/>
      <c r="BH614" s="3"/>
      <c r="BI614" s="6"/>
    </row>
    <row x14ac:dyDescent="0.25" r="615" customHeight="1" ht="12.75">
      <c r="A615" s="5" t="s">
        <v>155</v>
      </c>
      <c r="B615" s="3" t="s">
        <v>855</v>
      </c>
      <c r="C615" s="43" t="s">
        <v>870</v>
      </c>
      <c r="D615" s="34"/>
      <c r="E615" s="7">
        <v>134.082009</v>
      </c>
      <c r="F615" s="6">
        <v>0.45</v>
      </c>
      <c r="G615" s="6">
        <v>1.1</v>
      </c>
      <c r="H615" s="6">
        <v>26.8</v>
      </c>
      <c r="I615" s="6">
        <v>0.54</v>
      </c>
      <c r="J615" s="6">
        <v>0.51</v>
      </c>
      <c r="K615" s="7"/>
      <c r="L615" s="6"/>
      <c r="M615" s="6"/>
      <c r="N615" s="23"/>
      <c r="O615" s="5"/>
      <c r="P615" s="6"/>
      <c r="Q615" s="6"/>
      <c r="R615" s="6"/>
      <c r="S615" s="6"/>
      <c r="T615" s="6"/>
      <c r="U615" s="6"/>
      <c r="V615" s="5"/>
      <c r="W615" s="6"/>
      <c r="X615" s="6">
        <f>E615*F615/100</f>
      </c>
      <c r="Y615" s="6">
        <f>E615*G615/100</f>
      </c>
      <c r="Z615" s="7">
        <f>E615*H615</f>
      </c>
      <c r="AA615" s="7">
        <f>E615*J615</f>
      </c>
      <c r="AB615" s="6">
        <f>E615*I615/100</f>
      </c>
      <c r="AC615" s="15">
        <f>X615+Y615+AB615</f>
      </c>
      <c r="AD615" s="6">
        <f>F615+G615+I615</f>
      </c>
      <c r="AE615" s="3"/>
      <c r="AF615" s="6">
        <f>SUM(AM615:BC615)</f>
      </c>
      <c r="AG615" s="5">
        <f>IF(SUM(AM615:AO615)&gt;0.7*AF615,1,0)</f>
      </c>
      <c r="AH615" s="5">
        <f>IF(AN615&gt;0.4*AF615,1,0)</f>
      </c>
      <c r="AI615" s="5">
        <f>IF(SUM(AP615:AQ615)&gt;0.3*AF615,1,0)</f>
      </c>
      <c r="AJ615" s="5">
        <f>IF(AQ615&gt;0.2*AF615,1,0)</f>
      </c>
      <c r="AK615" s="5">
        <f>IF(SUM(AR615:BC615)&gt;0.3*AF615,1,0)</f>
      </c>
      <c r="AL615" s="3"/>
      <c r="AM615" s="6">
        <f>(F615/100)*AM$41</f>
      </c>
      <c r="AN615" s="6">
        <f>(G615/100)*AN$41</f>
      </c>
      <c r="AO615" s="6">
        <f>(H615/1000000)*AO$41</f>
      </c>
      <c r="AP615" s="6">
        <f>(I615/100)*AP$41</f>
      </c>
      <c r="AQ615" s="6">
        <f>(J615/1000000)*AQ$41</f>
      </c>
      <c r="AR615" s="6">
        <f>(K615/100)*AR$41</f>
      </c>
      <c r="AS615" s="6">
        <f>(L615/100)*AS$41</f>
      </c>
      <c r="AT615" s="6">
        <f>(M615/100)*AT$41</f>
      </c>
      <c r="AU615" s="6">
        <f>(N615/100)*AU$41</f>
      </c>
      <c r="AV615" s="6">
        <f>(O615/1000000)*AV$41</f>
      </c>
      <c r="AW615" s="6">
        <f>(P615/100)*AW$41</f>
      </c>
      <c r="AX615" s="6">
        <f>(Q615/100)*AX$41</f>
      </c>
      <c r="AY615" s="6">
        <f>(R615/100)*AY$41</f>
      </c>
      <c r="AZ615" s="6">
        <f>(S615/100)*AZ$41</f>
      </c>
      <c r="BA615" s="6">
        <f>(T615/100)*BA$41</f>
      </c>
      <c r="BB615" s="6">
        <f>(U615/100)*BB$41</f>
      </c>
      <c r="BC615" s="6"/>
      <c r="BD615" s="3"/>
      <c r="BE615" s="3"/>
      <c r="BF615" s="7">
        <f>AF615*E615</f>
      </c>
      <c r="BG615" s="6"/>
      <c r="BH615" s="3"/>
      <c r="BI615" s="6"/>
    </row>
    <row x14ac:dyDescent="0.25" r="616" customHeight="1" ht="12.75">
      <c r="A616" s="5" t="s">
        <v>191</v>
      </c>
      <c r="B616" s="3" t="s">
        <v>855</v>
      </c>
      <c r="C616" s="43" t="s">
        <v>870</v>
      </c>
      <c r="D616" s="34"/>
      <c r="E616" s="6">
        <v>25.2</v>
      </c>
      <c r="F616" s="6">
        <v>2.1</v>
      </c>
      <c r="G616" s="6">
        <v>8.3</v>
      </c>
      <c r="H616" s="7"/>
      <c r="I616" s="6">
        <v>0.5</v>
      </c>
      <c r="J616" s="6">
        <v>1.3</v>
      </c>
      <c r="K616" s="7"/>
      <c r="L616" s="6"/>
      <c r="M616" s="6"/>
      <c r="N616" s="23"/>
      <c r="O616" s="5"/>
      <c r="P616" s="6"/>
      <c r="Q616" s="6"/>
      <c r="R616" s="6"/>
      <c r="S616" s="6"/>
      <c r="T616" s="6"/>
      <c r="U616" s="6"/>
      <c r="V616" s="5"/>
      <c r="W616" s="6"/>
      <c r="X616" s="6">
        <f>E616*F616/100</f>
      </c>
      <c r="Y616" s="6">
        <f>E616*G616/100</f>
      </c>
      <c r="Z616" s="7">
        <f>E616*H616</f>
      </c>
      <c r="AA616" s="7">
        <f>E616*J616</f>
      </c>
      <c r="AB616" s="6">
        <f>E616*I616/100</f>
      </c>
      <c r="AC616" s="15">
        <f>X616+Y616+AB616</f>
      </c>
      <c r="AD616" s="6">
        <f>F616+G616+I616</f>
      </c>
      <c r="AE616" s="3"/>
      <c r="AF616" s="6">
        <f>SUM(AM616:BC616)</f>
      </c>
      <c r="AG616" s="5">
        <f>IF(SUM(AM616:AO616)&gt;0.7*AF616,1,0)</f>
      </c>
      <c r="AH616" s="5">
        <f>IF(AN616&gt;0.4*AF616,1,0)</f>
      </c>
      <c r="AI616" s="5">
        <f>IF(SUM(AP616:AQ616)&gt;0.3*AF616,1,0)</f>
      </c>
      <c r="AJ616" s="5">
        <f>IF(AQ616&gt;0.2*AF616,1,0)</f>
      </c>
      <c r="AK616" s="5">
        <f>IF(SUM(AR616:BC616)&gt;0.3*AF616,1,0)</f>
      </c>
      <c r="AL616" s="3"/>
      <c r="AM616" s="6">
        <f>(F616/100)*AM$41</f>
      </c>
      <c r="AN616" s="6">
        <f>(G616/100)*AN$41</f>
      </c>
      <c r="AO616" s="6">
        <f>(H616/1000000)*AO$41</f>
      </c>
      <c r="AP616" s="6">
        <f>(I616/100)*AP$41</f>
      </c>
      <c r="AQ616" s="6">
        <f>(J616/1000000)*AQ$41</f>
      </c>
      <c r="AR616" s="6">
        <f>(K616/100)*AR$41</f>
      </c>
      <c r="AS616" s="6">
        <f>(L616/100)*AS$41</f>
      </c>
      <c r="AT616" s="6">
        <f>(M616/100)*AT$41</f>
      </c>
      <c r="AU616" s="6">
        <f>(N616/100)*AU$41</f>
      </c>
      <c r="AV616" s="6">
        <f>(O616/1000000)*AV$41</f>
      </c>
      <c r="AW616" s="6">
        <f>(P616/100)*AW$41</f>
      </c>
      <c r="AX616" s="6">
        <f>(Q616/100)*AX$41</f>
      </c>
      <c r="AY616" s="6">
        <f>(R616/100)*AY$41</f>
      </c>
      <c r="AZ616" s="6">
        <f>(S616/100)*AZ$41</f>
      </c>
      <c r="BA616" s="6">
        <f>(T616/100)*BA$41</f>
      </c>
      <c r="BB616" s="6">
        <f>(U616/100)*BB$41</f>
      </c>
      <c r="BC616" s="6"/>
      <c r="BD616" s="3"/>
      <c r="BE616" s="3"/>
      <c r="BF616" s="7">
        <f>AF616*E616</f>
      </c>
      <c r="BG616" s="6"/>
      <c r="BH616" s="3"/>
      <c r="BI616" s="6"/>
    </row>
    <row x14ac:dyDescent="0.25" r="617" customHeight="1" ht="12.75">
      <c r="A617" s="5" t="s">
        <v>209</v>
      </c>
      <c r="B617" s="3" t="s">
        <v>855</v>
      </c>
      <c r="C617" s="43" t="s">
        <v>870</v>
      </c>
      <c r="D617" s="34"/>
      <c r="E617" s="6">
        <v>22.6</v>
      </c>
      <c r="F617" s="6">
        <v>1.3713274336283185</v>
      </c>
      <c r="G617" s="6">
        <v>7.259469026548672</v>
      </c>
      <c r="H617" s="7">
        <v>71.56637168141593</v>
      </c>
      <c r="I617" s="7">
        <v>2.1584070796460177</v>
      </c>
      <c r="J617" s="7">
        <v>0.552566371681416</v>
      </c>
      <c r="K617" s="7"/>
      <c r="L617" s="6"/>
      <c r="M617" s="6"/>
      <c r="N617" s="23"/>
      <c r="O617" s="5"/>
      <c r="P617" s="6"/>
      <c r="Q617" s="6"/>
      <c r="R617" s="6"/>
      <c r="S617" s="6"/>
      <c r="T617" s="6"/>
      <c r="U617" s="6"/>
      <c r="V617" s="5"/>
      <c r="W617" s="6"/>
      <c r="X617" s="6">
        <f>E617*F617/100</f>
      </c>
      <c r="Y617" s="6">
        <f>E617*G617/100</f>
      </c>
      <c r="Z617" s="7">
        <f>E617*H617</f>
      </c>
      <c r="AA617" s="7">
        <f>E617*J617</f>
      </c>
      <c r="AB617" s="6">
        <f>E617*I617/100</f>
      </c>
      <c r="AC617" s="15">
        <f>X617+Y617+AB617</f>
      </c>
      <c r="AD617" s="6">
        <f>F617+G617+I617</f>
      </c>
      <c r="AE617" s="3"/>
      <c r="AF617" s="6">
        <f>SUM(AM617:BC617)</f>
      </c>
      <c r="AG617" s="5">
        <f>IF(SUM(AM617:AO617)&gt;0.7*AF617,1,0)</f>
      </c>
      <c r="AH617" s="5">
        <f>IF(AN617&gt;0.4*AF617,1,0)</f>
      </c>
      <c r="AI617" s="5">
        <f>IF(SUM(AP617:AQ617)&gt;0.3*AF617,1,0)</f>
      </c>
      <c r="AJ617" s="5">
        <f>IF(AQ617&gt;0.2*AF617,1,0)</f>
      </c>
      <c r="AK617" s="5">
        <f>IF(SUM(AR617:BC617)&gt;0.3*AF617,1,0)</f>
      </c>
      <c r="AL617" s="3"/>
      <c r="AM617" s="6">
        <f>(F617/100)*AM$41</f>
      </c>
      <c r="AN617" s="6">
        <f>(G617/100)*AN$41</f>
      </c>
      <c r="AO617" s="6">
        <f>(H617/1000000)*AO$41</f>
      </c>
      <c r="AP617" s="6">
        <f>(I617/100)*AP$41</f>
      </c>
      <c r="AQ617" s="6">
        <f>(J617/1000000)*AQ$41</f>
      </c>
      <c r="AR617" s="6">
        <f>(K617/100)*AR$41</f>
      </c>
      <c r="AS617" s="6">
        <f>(L617/100)*AS$41</f>
      </c>
      <c r="AT617" s="6">
        <f>(M617/100)*AT$41</f>
      </c>
      <c r="AU617" s="6">
        <f>(N617/100)*AU$41</f>
      </c>
      <c r="AV617" s="6">
        <f>(O617/1000000)*AV$41</f>
      </c>
      <c r="AW617" s="6">
        <f>(P617/100)*AW$41</f>
      </c>
      <c r="AX617" s="6">
        <f>(Q617/100)*AX$41</f>
      </c>
      <c r="AY617" s="6">
        <f>(R617/100)*AY$41</f>
      </c>
      <c r="AZ617" s="6">
        <f>(S617/100)*AZ$41</f>
      </c>
      <c r="BA617" s="6">
        <f>(T617/100)*BA$41</f>
      </c>
      <c r="BB617" s="6">
        <f>(U617/100)*BB$41</f>
      </c>
      <c r="BC617" s="6"/>
      <c r="BD617" s="3"/>
      <c r="BE617" s="3"/>
      <c r="BF617" s="7">
        <f>AF617*E617</f>
      </c>
      <c r="BG617" s="6"/>
      <c r="BH617" s="3"/>
      <c r="BI617" s="6"/>
    </row>
    <row x14ac:dyDescent="0.25" r="618" customHeight="1" ht="12.75">
      <c r="A618" s="5" t="s">
        <v>107</v>
      </c>
      <c r="B618" s="3" t="s">
        <v>855</v>
      </c>
      <c r="C618" s="43" t="s">
        <v>870</v>
      </c>
      <c r="D618" s="34"/>
      <c r="E618" s="6">
        <v>14.2</v>
      </c>
      <c r="F618" s="7">
        <v>1.3915492957746478</v>
      </c>
      <c r="G618" s="7">
        <v>12.830985915492958</v>
      </c>
      <c r="H618" s="31">
        <v>73</v>
      </c>
      <c r="I618" s="7">
        <v>2.323943661971831</v>
      </c>
      <c r="J618" s="6">
        <v>0.1825352112676056</v>
      </c>
      <c r="K618" s="7"/>
      <c r="L618" s="6"/>
      <c r="M618" s="6"/>
      <c r="N618" s="23"/>
      <c r="O618" s="5"/>
      <c r="P618" s="6"/>
      <c r="Q618" s="6"/>
      <c r="R618" s="6"/>
      <c r="S618" s="6"/>
      <c r="T618" s="6"/>
      <c r="U618" s="6"/>
      <c r="V618" s="5"/>
      <c r="W618" s="6"/>
      <c r="X618" s="6">
        <f>E618*F618/100</f>
      </c>
      <c r="Y618" s="6">
        <f>E618*G618/100</f>
      </c>
      <c r="Z618" s="7">
        <f>E618*H618</f>
      </c>
      <c r="AA618" s="7">
        <f>E618*J618</f>
      </c>
      <c r="AB618" s="6">
        <f>E618*I618/100</f>
      </c>
      <c r="AC618" s="15">
        <f>X618+Y618+AB618</f>
      </c>
      <c r="AD618" s="6">
        <f>F618+G618+I618</f>
      </c>
      <c r="AE618" s="3"/>
      <c r="AF618" s="6">
        <f>SUM(AM618:BC618)</f>
      </c>
      <c r="AG618" s="5">
        <f>IF(SUM(AM618:AO618)&gt;0.7*AF618,1,0)</f>
      </c>
      <c r="AH618" s="5">
        <f>IF(AN618&gt;0.4*AF618,1,0)</f>
      </c>
      <c r="AI618" s="5">
        <f>IF(SUM(AP618:AQ618)&gt;0.3*AF618,1,0)</f>
      </c>
      <c r="AJ618" s="5">
        <f>IF(AQ618&gt;0.2*AF618,1,0)</f>
      </c>
      <c r="AK618" s="5">
        <f>IF(SUM(AR618:BC618)&gt;0.3*AF618,1,0)</f>
      </c>
      <c r="AL618" s="3"/>
      <c r="AM618" s="6">
        <f>(F618/100)*AM$41</f>
      </c>
      <c r="AN618" s="6">
        <f>(G618/100)*AN$41</f>
      </c>
      <c r="AO618" s="6">
        <f>(H618/1000000)*AO$41</f>
      </c>
      <c r="AP618" s="6">
        <f>(I618/100)*AP$41</f>
      </c>
      <c r="AQ618" s="6">
        <f>(J618/1000000)*AQ$41</f>
      </c>
      <c r="AR618" s="6">
        <f>(K618/100)*AR$41</f>
      </c>
      <c r="AS618" s="6">
        <f>(L618/100)*AS$41</f>
      </c>
      <c r="AT618" s="6">
        <f>(M618/100)*AT$41</f>
      </c>
      <c r="AU618" s="6">
        <f>(N618/100)*AU$41</f>
      </c>
      <c r="AV618" s="6">
        <f>(O618/1000000)*AV$41</f>
      </c>
      <c r="AW618" s="6">
        <f>(P618/100)*AW$41</f>
      </c>
      <c r="AX618" s="6">
        <f>(Q618/100)*AX$41</f>
      </c>
      <c r="AY618" s="6">
        <f>(R618/100)*AY$41</f>
      </c>
      <c r="AZ618" s="6">
        <f>(S618/100)*AZ$41</f>
      </c>
      <c r="BA618" s="6">
        <f>(T618/100)*BA$41</f>
      </c>
      <c r="BB618" s="6">
        <f>(U618/100)*BB$41</f>
      </c>
      <c r="BC618" s="6"/>
      <c r="BD618" s="3"/>
      <c r="BE618" s="3"/>
      <c r="BF618" s="7">
        <f>AF618*E618</f>
      </c>
      <c r="BG618" s="6"/>
      <c r="BH618" s="3"/>
      <c r="BI618" s="6"/>
    </row>
    <row x14ac:dyDescent="0.25" r="619" customHeight="1" ht="12.75">
      <c r="A619" s="5" t="s">
        <v>193</v>
      </c>
      <c r="B619" s="3" t="s">
        <v>855</v>
      </c>
      <c r="C619" s="43" t="s">
        <v>870</v>
      </c>
      <c r="D619" s="34"/>
      <c r="E619" s="6">
        <v>38.120000000000005</v>
      </c>
      <c r="F619" s="7">
        <v>0.9852334732423921</v>
      </c>
      <c r="G619" s="7">
        <v>3.4497376705141654</v>
      </c>
      <c r="H619" s="7">
        <v>45.271668415529895</v>
      </c>
      <c r="I619" s="7">
        <v>1.7255587618048263</v>
      </c>
      <c r="J619" s="7">
        <v>0.5895514165792235</v>
      </c>
      <c r="K619" s="7"/>
      <c r="L619" s="6"/>
      <c r="M619" s="6"/>
      <c r="N619" s="23"/>
      <c r="O619" s="5"/>
      <c r="P619" s="6"/>
      <c r="Q619" s="6"/>
      <c r="R619" s="6"/>
      <c r="S619" s="6"/>
      <c r="T619" s="6"/>
      <c r="U619" s="6"/>
      <c r="V619" s="5"/>
      <c r="W619" s="6"/>
      <c r="X619" s="6">
        <f>E619*F619/100</f>
      </c>
      <c r="Y619" s="6">
        <f>E619*G619/100</f>
      </c>
      <c r="Z619" s="7">
        <f>E619*H619</f>
      </c>
      <c r="AA619" s="7">
        <f>E619*J619</f>
      </c>
      <c r="AB619" s="6">
        <f>E619*I619/100</f>
      </c>
      <c r="AC619" s="15">
        <f>X619+Y619+AB619</f>
      </c>
      <c r="AD619" s="6">
        <f>F619+G619+I619</f>
      </c>
      <c r="AE619" s="3"/>
      <c r="AF619" s="6">
        <f>SUM(AM619:BC619)</f>
      </c>
      <c r="AG619" s="5">
        <f>IF(SUM(AM619:AO619)&gt;0.7*AF619,1,0)</f>
      </c>
      <c r="AH619" s="5">
        <f>IF(AN619&gt;0.4*AF619,1,0)</f>
      </c>
      <c r="AI619" s="5">
        <f>IF(SUM(AP619:AQ619)&gt;0.3*AF619,1,0)</f>
      </c>
      <c r="AJ619" s="5">
        <f>IF(AQ619&gt;0.2*AF619,1,0)</f>
      </c>
      <c r="AK619" s="5">
        <f>IF(SUM(AR619:BC619)&gt;0.3*AF619,1,0)</f>
      </c>
      <c r="AL619" s="3"/>
      <c r="AM619" s="6">
        <f>(F619/100)*AM$41</f>
      </c>
      <c r="AN619" s="6">
        <f>(G619/100)*AN$41</f>
      </c>
      <c r="AO619" s="6">
        <f>(H619/1000000)*AO$41</f>
      </c>
      <c r="AP619" s="6">
        <f>(I619/100)*AP$41</f>
      </c>
      <c r="AQ619" s="6">
        <f>(J619/1000000)*AQ$41</f>
      </c>
      <c r="AR619" s="6">
        <f>(K619/100)*AR$41</f>
      </c>
      <c r="AS619" s="6">
        <f>(L619/100)*AS$41</f>
      </c>
      <c r="AT619" s="6">
        <f>(M619/100)*AT$41</f>
      </c>
      <c r="AU619" s="6">
        <f>(N619/100)*AU$41</f>
      </c>
      <c r="AV619" s="6">
        <f>(O619/1000000)*AV$41</f>
      </c>
      <c r="AW619" s="6">
        <f>(P619/100)*AW$41</f>
      </c>
      <c r="AX619" s="6">
        <f>(Q619/100)*AX$41</f>
      </c>
      <c r="AY619" s="6">
        <f>(R619/100)*AY$41</f>
      </c>
      <c r="AZ619" s="6">
        <f>(S619/100)*AZ$41</f>
      </c>
      <c r="BA619" s="6">
        <f>(T619/100)*BA$41</f>
      </c>
      <c r="BB619" s="6">
        <f>(U619/100)*BB$41</f>
      </c>
      <c r="BC619" s="6"/>
      <c r="BD619" s="3"/>
      <c r="BE619" s="3"/>
      <c r="BF619" s="7">
        <f>AF619*E619</f>
      </c>
      <c r="BG619" s="6"/>
      <c r="BH619" s="3"/>
      <c r="BI619" s="6"/>
    </row>
    <row x14ac:dyDescent="0.25" r="620" customHeight="1" ht="12.75">
      <c r="A620" s="5" t="s">
        <v>190</v>
      </c>
      <c r="B620" s="3" t="s">
        <v>855</v>
      </c>
      <c r="C620" s="43" t="s">
        <v>870</v>
      </c>
      <c r="D620" s="34"/>
      <c r="E620" s="6">
        <v>27.211</v>
      </c>
      <c r="F620" s="6">
        <v>0.7377538495461394</v>
      </c>
      <c r="G620" s="6">
        <v>4.374610267906362</v>
      </c>
      <c r="H620" s="7">
        <v>51.754000220499066</v>
      </c>
      <c r="I620" s="6">
        <v>3.2550564110102536</v>
      </c>
      <c r="J620" s="6">
        <v>0.6951692330307596</v>
      </c>
      <c r="K620" s="7"/>
      <c r="L620" s="6"/>
      <c r="M620" s="6"/>
      <c r="N620" s="23"/>
      <c r="O620" s="5"/>
      <c r="P620" s="6"/>
      <c r="Q620" s="6"/>
      <c r="R620" s="6"/>
      <c r="S620" s="6"/>
      <c r="T620" s="6"/>
      <c r="U620" s="6"/>
      <c r="V620" s="5"/>
      <c r="W620" s="6"/>
      <c r="X620" s="6">
        <f>E620*F620/100</f>
      </c>
      <c r="Y620" s="6">
        <f>E620*G620/100</f>
      </c>
      <c r="Z620" s="7">
        <f>E620*H620</f>
      </c>
      <c r="AA620" s="7">
        <f>E620*J620</f>
      </c>
      <c r="AB620" s="6">
        <f>E620*I620/100</f>
      </c>
      <c r="AC620" s="15">
        <f>X620+Y620+AB620</f>
      </c>
      <c r="AD620" s="6">
        <f>F620+G620+I620</f>
      </c>
      <c r="AE620" s="3"/>
      <c r="AF620" s="6">
        <f>SUM(AM620:BC620)</f>
      </c>
      <c r="AG620" s="5">
        <f>IF(SUM(AM620:AO620)&gt;0.7*AF620,1,0)</f>
      </c>
      <c r="AH620" s="5">
        <f>IF(AN620&gt;0.4*AF620,1,0)</f>
      </c>
      <c r="AI620" s="5">
        <f>IF(SUM(AP620:AQ620)&gt;0.3*AF620,1,0)</f>
      </c>
      <c r="AJ620" s="5">
        <f>IF(AQ620&gt;0.2*AF620,1,0)</f>
      </c>
      <c r="AK620" s="5">
        <f>IF(SUM(AR620:BC620)&gt;0.3*AF620,1,0)</f>
      </c>
      <c r="AL620" s="3"/>
      <c r="AM620" s="6">
        <f>(F620/100)*AM$41</f>
      </c>
      <c r="AN620" s="6">
        <f>(G620/100)*AN$41</f>
      </c>
      <c r="AO620" s="6">
        <f>(H620/1000000)*AO$41</f>
      </c>
      <c r="AP620" s="6">
        <f>(I620/100)*AP$41</f>
      </c>
      <c r="AQ620" s="6">
        <f>(J620/1000000)*AQ$41</f>
      </c>
      <c r="AR620" s="6">
        <f>(K620/100)*AR$41</f>
      </c>
      <c r="AS620" s="6">
        <f>(L620/100)*AS$41</f>
      </c>
      <c r="AT620" s="6">
        <f>(M620/100)*AT$41</f>
      </c>
      <c r="AU620" s="6">
        <f>(N620/100)*AU$41</f>
      </c>
      <c r="AV620" s="6">
        <f>(O620/1000000)*AV$41</f>
      </c>
      <c r="AW620" s="6">
        <f>(P620/100)*AW$41</f>
      </c>
      <c r="AX620" s="6">
        <f>(Q620/100)*AX$41</f>
      </c>
      <c r="AY620" s="6">
        <f>(R620/100)*AY$41</f>
      </c>
      <c r="AZ620" s="6">
        <f>(S620/100)*AZ$41</f>
      </c>
      <c r="BA620" s="6">
        <f>(T620/100)*BA$41</f>
      </c>
      <c r="BB620" s="6">
        <f>(U620/100)*BB$41</f>
      </c>
      <c r="BC620" s="6"/>
      <c r="BD620" s="3"/>
      <c r="BE620" s="3"/>
      <c r="BF620" s="7">
        <f>AF620*E620</f>
      </c>
      <c r="BG620" s="6"/>
      <c r="BH620" s="3"/>
      <c r="BI620" s="6"/>
    </row>
    <row x14ac:dyDescent="0.25" r="621" customHeight="1" ht="12.75">
      <c r="A621" s="5" t="s">
        <v>185</v>
      </c>
      <c r="B621" s="3" t="s">
        <v>855</v>
      </c>
      <c r="C621" s="43" t="s">
        <v>870</v>
      </c>
      <c r="D621" s="34"/>
      <c r="E621" s="6">
        <v>17.4</v>
      </c>
      <c r="F621" s="7">
        <v>4.93448275862069</v>
      </c>
      <c r="G621" s="7">
        <v>7.7603448275862075</v>
      </c>
      <c r="H621" s="7">
        <v>73.58045977011496</v>
      </c>
      <c r="I621" s="17">
        <v>0.18</v>
      </c>
      <c r="J621" s="6"/>
      <c r="K621" s="7"/>
      <c r="L621" s="6"/>
      <c r="M621" s="6"/>
      <c r="N621" s="23"/>
      <c r="O621" s="5"/>
      <c r="P621" s="6"/>
      <c r="Q621" s="6"/>
      <c r="R621" s="6"/>
      <c r="S621" s="6"/>
      <c r="T621" s="6"/>
      <c r="U621" s="6"/>
      <c r="V621" s="5"/>
      <c r="W621" s="6"/>
      <c r="X621" s="6">
        <f>E621*F621/100</f>
      </c>
      <c r="Y621" s="6">
        <f>E621*G621/100</f>
      </c>
      <c r="Z621" s="7">
        <f>E621*H621</f>
      </c>
      <c r="AA621" s="7">
        <f>E621*J621</f>
      </c>
      <c r="AB621" s="6">
        <f>E621*I621/100</f>
      </c>
      <c r="AC621" s="15">
        <f>X621+Y621+AB621</f>
      </c>
      <c r="AD621" s="6">
        <f>F621+G621+I621</f>
      </c>
      <c r="AE621" s="3"/>
      <c r="AF621" s="6">
        <f>SUM(AM621:BC621)</f>
      </c>
      <c r="AG621" s="5">
        <f>IF(SUM(AM621:AO621)&gt;0.7*AF621,1,0)</f>
      </c>
      <c r="AH621" s="5">
        <f>IF(AN621&gt;0.4*AF621,1,0)</f>
      </c>
      <c r="AI621" s="5">
        <f>IF(SUM(AP621:AQ621)&gt;0.3*AF621,1,0)</f>
      </c>
      <c r="AJ621" s="5">
        <f>IF(AQ621&gt;0.2*AF621,1,0)</f>
      </c>
      <c r="AK621" s="5">
        <f>IF(SUM(AR621:BC621)&gt;0.3*AF621,1,0)</f>
      </c>
      <c r="AL621" s="3"/>
      <c r="AM621" s="6">
        <f>(F621/100)*AM$41</f>
      </c>
      <c r="AN621" s="6">
        <f>(G621/100)*AN$41</f>
      </c>
      <c r="AO621" s="6">
        <f>(H621/1000000)*AO$41</f>
      </c>
      <c r="AP621" s="6">
        <f>(I621/100)*AP$41</f>
      </c>
      <c r="AQ621" s="6">
        <f>(J621/1000000)*AQ$41</f>
      </c>
      <c r="AR621" s="6">
        <f>(K621/100)*AR$41</f>
      </c>
      <c r="AS621" s="6">
        <f>(L621/100)*AS$41</f>
      </c>
      <c r="AT621" s="6">
        <f>(M621/100)*AT$41</f>
      </c>
      <c r="AU621" s="6">
        <f>(N621/100)*AU$41</f>
      </c>
      <c r="AV621" s="6">
        <f>(O621/1000000)*AV$41</f>
      </c>
      <c r="AW621" s="6">
        <f>(P621/100)*AW$41</f>
      </c>
      <c r="AX621" s="6">
        <f>(Q621/100)*AX$41</f>
      </c>
      <c r="AY621" s="6">
        <f>(R621/100)*AY$41</f>
      </c>
      <c r="AZ621" s="6">
        <f>(S621/100)*AZ$41</f>
      </c>
      <c r="BA621" s="6">
        <f>(T621/100)*BA$41</f>
      </c>
      <c r="BB621" s="6">
        <f>(U621/100)*BB$41</f>
      </c>
      <c r="BC621" s="6"/>
      <c r="BD621" s="3"/>
      <c r="BE621" s="3"/>
      <c r="BF621" s="7">
        <f>AF621*E621</f>
      </c>
      <c r="BG621" s="6"/>
      <c r="BH621" s="3"/>
      <c r="BI621" s="6"/>
    </row>
    <row x14ac:dyDescent="0.25" r="622" customHeight="1" ht="12.75">
      <c r="A622" s="5" t="s">
        <v>136</v>
      </c>
      <c r="B622" s="3" t="s">
        <v>855</v>
      </c>
      <c r="C622" s="43" t="s">
        <v>870</v>
      </c>
      <c r="D622" s="34"/>
      <c r="E622" s="6">
        <v>117.06</v>
      </c>
      <c r="F622" s="6"/>
      <c r="G622" s="6">
        <v>0.6655091406116522</v>
      </c>
      <c r="H622" s="7"/>
      <c r="I622" s="6">
        <v>1.1168981718776696</v>
      </c>
      <c r="J622" s="6">
        <v>1.2141670937980524</v>
      </c>
      <c r="K622" s="7"/>
      <c r="L622" s="6"/>
      <c r="M622" s="6"/>
      <c r="N622" s="23"/>
      <c r="O622" s="5"/>
      <c r="P622" s="6"/>
      <c r="Q622" s="6"/>
      <c r="R622" s="6"/>
      <c r="S622" s="6"/>
      <c r="T622" s="6"/>
      <c r="U622" s="6"/>
      <c r="V622" s="5"/>
      <c r="W622" s="6"/>
      <c r="X622" s="6">
        <f>E622*F622/100</f>
      </c>
      <c r="Y622" s="6">
        <f>E622*G622/100</f>
      </c>
      <c r="Z622" s="7">
        <f>E622*H622</f>
      </c>
      <c r="AA622" s="7">
        <f>E622*J622</f>
      </c>
      <c r="AB622" s="6">
        <f>E622*I622/100</f>
      </c>
      <c r="AC622" s="15">
        <f>X622+Y622+AB622</f>
      </c>
      <c r="AD622" s="6">
        <f>F622+G622+I622</f>
      </c>
      <c r="AE622" s="3"/>
      <c r="AF622" s="6">
        <f>SUM(AM622:BC622)</f>
      </c>
      <c r="AG622" s="5">
        <f>IF(SUM(AM622:AO622)&gt;0.7*AF622,1,0)</f>
      </c>
      <c r="AH622" s="5">
        <f>IF(AN622&gt;0.4*AF622,1,0)</f>
      </c>
      <c r="AI622" s="5">
        <f>IF(SUM(AP622:AQ622)&gt;0.3*AF622,1,0)</f>
      </c>
      <c r="AJ622" s="5">
        <f>IF(AQ622&gt;0.2*AF622,1,0)</f>
      </c>
      <c r="AK622" s="5">
        <f>IF(SUM(AR622:BC622)&gt;0.3*AF622,1,0)</f>
      </c>
      <c r="AL622" s="3"/>
      <c r="AM622" s="6">
        <f>(F622/100)*AM$41</f>
      </c>
      <c r="AN622" s="6">
        <f>(G622/100)*AN$41</f>
      </c>
      <c r="AO622" s="6">
        <f>(H622/1000000)*AO$41</f>
      </c>
      <c r="AP622" s="6">
        <f>(I622/100)*AP$41</f>
      </c>
      <c r="AQ622" s="6">
        <f>(J622/1000000)*AQ$41</f>
      </c>
      <c r="AR622" s="6">
        <f>(K622/100)*AR$41</f>
      </c>
      <c r="AS622" s="6">
        <f>(L622/100)*AS$41</f>
      </c>
      <c r="AT622" s="6">
        <f>(M622/100)*AT$41</f>
      </c>
      <c r="AU622" s="6">
        <f>(N622/100)*AU$41</f>
      </c>
      <c r="AV622" s="6">
        <f>(O622/1000000)*AV$41</f>
      </c>
      <c r="AW622" s="6">
        <f>(P622/100)*AW$41</f>
      </c>
      <c r="AX622" s="6">
        <f>(Q622/100)*AX$41</f>
      </c>
      <c r="AY622" s="6">
        <f>(R622/100)*AY$41</f>
      </c>
      <c r="AZ622" s="6">
        <f>(S622/100)*AZ$41</f>
      </c>
      <c r="BA622" s="6">
        <f>(T622/100)*BA$41</f>
      </c>
      <c r="BB622" s="6">
        <f>(U622/100)*BB$41</f>
      </c>
      <c r="BC622" s="6"/>
      <c r="BD622" s="3"/>
      <c r="BE622" s="3"/>
      <c r="BF622" s="7">
        <f>AF622*E622</f>
      </c>
      <c r="BG622" s="6"/>
      <c r="BH622" s="3"/>
      <c r="BI622" s="6"/>
    </row>
    <row x14ac:dyDescent="0.25" r="623" customHeight="1" ht="12.75">
      <c r="A623" s="5" t="s">
        <v>215</v>
      </c>
      <c r="B623" s="3" t="s">
        <v>855</v>
      </c>
      <c r="C623" s="43" t="s">
        <v>870</v>
      </c>
      <c r="D623" s="34"/>
      <c r="E623" s="5">
        <v>40</v>
      </c>
      <c r="F623" s="5">
        <v>1</v>
      </c>
      <c r="G623" s="5">
        <v>4</v>
      </c>
      <c r="H623" s="5">
        <v>33</v>
      </c>
      <c r="I623" s="6">
        <v>0.2</v>
      </c>
      <c r="J623" s="5">
        <v>2</v>
      </c>
      <c r="K623" s="7"/>
      <c r="L623" s="6"/>
      <c r="M623" s="6"/>
      <c r="N623" s="23"/>
      <c r="O623" s="5"/>
      <c r="P623" s="6"/>
      <c r="Q623" s="6"/>
      <c r="R623" s="6"/>
      <c r="S623" s="6"/>
      <c r="T623" s="6"/>
      <c r="U623" s="6"/>
      <c r="V623" s="5"/>
      <c r="W623" s="6"/>
      <c r="X623" s="6">
        <f>E623*F623/100</f>
      </c>
      <c r="Y623" s="6">
        <f>E623*G623/100</f>
      </c>
      <c r="Z623" s="7">
        <f>E623*H623</f>
      </c>
      <c r="AA623" s="7">
        <f>E623*J623</f>
      </c>
      <c r="AB623" s="6">
        <f>E623*I623/100</f>
      </c>
      <c r="AC623" s="15">
        <f>X623+Y623+AB623</f>
      </c>
      <c r="AD623" s="6">
        <f>F623+G623+I623</f>
      </c>
      <c r="AE623" s="3"/>
      <c r="AF623" s="6">
        <f>SUM(AM623:BC623)</f>
      </c>
      <c r="AG623" s="5">
        <f>IF(SUM(AM623:AO623)&gt;0.7*AF623,1,0)</f>
      </c>
      <c r="AH623" s="5">
        <f>IF(AN623&gt;0.4*AF623,1,0)</f>
      </c>
      <c r="AI623" s="5">
        <f>IF(SUM(AP623:AQ623)&gt;0.3*AF623,1,0)</f>
      </c>
      <c r="AJ623" s="5">
        <f>IF(AQ623&gt;0.2*AF623,1,0)</f>
      </c>
      <c r="AK623" s="5">
        <f>IF(SUM(AR623:BC623)&gt;0.3*AF623,1,0)</f>
      </c>
      <c r="AL623" s="3"/>
      <c r="AM623" s="6">
        <f>(F623/100)*AM$41</f>
      </c>
      <c r="AN623" s="6">
        <f>(G623/100)*AN$41</f>
      </c>
      <c r="AO623" s="6">
        <f>(H623/1000000)*AO$41</f>
      </c>
      <c r="AP623" s="6">
        <f>(I623/100)*AP$41</f>
      </c>
      <c r="AQ623" s="6">
        <f>(J623/1000000)*AQ$41</f>
      </c>
      <c r="AR623" s="6">
        <f>(K623/100)*AR$41</f>
      </c>
      <c r="AS623" s="6">
        <f>(L623/100)*AS$41</f>
      </c>
      <c r="AT623" s="6">
        <f>(M623/100)*AT$41</f>
      </c>
      <c r="AU623" s="6">
        <f>(N623/100)*AU$41</f>
      </c>
      <c r="AV623" s="6">
        <f>(O623/1000000)*AV$41</f>
      </c>
      <c r="AW623" s="6">
        <f>(P623/100)*AW$41</f>
      </c>
      <c r="AX623" s="6">
        <f>(Q623/100)*AX$41</f>
      </c>
      <c r="AY623" s="6">
        <f>(R623/100)*AY$41</f>
      </c>
      <c r="AZ623" s="6">
        <f>(S623/100)*AZ$41</f>
      </c>
      <c r="BA623" s="6">
        <f>(T623/100)*BA$41</f>
      </c>
      <c r="BB623" s="6">
        <f>(U623/100)*BB$41</f>
      </c>
      <c r="BC623" s="6"/>
      <c r="BD623" s="3"/>
      <c r="BE623" s="3"/>
      <c r="BF623" s="7">
        <f>AF623*E623</f>
      </c>
      <c r="BG623" s="6"/>
      <c r="BH623" s="3"/>
      <c r="BI623" s="6"/>
    </row>
    <row x14ac:dyDescent="0.25" r="624" customHeight="1" ht="12.75">
      <c r="A624" s="5" t="s">
        <v>265</v>
      </c>
      <c r="B624" s="3" t="s">
        <v>855</v>
      </c>
      <c r="C624" s="43" t="s">
        <v>870</v>
      </c>
      <c r="D624" s="34"/>
      <c r="E624" s="6">
        <v>33.8</v>
      </c>
      <c r="F624" s="6">
        <v>1.4924852071005918</v>
      </c>
      <c r="G624" s="6">
        <v>4.261183431952663</v>
      </c>
      <c r="H624" s="31">
        <v>37.405325443786985</v>
      </c>
      <c r="I624" s="6">
        <v>0.2759763313609468</v>
      </c>
      <c r="J624" s="6">
        <v>0.3083431952662722</v>
      </c>
      <c r="K624" s="7"/>
      <c r="L624" s="6"/>
      <c r="M624" s="6"/>
      <c r="N624" s="23"/>
      <c r="O624" s="5"/>
      <c r="P624" s="6"/>
      <c r="Q624" s="6"/>
      <c r="R624" s="6"/>
      <c r="S624" s="6"/>
      <c r="T624" s="6"/>
      <c r="U624" s="6"/>
      <c r="V624" s="5"/>
      <c r="W624" s="6"/>
      <c r="X624" s="6">
        <f>E624*F624/100</f>
      </c>
      <c r="Y624" s="6">
        <f>E624*G624/100</f>
      </c>
      <c r="Z624" s="7">
        <f>E624*H624</f>
      </c>
      <c r="AA624" s="7">
        <f>E624*J624</f>
      </c>
      <c r="AB624" s="6">
        <f>E624*I624/100</f>
      </c>
      <c r="AC624" s="15">
        <f>X624+Y624+AB624</f>
      </c>
      <c r="AD624" s="6">
        <f>F624+G624+I624</f>
      </c>
      <c r="AE624" s="3"/>
      <c r="AF624" s="6">
        <f>SUM(AM624:BC624)</f>
      </c>
      <c r="AG624" s="5">
        <f>IF(SUM(AM624:AO624)&gt;0.7*AF624,1,0)</f>
      </c>
      <c r="AH624" s="5">
        <f>IF(AN624&gt;0.4*AF624,1,0)</f>
      </c>
      <c r="AI624" s="5">
        <f>IF(SUM(AP624:AQ624)&gt;0.3*AF624,1,0)</f>
      </c>
      <c r="AJ624" s="5">
        <f>IF(AQ624&gt;0.2*AF624,1,0)</f>
      </c>
      <c r="AK624" s="5">
        <f>IF(SUM(AR624:BC624)&gt;0.3*AF624,1,0)</f>
      </c>
      <c r="AL624" s="3"/>
      <c r="AM624" s="6">
        <f>(F624/100)*AM$41</f>
      </c>
      <c r="AN624" s="6">
        <f>(G624/100)*AN$41</f>
      </c>
      <c r="AO624" s="6">
        <f>(H624/1000000)*AO$41</f>
      </c>
      <c r="AP624" s="6">
        <f>(I624/100)*AP$41</f>
      </c>
      <c r="AQ624" s="6">
        <f>(J624/1000000)*AQ$41</f>
      </c>
      <c r="AR624" s="6">
        <f>(K624/100)*AR$41</f>
      </c>
      <c r="AS624" s="6">
        <f>(L624/100)*AS$41</f>
      </c>
      <c r="AT624" s="6">
        <f>(M624/100)*AT$41</f>
      </c>
      <c r="AU624" s="6">
        <f>(N624/100)*AU$41</f>
      </c>
      <c r="AV624" s="6">
        <f>(O624/1000000)*AV$41</f>
      </c>
      <c r="AW624" s="6">
        <f>(P624/100)*AW$41</f>
      </c>
      <c r="AX624" s="6">
        <f>(Q624/100)*AX$41</f>
      </c>
      <c r="AY624" s="6">
        <f>(R624/100)*AY$41</f>
      </c>
      <c r="AZ624" s="6">
        <f>(S624/100)*AZ$41</f>
      </c>
      <c r="BA624" s="6">
        <f>(T624/100)*BA$41</f>
      </c>
      <c r="BB624" s="6">
        <f>(U624/100)*BB$41</f>
      </c>
      <c r="BC624" s="6"/>
      <c r="BD624" s="3"/>
      <c r="BE624" s="3"/>
      <c r="BF624" s="7">
        <f>AF624*E624</f>
      </c>
      <c r="BG624" s="6"/>
      <c r="BH624" s="3"/>
      <c r="BI624" s="6"/>
    </row>
    <row x14ac:dyDescent="0.25" r="625" customHeight="1" ht="12.75">
      <c r="A625" s="5" t="s">
        <v>267</v>
      </c>
      <c r="B625" s="3" t="s">
        <v>855</v>
      </c>
      <c r="C625" s="43" t="s">
        <v>870</v>
      </c>
      <c r="D625" s="34"/>
      <c r="E625" s="6">
        <v>40.708</v>
      </c>
      <c r="F625" s="6">
        <v>1.4328979561756903</v>
      </c>
      <c r="G625" s="6">
        <v>2.4511867446202222</v>
      </c>
      <c r="H625" s="7">
        <v>29.967205463299603</v>
      </c>
      <c r="I625" s="6">
        <v>0.9861096099046871</v>
      </c>
      <c r="J625" s="6">
        <v>0.17264542596049917</v>
      </c>
      <c r="K625" s="7"/>
      <c r="L625" s="6"/>
      <c r="M625" s="6"/>
      <c r="N625" s="23"/>
      <c r="O625" s="5"/>
      <c r="P625" s="6"/>
      <c r="Q625" s="6"/>
      <c r="R625" s="6"/>
      <c r="S625" s="6"/>
      <c r="T625" s="6"/>
      <c r="U625" s="6"/>
      <c r="V625" s="5"/>
      <c r="W625" s="6"/>
      <c r="X625" s="6">
        <f>E625*F625/100</f>
      </c>
      <c r="Y625" s="6">
        <f>E625*G625/100</f>
      </c>
      <c r="Z625" s="7">
        <f>E625*H625</f>
      </c>
      <c r="AA625" s="7">
        <f>E625*J625</f>
      </c>
      <c r="AB625" s="6">
        <f>E625*I625/100</f>
      </c>
      <c r="AC625" s="15">
        <f>X625+Y625+AB625</f>
      </c>
      <c r="AD625" s="6">
        <f>F625+G625+I625</f>
      </c>
      <c r="AE625" s="3"/>
      <c r="AF625" s="6">
        <f>SUM(AM625:BC625)</f>
      </c>
      <c r="AG625" s="5">
        <f>IF(SUM(AM625:AO625)&gt;0.7*AF625,1,0)</f>
      </c>
      <c r="AH625" s="5">
        <f>IF(AN625&gt;0.4*AF625,1,0)</f>
      </c>
      <c r="AI625" s="5">
        <f>IF(SUM(AP625:AQ625)&gt;0.3*AF625,1,0)</f>
      </c>
      <c r="AJ625" s="5">
        <f>IF(AQ625&gt;0.2*AF625,1,0)</f>
      </c>
      <c r="AK625" s="5">
        <f>IF(SUM(AR625:BC625)&gt;0.3*AF625,1,0)</f>
      </c>
      <c r="AL625" s="3"/>
      <c r="AM625" s="6">
        <f>(F625/100)*AM$41</f>
      </c>
      <c r="AN625" s="6">
        <f>(G625/100)*AN$41</f>
      </c>
      <c r="AO625" s="6">
        <f>(H625/1000000)*AO$41</f>
      </c>
      <c r="AP625" s="6">
        <f>(I625/100)*AP$41</f>
      </c>
      <c r="AQ625" s="6">
        <f>(J625/1000000)*AQ$41</f>
      </c>
      <c r="AR625" s="6">
        <f>(K625/100)*AR$41</f>
      </c>
      <c r="AS625" s="6">
        <f>(L625/100)*AS$41</f>
      </c>
      <c r="AT625" s="6">
        <f>(M625/100)*AT$41</f>
      </c>
      <c r="AU625" s="6">
        <f>(N625/100)*AU$41</f>
      </c>
      <c r="AV625" s="6">
        <f>(O625/1000000)*AV$41</f>
      </c>
      <c r="AW625" s="6">
        <f>(P625/100)*AW$41</f>
      </c>
      <c r="AX625" s="6">
        <f>(Q625/100)*AX$41</f>
      </c>
      <c r="AY625" s="6">
        <f>(R625/100)*AY$41</f>
      </c>
      <c r="AZ625" s="6">
        <f>(S625/100)*AZ$41</f>
      </c>
      <c r="BA625" s="6">
        <f>(T625/100)*BA$41</f>
      </c>
      <c r="BB625" s="6">
        <f>(U625/100)*BB$41</f>
      </c>
      <c r="BC625" s="6"/>
      <c r="BD625" s="3"/>
      <c r="BE625" s="3"/>
      <c r="BF625" s="7">
        <f>AF625*E625</f>
      </c>
      <c r="BG625" s="6"/>
      <c r="BH625" s="3"/>
      <c r="BI625" s="6"/>
    </row>
    <row x14ac:dyDescent="0.25" r="626" customHeight="1" ht="12.75">
      <c r="A626" s="5" t="s">
        <v>236</v>
      </c>
      <c r="B626" s="3" t="s">
        <v>855</v>
      </c>
      <c r="C626" s="43" t="s">
        <v>870</v>
      </c>
      <c r="D626" s="34"/>
      <c r="E626" s="6">
        <v>30.280000000000005</v>
      </c>
      <c r="F626" s="6"/>
      <c r="G626" s="6">
        <v>4.277770805812417</v>
      </c>
      <c r="H626" s="31">
        <v>41.22820343461029</v>
      </c>
      <c r="I626" s="6">
        <v>1.6739960369881108</v>
      </c>
      <c r="J626" s="7">
        <v>0.7557133421400263</v>
      </c>
      <c r="K626" s="7"/>
      <c r="L626" s="6"/>
      <c r="M626" s="6"/>
      <c r="N626" s="23"/>
      <c r="O626" s="5"/>
      <c r="P626" s="6"/>
      <c r="Q626" s="6"/>
      <c r="R626" s="6"/>
      <c r="S626" s="6"/>
      <c r="T626" s="6"/>
      <c r="U626" s="6"/>
      <c r="V626" s="5"/>
      <c r="W626" s="6"/>
      <c r="X626" s="6">
        <f>E626*F626/100</f>
      </c>
      <c r="Y626" s="6">
        <f>E626*G626/100</f>
      </c>
      <c r="Z626" s="7">
        <f>E626*H626</f>
      </c>
      <c r="AA626" s="7">
        <f>E626*J626</f>
      </c>
      <c r="AB626" s="6">
        <f>E626*I626/100</f>
      </c>
      <c r="AC626" s="15">
        <f>X626+Y626+AB626</f>
      </c>
      <c r="AD626" s="6">
        <f>F626+G626+I626</f>
      </c>
      <c r="AE626" s="3"/>
      <c r="AF626" s="6">
        <f>SUM(AM626:BC626)</f>
      </c>
      <c r="AG626" s="5">
        <f>IF(SUM(AM626:AO626)&gt;0.7*AF626,1,0)</f>
      </c>
      <c r="AH626" s="5">
        <f>IF(AN626&gt;0.4*AF626,1,0)</f>
      </c>
      <c r="AI626" s="5">
        <f>IF(SUM(AP626:AQ626)&gt;0.3*AF626,1,0)</f>
      </c>
      <c r="AJ626" s="5">
        <f>IF(AQ626&gt;0.2*AF626,1,0)</f>
      </c>
      <c r="AK626" s="5">
        <f>IF(SUM(AR626:BC626)&gt;0.3*AF626,1,0)</f>
      </c>
      <c r="AL626" s="3"/>
      <c r="AM626" s="6">
        <f>(F626/100)*AM$41</f>
      </c>
      <c r="AN626" s="6">
        <f>(G626/100)*AN$41</f>
      </c>
      <c r="AO626" s="6">
        <f>(H626/1000000)*AO$41</f>
      </c>
      <c r="AP626" s="6">
        <f>(I626/100)*AP$41</f>
      </c>
      <c r="AQ626" s="6">
        <f>(J626/1000000)*AQ$41</f>
      </c>
      <c r="AR626" s="6">
        <f>(K626/100)*AR$41</f>
      </c>
      <c r="AS626" s="6">
        <f>(L626/100)*AS$41</f>
      </c>
      <c r="AT626" s="6">
        <f>(M626/100)*AT$41</f>
      </c>
      <c r="AU626" s="6">
        <f>(N626/100)*AU$41</f>
      </c>
      <c r="AV626" s="6">
        <f>(O626/1000000)*AV$41</f>
      </c>
      <c r="AW626" s="6">
        <f>(P626/100)*AW$41</f>
      </c>
      <c r="AX626" s="6">
        <f>(Q626/100)*AX$41</f>
      </c>
      <c r="AY626" s="6">
        <f>(R626/100)*AY$41</f>
      </c>
      <c r="AZ626" s="6">
        <f>(S626/100)*AZ$41</f>
      </c>
      <c r="BA626" s="6">
        <f>(T626/100)*BA$41</f>
      </c>
      <c r="BB626" s="6">
        <f>(U626/100)*BB$41</f>
      </c>
      <c r="BC626" s="6"/>
      <c r="BD626" s="3"/>
      <c r="BE626" s="3"/>
      <c r="BF626" s="7">
        <f>AF626*E626</f>
      </c>
      <c r="BG626" s="6"/>
      <c r="BH626" s="3"/>
      <c r="BI626" s="6"/>
    </row>
    <row x14ac:dyDescent="0.25" r="627" customHeight="1" ht="12.75">
      <c r="A627" s="5" t="s">
        <v>237</v>
      </c>
      <c r="B627" s="3" t="s">
        <v>855</v>
      </c>
      <c r="C627" s="43" t="s">
        <v>870</v>
      </c>
      <c r="D627" s="34"/>
      <c r="E627" s="6">
        <v>14.411999999999999</v>
      </c>
      <c r="F627" s="6">
        <v>3.5</v>
      </c>
      <c r="G627" s="6">
        <v>7.24</v>
      </c>
      <c r="H627" s="5">
        <v>134</v>
      </c>
      <c r="I627" s="6">
        <v>0.86</v>
      </c>
      <c r="J627" s="6">
        <v>0.38</v>
      </c>
      <c r="K627" s="7"/>
      <c r="L627" s="6"/>
      <c r="M627" s="6"/>
      <c r="N627" s="23"/>
      <c r="O627" s="5"/>
      <c r="P627" s="6"/>
      <c r="Q627" s="6"/>
      <c r="R627" s="6"/>
      <c r="S627" s="6"/>
      <c r="T627" s="6"/>
      <c r="U627" s="6"/>
      <c r="V627" s="5"/>
      <c r="W627" s="6"/>
      <c r="X627" s="6">
        <f>E627*F627/100</f>
      </c>
      <c r="Y627" s="6">
        <f>E627*G627/100</f>
      </c>
      <c r="Z627" s="7">
        <f>E627*H627</f>
      </c>
      <c r="AA627" s="7">
        <f>E627*J627</f>
      </c>
      <c r="AB627" s="6">
        <f>E627*I627/100</f>
      </c>
      <c r="AC627" s="15">
        <f>X627+Y627+AB627</f>
      </c>
      <c r="AD627" s="6">
        <f>F627+G627+I627</f>
      </c>
      <c r="AE627" s="3"/>
      <c r="AF627" s="6">
        <f>SUM(AM627:BC627)</f>
      </c>
      <c r="AG627" s="5">
        <f>IF(SUM(AM627:AO627)&gt;0.7*AF627,1,0)</f>
      </c>
      <c r="AH627" s="5">
        <f>IF(AN627&gt;0.4*AF627,1,0)</f>
      </c>
      <c r="AI627" s="5">
        <f>IF(SUM(AP627:AQ627)&gt;0.3*AF627,1,0)</f>
      </c>
      <c r="AJ627" s="5">
        <f>IF(AQ627&gt;0.2*AF627,1,0)</f>
      </c>
      <c r="AK627" s="5">
        <f>IF(SUM(AR627:BC627)&gt;0.3*AF627,1,0)</f>
      </c>
      <c r="AL627" s="3"/>
      <c r="AM627" s="6">
        <f>(F627/100)*AM$41</f>
      </c>
      <c r="AN627" s="6">
        <f>(G627/100)*AN$41</f>
      </c>
      <c r="AO627" s="6">
        <f>(H627/1000000)*AO$41</f>
      </c>
      <c r="AP627" s="6">
        <f>(I627/100)*AP$41</f>
      </c>
      <c r="AQ627" s="6">
        <f>(J627/1000000)*AQ$41</f>
      </c>
      <c r="AR627" s="6">
        <f>(K627/100)*AR$41</f>
      </c>
      <c r="AS627" s="6">
        <f>(L627/100)*AS$41</f>
      </c>
      <c r="AT627" s="6">
        <f>(M627/100)*AT$41</f>
      </c>
      <c r="AU627" s="6">
        <f>(N627/100)*AU$41</f>
      </c>
      <c r="AV627" s="6">
        <f>(O627/1000000)*AV$41</f>
      </c>
      <c r="AW627" s="6">
        <f>(P627/100)*AW$41</f>
      </c>
      <c r="AX627" s="6">
        <f>(Q627/100)*AX$41</f>
      </c>
      <c r="AY627" s="6">
        <f>(R627/100)*AY$41</f>
      </c>
      <c r="AZ627" s="6">
        <f>(S627/100)*AZ$41</f>
      </c>
      <c r="BA627" s="6">
        <f>(T627/100)*BA$41</f>
      </c>
      <c r="BB627" s="6">
        <f>(U627/100)*BB$41</f>
      </c>
      <c r="BC627" s="6"/>
      <c r="BD627" s="3"/>
      <c r="BE627" s="3"/>
      <c r="BF627" s="7">
        <f>AF627*E627</f>
      </c>
      <c r="BG627" s="6"/>
      <c r="BH627" s="3"/>
      <c r="BI627" s="6"/>
    </row>
    <row x14ac:dyDescent="0.25" r="628" customHeight="1" ht="12.75">
      <c r="A628" s="5" t="s">
        <v>251</v>
      </c>
      <c r="B628" s="3" t="s">
        <v>855</v>
      </c>
      <c r="C628" s="43" t="s">
        <v>870</v>
      </c>
      <c r="D628" s="34"/>
      <c r="E628" s="6">
        <v>85.03</v>
      </c>
      <c r="F628" s="6"/>
      <c r="G628" s="6">
        <v>1.2854263201223097</v>
      </c>
      <c r="H628" s="7">
        <v>8.57979536634129</v>
      </c>
      <c r="I628" s="6">
        <v>0.6733741032576738</v>
      </c>
      <c r="J628" s="6">
        <v>0.23294719510760908</v>
      </c>
      <c r="K628" s="7"/>
      <c r="L628" s="6"/>
      <c r="M628" s="6"/>
      <c r="N628" s="23"/>
      <c r="O628" s="5"/>
      <c r="P628" s="6"/>
      <c r="Q628" s="6"/>
      <c r="R628" s="6"/>
      <c r="S628" s="6"/>
      <c r="T628" s="6"/>
      <c r="U628" s="6"/>
      <c r="V628" s="5"/>
      <c r="W628" s="6"/>
      <c r="X628" s="6">
        <f>E628*F628/100</f>
      </c>
      <c r="Y628" s="6">
        <f>E628*G628/100</f>
      </c>
      <c r="Z628" s="7">
        <f>E628*H628</f>
      </c>
      <c r="AA628" s="7">
        <f>E628*J628</f>
      </c>
      <c r="AB628" s="6">
        <f>E628*I628/100</f>
      </c>
      <c r="AC628" s="15">
        <f>X628+Y628+AB628</f>
      </c>
      <c r="AD628" s="6">
        <f>F628+G628+I628</f>
      </c>
      <c r="AE628" s="3"/>
      <c r="AF628" s="6">
        <f>SUM(AM628:BC628)</f>
      </c>
      <c r="AG628" s="5">
        <f>IF(SUM(AM628:AO628)&gt;0.7*AF628,1,0)</f>
      </c>
      <c r="AH628" s="5">
        <f>IF(AN628&gt;0.4*AF628,1,0)</f>
      </c>
      <c r="AI628" s="5">
        <f>IF(SUM(AP628:AQ628)&gt;0.3*AF628,1,0)</f>
      </c>
      <c r="AJ628" s="5">
        <f>IF(AQ628&gt;0.2*AF628,1,0)</f>
      </c>
      <c r="AK628" s="5">
        <f>IF(SUM(AR628:BC628)&gt;0.3*AF628,1,0)</f>
      </c>
      <c r="AL628" s="3"/>
      <c r="AM628" s="6">
        <f>(F628/100)*AM$41</f>
      </c>
      <c r="AN628" s="6">
        <f>(G628/100)*AN$41</f>
      </c>
      <c r="AO628" s="6">
        <f>(H628/1000000)*AO$41</f>
      </c>
      <c r="AP628" s="6">
        <f>(I628/100)*AP$41</f>
      </c>
      <c r="AQ628" s="6">
        <f>(J628/1000000)*AQ$41</f>
      </c>
      <c r="AR628" s="6">
        <f>(K628/100)*AR$41</f>
      </c>
      <c r="AS628" s="6">
        <f>(L628/100)*AS$41</f>
      </c>
      <c r="AT628" s="6">
        <f>(M628/100)*AT$41</f>
      </c>
      <c r="AU628" s="6">
        <f>(N628/100)*AU$41</f>
      </c>
      <c r="AV628" s="6">
        <f>(O628/1000000)*AV$41</f>
      </c>
      <c r="AW628" s="6">
        <f>(P628/100)*AW$41</f>
      </c>
      <c r="AX628" s="6">
        <f>(Q628/100)*AX$41</f>
      </c>
      <c r="AY628" s="6">
        <f>(R628/100)*AY$41</f>
      </c>
      <c r="AZ628" s="6">
        <f>(S628/100)*AZ$41</f>
      </c>
      <c r="BA628" s="6">
        <f>(T628/100)*BA$41</f>
      </c>
      <c r="BB628" s="6">
        <f>(U628/100)*BB$41</f>
      </c>
      <c r="BC628" s="6"/>
      <c r="BD628" s="3"/>
      <c r="BE628" s="3"/>
      <c r="BF628" s="7">
        <f>AF628*E628</f>
      </c>
      <c r="BG628" s="6"/>
      <c r="BH628" s="3"/>
      <c r="BI628" s="6"/>
    </row>
    <row x14ac:dyDescent="0.25" r="629" customHeight="1" ht="12.75">
      <c r="A629" s="5" t="s">
        <v>249</v>
      </c>
      <c r="B629" s="3" t="s">
        <v>855</v>
      </c>
      <c r="C629" s="43" t="s">
        <v>870</v>
      </c>
      <c r="D629" s="34"/>
      <c r="E629" s="7">
        <v>26.1</v>
      </c>
      <c r="F629" s="7">
        <v>0.28505747126436776</v>
      </c>
      <c r="G629" s="7">
        <v>3.855172413793103</v>
      </c>
      <c r="H629" s="31">
        <v>35.22222222222222</v>
      </c>
      <c r="I629" s="7">
        <v>2.2329501915708816</v>
      </c>
      <c r="J629" s="7">
        <v>0.6609195402298849</v>
      </c>
      <c r="K629" s="7"/>
      <c r="L629" s="6"/>
      <c r="M629" s="6"/>
      <c r="N629" s="23"/>
      <c r="O629" s="5"/>
      <c r="P629" s="6"/>
      <c r="Q629" s="6"/>
      <c r="R629" s="6"/>
      <c r="S629" s="6"/>
      <c r="T629" s="6"/>
      <c r="U629" s="6"/>
      <c r="V629" s="5"/>
      <c r="W629" s="6"/>
      <c r="X629" s="6">
        <f>E629*F629/100</f>
      </c>
      <c r="Y629" s="6">
        <f>E629*G629/100</f>
      </c>
      <c r="Z629" s="7">
        <f>E629*H629</f>
      </c>
      <c r="AA629" s="7">
        <f>E629*J629</f>
      </c>
      <c r="AB629" s="6">
        <f>E629*I629/100</f>
      </c>
      <c r="AC629" s="15">
        <f>X629+Y629+AB629</f>
      </c>
      <c r="AD629" s="6">
        <f>F629+G629+I629</f>
      </c>
      <c r="AE629" s="3"/>
      <c r="AF629" s="6">
        <f>SUM(AM629:BC629)</f>
      </c>
      <c r="AG629" s="5">
        <f>IF(SUM(AM629:AO629)&gt;0.7*AF629,1,0)</f>
      </c>
      <c r="AH629" s="5">
        <f>IF(AN629&gt;0.4*AF629,1,0)</f>
      </c>
      <c r="AI629" s="5">
        <f>IF(SUM(AP629:AQ629)&gt;0.3*AF629,1,0)</f>
      </c>
      <c r="AJ629" s="5">
        <f>IF(AQ629&gt;0.2*AF629,1,0)</f>
      </c>
      <c r="AK629" s="5">
        <f>IF(SUM(AR629:BC629)&gt;0.3*AF629,1,0)</f>
      </c>
      <c r="AL629" s="3"/>
      <c r="AM629" s="6">
        <f>(F629/100)*AM$41</f>
      </c>
      <c r="AN629" s="6">
        <f>(G629/100)*AN$41</f>
      </c>
      <c r="AO629" s="6">
        <f>(H629/1000000)*AO$41</f>
      </c>
      <c r="AP629" s="6">
        <f>(I629/100)*AP$41</f>
      </c>
      <c r="AQ629" s="6">
        <f>(J629/1000000)*AQ$41</f>
      </c>
      <c r="AR629" s="6">
        <f>(K629/100)*AR$41</f>
      </c>
      <c r="AS629" s="6">
        <f>(L629/100)*AS$41</f>
      </c>
      <c r="AT629" s="6">
        <f>(M629/100)*AT$41</f>
      </c>
      <c r="AU629" s="6">
        <f>(N629/100)*AU$41</f>
      </c>
      <c r="AV629" s="6">
        <f>(O629/1000000)*AV$41</f>
      </c>
      <c r="AW629" s="6">
        <f>(P629/100)*AW$41</f>
      </c>
      <c r="AX629" s="6">
        <f>(Q629/100)*AX$41</f>
      </c>
      <c r="AY629" s="6">
        <f>(R629/100)*AY$41</f>
      </c>
      <c r="AZ629" s="6">
        <f>(S629/100)*AZ$41</f>
      </c>
      <c r="BA629" s="6">
        <f>(T629/100)*BA$41</f>
      </c>
      <c r="BB629" s="6">
        <f>(U629/100)*BB$41</f>
      </c>
      <c r="BC629" s="6"/>
      <c r="BD629" s="3"/>
      <c r="BE629" s="3"/>
      <c r="BF629" s="7">
        <f>AF629*E629</f>
      </c>
      <c r="BG629" s="6"/>
      <c r="BH629" s="3"/>
      <c r="BI629" s="6"/>
    </row>
    <row x14ac:dyDescent="0.25" r="630" customHeight="1" ht="12.75">
      <c r="A630" s="5" t="s">
        <v>210</v>
      </c>
      <c r="B630" s="3" t="s">
        <v>855</v>
      </c>
      <c r="C630" s="43" t="s">
        <v>870</v>
      </c>
      <c r="D630" s="34"/>
      <c r="E630" s="6">
        <v>12.92</v>
      </c>
      <c r="F630" s="7">
        <v>1.5479876160990713</v>
      </c>
      <c r="G630" s="7">
        <v>9.98452012383901</v>
      </c>
      <c r="H630" s="6">
        <v>52.24</v>
      </c>
      <c r="I630" s="6">
        <v>0.6369969040247678</v>
      </c>
      <c r="J630" s="6">
        <v>1.17</v>
      </c>
      <c r="K630" s="7"/>
      <c r="L630" s="6"/>
      <c r="M630" s="6"/>
      <c r="N630" s="23"/>
      <c r="O630" s="5"/>
      <c r="P630" s="6"/>
      <c r="Q630" s="6"/>
      <c r="R630" s="6"/>
      <c r="S630" s="6"/>
      <c r="T630" s="6"/>
      <c r="U630" s="6"/>
      <c r="V630" s="5"/>
      <c r="W630" s="6"/>
      <c r="X630" s="6">
        <f>E630*F630/100</f>
      </c>
      <c r="Y630" s="6">
        <f>E630*G630/100</f>
      </c>
      <c r="Z630" s="7">
        <f>E630*H630</f>
      </c>
      <c r="AA630" s="7">
        <f>E630*J630</f>
      </c>
      <c r="AB630" s="6">
        <f>E630*I630/100</f>
      </c>
      <c r="AC630" s="15">
        <f>X630+Y630+AB630</f>
      </c>
      <c r="AD630" s="6">
        <f>F630+G630+I630</f>
      </c>
      <c r="AE630" s="3"/>
      <c r="AF630" s="6">
        <f>SUM(AM630:BC630)</f>
      </c>
      <c r="AG630" s="5">
        <f>IF(SUM(AM630:AO630)&gt;0.7*AF630,1,0)</f>
      </c>
      <c r="AH630" s="5">
        <f>IF(AN630&gt;0.4*AF630,1,0)</f>
      </c>
      <c r="AI630" s="5">
        <f>IF(SUM(AP630:AQ630)&gt;0.3*AF630,1,0)</f>
      </c>
      <c r="AJ630" s="5">
        <f>IF(AQ630&gt;0.2*AF630,1,0)</f>
      </c>
      <c r="AK630" s="5">
        <f>IF(SUM(AR630:BC630)&gt;0.3*AF630,1,0)</f>
      </c>
      <c r="AL630" s="3"/>
      <c r="AM630" s="6">
        <f>(F630/100)*AM$41</f>
      </c>
      <c r="AN630" s="6">
        <f>(G630/100)*AN$41</f>
      </c>
      <c r="AO630" s="6">
        <f>(H630/1000000)*AO$41</f>
      </c>
      <c r="AP630" s="6">
        <f>(I630/100)*AP$41</f>
      </c>
      <c r="AQ630" s="6">
        <f>(J630/1000000)*AQ$41</f>
      </c>
      <c r="AR630" s="6">
        <f>(K630/100)*AR$41</f>
      </c>
      <c r="AS630" s="6">
        <f>(L630/100)*AS$41</f>
      </c>
      <c r="AT630" s="6">
        <f>(M630/100)*AT$41</f>
      </c>
      <c r="AU630" s="6">
        <f>(N630/100)*AU$41</f>
      </c>
      <c r="AV630" s="6">
        <f>(O630/1000000)*AV$41</f>
      </c>
      <c r="AW630" s="6">
        <f>(P630/100)*AW$41</f>
      </c>
      <c r="AX630" s="6">
        <f>(Q630/100)*AX$41</f>
      </c>
      <c r="AY630" s="6">
        <f>(R630/100)*AY$41</f>
      </c>
      <c r="AZ630" s="6">
        <f>(S630/100)*AZ$41</f>
      </c>
      <c r="BA630" s="6">
        <f>(T630/100)*BA$41</f>
      </c>
      <c r="BB630" s="6">
        <f>(U630/100)*BB$41</f>
      </c>
      <c r="BC630" s="6"/>
      <c r="BD630" s="3"/>
      <c r="BE630" s="3"/>
      <c r="BF630" s="7">
        <f>AF630*E630</f>
      </c>
      <c r="BG630" s="6"/>
      <c r="BH630" s="3"/>
      <c r="BI630" s="6"/>
    </row>
    <row x14ac:dyDescent="0.25" r="631" customHeight="1" ht="12.75">
      <c r="A631" s="5" t="s">
        <v>293</v>
      </c>
      <c r="B631" s="3" t="s">
        <v>855</v>
      </c>
      <c r="C631" s="43" t="s">
        <v>870</v>
      </c>
      <c r="D631" s="34"/>
      <c r="E631" s="6">
        <v>21.47</v>
      </c>
      <c r="F631" s="6"/>
      <c r="G631" s="6">
        <v>4.927293898462972</v>
      </c>
      <c r="H631" s="31">
        <v>52.69306008383792</v>
      </c>
      <c r="I631" s="6">
        <v>2.0357708430367953</v>
      </c>
      <c r="J631" s="6"/>
      <c r="K631" s="7"/>
      <c r="L631" s="6"/>
      <c r="M631" s="6"/>
      <c r="N631" s="23"/>
      <c r="O631" s="5"/>
      <c r="P631" s="6"/>
      <c r="Q631" s="6"/>
      <c r="R631" s="6"/>
      <c r="S631" s="6"/>
      <c r="T631" s="6"/>
      <c r="U631" s="6"/>
      <c r="V631" s="5"/>
      <c r="W631" s="6"/>
      <c r="X631" s="6">
        <f>E631*F631/100</f>
      </c>
      <c r="Y631" s="6">
        <f>E631*G631/100</f>
      </c>
      <c r="Z631" s="7">
        <f>E631*H631</f>
      </c>
      <c r="AA631" s="7">
        <f>E631*J631</f>
      </c>
      <c r="AB631" s="6">
        <f>E631*I631/100</f>
      </c>
      <c r="AC631" s="15">
        <f>X631+Y631+AB631</f>
      </c>
      <c r="AD631" s="6">
        <f>F631+G631+I631</f>
      </c>
      <c r="AE631" s="3"/>
      <c r="AF631" s="6">
        <f>SUM(AM631:BC631)</f>
      </c>
      <c r="AG631" s="5">
        <f>IF(SUM(AM631:AO631)&gt;0.7*AF631,1,0)</f>
      </c>
      <c r="AH631" s="5">
        <f>IF(AN631&gt;0.4*AF631,1,0)</f>
      </c>
      <c r="AI631" s="5">
        <f>IF(SUM(AP631:AQ631)&gt;0.3*AF631,1,0)</f>
      </c>
      <c r="AJ631" s="5">
        <f>IF(AQ631&gt;0.2*AF631,1,0)</f>
      </c>
      <c r="AK631" s="5">
        <f>IF(SUM(AR631:BC631)&gt;0.3*AF631,1,0)</f>
      </c>
      <c r="AL631" s="3"/>
      <c r="AM631" s="6">
        <f>(F631/100)*AM$41</f>
      </c>
      <c r="AN631" s="6">
        <f>(G631/100)*AN$41</f>
      </c>
      <c r="AO631" s="6">
        <f>(H631/1000000)*AO$41</f>
      </c>
      <c r="AP631" s="6">
        <f>(I631/100)*AP$41</f>
      </c>
      <c r="AQ631" s="6">
        <f>(J631/1000000)*AQ$41</f>
      </c>
      <c r="AR631" s="6">
        <f>(K631/100)*AR$41</f>
      </c>
      <c r="AS631" s="6">
        <f>(L631/100)*AS$41</f>
      </c>
      <c r="AT631" s="6">
        <f>(M631/100)*AT$41</f>
      </c>
      <c r="AU631" s="6">
        <f>(N631/100)*AU$41</f>
      </c>
      <c r="AV631" s="6">
        <f>(O631/1000000)*AV$41</f>
      </c>
      <c r="AW631" s="6">
        <f>(P631/100)*AW$41</f>
      </c>
      <c r="AX631" s="6">
        <f>(Q631/100)*AX$41</f>
      </c>
      <c r="AY631" s="6">
        <f>(R631/100)*AY$41</f>
      </c>
      <c r="AZ631" s="6">
        <f>(S631/100)*AZ$41</f>
      </c>
      <c r="BA631" s="6">
        <f>(T631/100)*BA$41</f>
      </c>
      <c r="BB631" s="6">
        <f>(U631/100)*BB$41</f>
      </c>
      <c r="BC631" s="6"/>
      <c r="BD631" s="3"/>
      <c r="BE631" s="3"/>
      <c r="BF631" s="7">
        <f>AF631*E631</f>
      </c>
      <c r="BG631" s="6"/>
      <c r="BH631" s="3"/>
      <c r="BI631" s="6"/>
    </row>
    <row x14ac:dyDescent="0.25" r="632" customHeight="1" ht="12.75">
      <c r="A632" s="5" t="s">
        <v>262</v>
      </c>
      <c r="B632" s="3" t="s">
        <v>855</v>
      </c>
      <c r="C632" s="43" t="s">
        <v>870</v>
      </c>
      <c r="D632" s="34"/>
      <c r="E632" s="6">
        <v>25.308999999999997</v>
      </c>
      <c r="F632" s="6"/>
      <c r="G632" s="6">
        <v>5.011759058042594</v>
      </c>
      <c r="H632" s="7">
        <v>25.0422158125568</v>
      </c>
      <c r="I632" s="6">
        <v>0.7938282824291755</v>
      </c>
      <c r="J632" s="6">
        <v>2.9010660239440518</v>
      </c>
      <c r="K632" s="7"/>
      <c r="L632" s="6"/>
      <c r="M632" s="6"/>
      <c r="N632" s="23"/>
      <c r="O632" s="5"/>
      <c r="P632" s="6"/>
      <c r="Q632" s="6"/>
      <c r="R632" s="6"/>
      <c r="S632" s="6"/>
      <c r="T632" s="6"/>
      <c r="U632" s="6"/>
      <c r="V632" s="5"/>
      <c r="W632" s="6"/>
      <c r="X632" s="6">
        <f>E632*F632/100</f>
      </c>
      <c r="Y632" s="6">
        <f>E632*G632/100</f>
      </c>
      <c r="Z632" s="7">
        <f>E632*H632</f>
      </c>
      <c r="AA632" s="7">
        <f>E632*J632</f>
      </c>
      <c r="AB632" s="6">
        <f>E632*I632/100</f>
      </c>
      <c r="AC632" s="15">
        <f>X632+Y632+AB632</f>
      </c>
      <c r="AD632" s="6">
        <f>F632+G632+I632</f>
      </c>
      <c r="AE632" s="3"/>
      <c r="AF632" s="6">
        <f>SUM(AM632:BC632)</f>
      </c>
      <c r="AG632" s="5">
        <f>IF(SUM(AM632:AO632)&gt;0.7*AF632,1,0)</f>
      </c>
      <c r="AH632" s="5">
        <f>IF(AN632&gt;0.4*AF632,1,0)</f>
      </c>
      <c r="AI632" s="5">
        <f>IF(SUM(AP632:AQ632)&gt;0.3*AF632,1,0)</f>
      </c>
      <c r="AJ632" s="5">
        <f>IF(AQ632&gt;0.2*AF632,1,0)</f>
      </c>
      <c r="AK632" s="5">
        <f>IF(SUM(AR632:BC632)&gt;0.3*AF632,1,0)</f>
      </c>
      <c r="AL632" s="3"/>
      <c r="AM632" s="6">
        <f>(F632/100)*AM$41</f>
      </c>
      <c r="AN632" s="6">
        <f>(G632/100)*AN$41</f>
      </c>
      <c r="AO632" s="6">
        <f>(H632/1000000)*AO$41</f>
      </c>
      <c r="AP632" s="6">
        <f>(I632/100)*AP$41</f>
      </c>
      <c r="AQ632" s="6">
        <f>(J632/1000000)*AQ$41</f>
      </c>
      <c r="AR632" s="6">
        <f>(K632/100)*AR$41</f>
      </c>
      <c r="AS632" s="6">
        <f>(L632/100)*AS$41</f>
      </c>
      <c r="AT632" s="6">
        <f>(M632/100)*AT$41</f>
      </c>
      <c r="AU632" s="6">
        <f>(N632/100)*AU$41</f>
      </c>
      <c r="AV632" s="6">
        <f>(O632/1000000)*AV$41</f>
      </c>
      <c r="AW632" s="6">
        <f>(P632/100)*AW$41</f>
      </c>
      <c r="AX632" s="6">
        <f>(Q632/100)*AX$41</f>
      </c>
      <c r="AY632" s="6">
        <f>(R632/100)*AY$41</f>
      </c>
      <c r="AZ632" s="6">
        <f>(S632/100)*AZ$41</f>
      </c>
      <c r="BA632" s="6">
        <f>(T632/100)*BA$41</f>
      </c>
      <c r="BB632" s="6">
        <f>(U632/100)*BB$41</f>
      </c>
      <c r="BC632" s="6"/>
      <c r="BD632" s="3"/>
      <c r="BE632" s="3"/>
      <c r="BF632" s="7">
        <f>AF632*E632</f>
      </c>
      <c r="BG632" s="6"/>
      <c r="BH632" s="3"/>
      <c r="BI632" s="6"/>
    </row>
    <row x14ac:dyDescent="0.25" r="633" customHeight="1" ht="12.75">
      <c r="A633" s="5" t="s">
        <v>344</v>
      </c>
      <c r="B633" s="3" t="s">
        <v>855</v>
      </c>
      <c r="C633" s="43" t="s">
        <v>870</v>
      </c>
      <c r="D633" s="34"/>
      <c r="E633" s="6">
        <v>12.96</v>
      </c>
      <c r="F633" s="7">
        <v>0.14444444444444443</v>
      </c>
      <c r="G633" s="7">
        <v>9.822222222222221</v>
      </c>
      <c r="H633" s="31">
        <v>56.29629629629628</v>
      </c>
      <c r="I633" s="6"/>
      <c r="J633" s="6"/>
      <c r="K633" s="7"/>
      <c r="L633" s="6"/>
      <c r="M633" s="6"/>
      <c r="N633" s="23"/>
      <c r="O633" s="5"/>
      <c r="P633" s="6"/>
      <c r="Q633" s="6"/>
      <c r="R633" s="6"/>
      <c r="S633" s="6"/>
      <c r="T633" s="6"/>
      <c r="U633" s="6"/>
      <c r="V633" s="5"/>
      <c r="W633" s="6"/>
      <c r="X633" s="6">
        <f>E633*F633/100</f>
      </c>
      <c r="Y633" s="6">
        <f>E633*G633/100</f>
      </c>
      <c r="Z633" s="7">
        <f>E633*H633</f>
      </c>
      <c r="AA633" s="7">
        <f>E633*J633</f>
      </c>
      <c r="AB633" s="6">
        <f>E633*I633/100</f>
      </c>
      <c r="AC633" s="15">
        <f>X633+Y633+AB633</f>
      </c>
      <c r="AD633" s="6">
        <f>F633+G633+I633</f>
      </c>
      <c r="AE633" s="3"/>
      <c r="AF633" s="6">
        <f>SUM(AM633:BC633)</f>
      </c>
      <c r="AG633" s="5">
        <f>IF(SUM(AM633:AO633)&gt;0.7*AF633,1,0)</f>
      </c>
      <c r="AH633" s="5">
        <f>IF(AN633&gt;0.4*AF633,1,0)</f>
      </c>
      <c r="AI633" s="5">
        <f>IF(SUM(AP633:AQ633)&gt;0.3*AF633,1,0)</f>
      </c>
      <c r="AJ633" s="5">
        <f>IF(AQ633&gt;0.2*AF633,1,0)</f>
      </c>
      <c r="AK633" s="5">
        <f>IF(SUM(AR633:BC633)&gt;0.3*AF633,1,0)</f>
      </c>
      <c r="AL633" s="3"/>
      <c r="AM633" s="6">
        <f>(F633/100)*AM$41</f>
      </c>
      <c r="AN633" s="6">
        <f>(G633/100)*AN$41</f>
      </c>
      <c r="AO633" s="6">
        <f>(H633/1000000)*AO$41</f>
      </c>
      <c r="AP633" s="6">
        <f>(I633/100)*AP$41</f>
      </c>
      <c r="AQ633" s="6">
        <f>(J633/1000000)*AQ$41</f>
      </c>
      <c r="AR633" s="6">
        <f>(K633/100)*AR$41</f>
      </c>
      <c r="AS633" s="6">
        <f>(L633/100)*AS$41</f>
      </c>
      <c r="AT633" s="6">
        <f>(M633/100)*AT$41</f>
      </c>
      <c r="AU633" s="6">
        <f>(N633/100)*AU$41</f>
      </c>
      <c r="AV633" s="6">
        <f>(O633/1000000)*AV$41</f>
      </c>
      <c r="AW633" s="6">
        <f>(P633/100)*AW$41</f>
      </c>
      <c r="AX633" s="6">
        <f>(Q633/100)*AX$41</f>
      </c>
      <c r="AY633" s="6">
        <f>(R633/100)*AY$41</f>
      </c>
      <c r="AZ633" s="6">
        <f>(S633/100)*AZ$41</f>
      </c>
      <c r="BA633" s="6">
        <f>(T633/100)*BA$41</f>
      </c>
      <c r="BB633" s="6">
        <f>(U633/100)*BB$41</f>
      </c>
      <c r="BC633" s="6"/>
      <c r="BD633" s="3"/>
      <c r="BE633" s="3"/>
      <c r="BF633" s="7">
        <f>AF633*E633</f>
      </c>
      <c r="BG633" s="6"/>
      <c r="BH633" s="3"/>
      <c r="BI633" s="6"/>
    </row>
    <row x14ac:dyDescent="0.25" r="634" customHeight="1" ht="12.75">
      <c r="A634" s="5" t="s">
        <v>354</v>
      </c>
      <c r="B634" s="3" t="s">
        <v>855</v>
      </c>
      <c r="C634" s="43" t="s">
        <v>870</v>
      </c>
      <c r="D634" s="34"/>
      <c r="E634" s="23">
        <v>12.3403</v>
      </c>
      <c r="F634" s="6">
        <v>2.2105883973647322</v>
      </c>
      <c r="G634" s="6">
        <v>7.420729722940287</v>
      </c>
      <c r="H634" s="7">
        <v>25.7215237879144</v>
      </c>
      <c r="I634" s="6">
        <v>0.18059609571890475</v>
      </c>
      <c r="J634" s="6"/>
      <c r="K634" s="7"/>
      <c r="L634" s="6"/>
      <c r="M634" s="6"/>
      <c r="N634" s="23"/>
      <c r="O634" s="5"/>
      <c r="P634" s="6"/>
      <c r="Q634" s="6"/>
      <c r="R634" s="6"/>
      <c r="S634" s="6"/>
      <c r="T634" s="6"/>
      <c r="U634" s="6"/>
      <c r="V634" s="5"/>
      <c r="W634" s="6"/>
      <c r="X634" s="6">
        <f>E634*F634/100</f>
      </c>
      <c r="Y634" s="6">
        <f>E634*G634/100</f>
      </c>
      <c r="Z634" s="7">
        <f>E634*H634</f>
      </c>
      <c r="AA634" s="7">
        <f>E634*J634</f>
      </c>
      <c r="AB634" s="6">
        <f>E634*I634/100</f>
      </c>
      <c r="AC634" s="15">
        <f>X634+Y634+AB634</f>
      </c>
      <c r="AD634" s="6">
        <f>F634+G634+I634</f>
      </c>
      <c r="AE634" s="3"/>
      <c r="AF634" s="6">
        <f>SUM(AM634:BC634)</f>
      </c>
      <c r="AG634" s="5">
        <f>IF(SUM(AM634:AO634)&gt;0.7*AF634,1,0)</f>
      </c>
      <c r="AH634" s="5">
        <f>IF(AN634&gt;0.4*AF634,1,0)</f>
      </c>
      <c r="AI634" s="5">
        <f>IF(SUM(AP634:AQ634)&gt;0.3*AF634,1,0)</f>
      </c>
      <c r="AJ634" s="5">
        <f>IF(AQ634&gt;0.2*AF634,1,0)</f>
      </c>
      <c r="AK634" s="5">
        <f>IF(SUM(AR634:BC634)&gt;0.3*AF634,1,0)</f>
      </c>
      <c r="AL634" s="3"/>
      <c r="AM634" s="6">
        <f>(F634/100)*AM$41</f>
      </c>
      <c r="AN634" s="6">
        <f>(G634/100)*AN$41</f>
      </c>
      <c r="AO634" s="6">
        <f>(H634/1000000)*AO$41</f>
      </c>
      <c r="AP634" s="6">
        <f>(I634/100)*AP$41</f>
      </c>
      <c r="AQ634" s="6">
        <f>(J634/1000000)*AQ$41</f>
      </c>
      <c r="AR634" s="6">
        <f>(K634/100)*AR$41</f>
      </c>
      <c r="AS634" s="6">
        <f>(L634/100)*AS$41</f>
      </c>
      <c r="AT634" s="6">
        <f>(M634/100)*AT$41</f>
      </c>
      <c r="AU634" s="6">
        <f>(N634/100)*AU$41</f>
      </c>
      <c r="AV634" s="6">
        <f>(O634/1000000)*AV$41</f>
      </c>
      <c r="AW634" s="6">
        <f>(P634/100)*AW$41</f>
      </c>
      <c r="AX634" s="6">
        <f>(Q634/100)*AX$41</f>
      </c>
      <c r="AY634" s="6">
        <f>(R634/100)*AY$41</f>
      </c>
      <c r="AZ634" s="6">
        <f>(S634/100)*AZ$41</f>
      </c>
      <c r="BA634" s="6">
        <f>(T634/100)*BA$41</f>
      </c>
      <c r="BB634" s="6">
        <f>(U634/100)*BB$41</f>
      </c>
      <c r="BC634" s="6"/>
      <c r="BD634" s="3"/>
      <c r="BE634" s="3"/>
      <c r="BF634" s="7">
        <f>AF634*E634</f>
      </c>
      <c r="BG634" s="6"/>
      <c r="BH634" s="3"/>
      <c r="BI634" s="6"/>
    </row>
    <row x14ac:dyDescent="0.25" r="635" customHeight="1" ht="12.75">
      <c r="A635" s="5" t="s">
        <v>373</v>
      </c>
      <c r="B635" s="3" t="s">
        <v>855</v>
      </c>
      <c r="C635" s="43" t="s">
        <v>870</v>
      </c>
      <c r="D635" s="34"/>
      <c r="E635" s="6">
        <v>29.64</v>
      </c>
      <c r="F635" s="6"/>
      <c r="G635" s="6">
        <v>3.8653036437246966</v>
      </c>
      <c r="H635" s="7"/>
      <c r="I635" s="6">
        <v>0.14959514170040486</v>
      </c>
      <c r="J635" s="6"/>
      <c r="K635" s="7"/>
      <c r="L635" s="6"/>
      <c r="M635" s="6"/>
      <c r="N635" s="23"/>
      <c r="O635" s="5"/>
      <c r="P635" s="6"/>
      <c r="Q635" s="6"/>
      <c r="R635" s="6"/>
      <c r="S635" s="6"/>
      <c r="T635" s="6"/>
      <c r="U635" s="6"/>
      <c r="V635" s="5"/>
      <c r="W635" s="6"/>
      <c r="X635" s="6">
        <f>E635*F635/100</f>
      </c>
      <c r="Y635" s="6">
        <f>E635*G635/100</f>
      </c>
      <c r="Z635" s="7">
        <f>E635*H635</f>
      </c>
      <c r="AA635" s="7">
        <f>E635*J635</f>
      </c>
      <c r="AB635" s="6">
        <f>E635*I635/100</f>
      </c>
      <c r="AC635" s="15">
        <f>X635+Y635+AB635</f>
      </c>
      <c r="AD635" s="6">
        <f>F635+G635+I635</f>
      </c>
      <c r="AE635" s="3"/>
      <c r="AF635" s="6">
        <f>SUM(AM635:BC635)</f>
      </c>
      <c r="AG635" s="5">
        <f>IF(SUM(AM635:AO635)&gt;0.7*AF635,1,0)</f>
      </c>
      <c r="AH635" s="5">
        <f>IF(AN635&gt;0.4*AF635,1,0)</f>
      </c>
      <c r="AI635" s="5">
        <f>IF(SUM(AP635:AQ635)&gt;0.3*AF635,1,0)</f>
      </c>
      <c r="AJ635" s="5">
        <f>IF(AQ635&gt;0.2*AF635,1,0)</f>
      </c>
      <c r="AK635" s="5">
        <f>IF(SUM(AR635:BC635)&gt;0.3*AF635,1,0)</f>
      </c>
      <c r="AL635" s="3"/>
      <c r="AM635" s="6">
        <f>(F635/100)*AM$41</f>
      </c>
      <c r="AN635" s="6">
        <f>(G635/100)*AN$41</f>
      </c>
      <c r="AO635" s="6">
        <f>(H635/1000000)*AO$41</f>
      </c>
      <c r="AP635" s="6">
        <f>(I635/100)*AP$41</f>
      </c>
      <c r="AQ635" s="6">
        <f>(J635/1000000)*AQ$41</f>
      </c>
      <c r="AR635" s="6">
        <f>(K635/100)*AR$41</f>
      </c>
      <c r="AS635" s="6">
        <f>(L635/100)*AS$41</f>
      </c>
      <c r="AT635" s="6">
        <f>(M635/100)*AT$41</f>
      </c>
      <c r="AU635" s="6">
        <f>(N635/100)*AU$41</f>
      </c>
      <c r="AV635" s="6">
        <f>(O635/1000000)*AV$41</f>
      </c>
      <c r="AW635" s="6">
        <f>(P635/100)*AW$41</f>
      </c>
      <c r="AX635" s="6">
        <f>(Q635/100)*AX$41</f>
      </c>
      <c r="AY635" s="6">
        <f>(R635/100)*AY$41</f>
      </c>
      <c r="AZ635" s="6">
        <f>(S635/100)*AZ$41</f>
      </c>
      <c r="BA635" s="6">
        <f>(T635/100)*BA$41</f>
      </c>
      <c r="BB635" s="6">
        <f>(U635/100)*BB$41</f>
      </c>
      <c r="BC635" s="6"/>
      <c r="BD635" s="3"/>
      <c r="BE635" s="3"/>
      <c r="BF635" s="7">
        <f>AF635*E635</f>
      </c>
      <c r="BG635" s="6"/>
      <c r="BH635" s="3"/>
      <c r="BI635" s="6"/>
    </row>
    <row x14ac:dyDescent="0.25" r="636" customHeight="1" ht="12.75">
      <c r="A636" s="5" t="s">
        <v>285</v>
      </c>
      <c r="B636" s="3" t="s">
        <v>855</v>
      </c>
      <c r="C636" s="43" t="s">
        <v>870</v>
      </c>
      <c r="D636" s="34" t="s">
        <v>1029</v>
      </c>
      <c r="E636" s="6">
        <v>22.88</v>
      </c>
      <c r="F636" s="6"/>
      <c r="G636" s="6">
        <v>1.67</v>
      </c>
      <c r="H636" s="7"/>
      <c r="I636" s="6">
        <v>3.5</v>
      </c>
      <c r="J636" s="6"/>
      <c r="K636" s="7"/>
      <c r="L636" s="6"/>
      <c r="M636" s="6"/>
      <c r="N636" s="23"/>
      <c r="O636" s="5"/>
      <c r="P636" s="6"/>
      <c r="Q636" s="6"/>
      <c r="R636" s="6"/>
      <c r="S636" s="6"/>
      <c r="T636" s="6"/>
      <c r="U636" s="6"/>
      <c r="V636" s="5"/>
      <c r="W636" s="6"/>
      <c r="X636" s="6">
        <f>E636*F636/100</f>
      </c>
      <c r="Y636" s="6">
        <f>E636*G636/100</f>
      </c>
      <c r="Z636" s="7">
        <f>E636*H636</f>
      </c>
      <c r="AA636" s="7">
        <f>E636*J636</f>
      </c>
      <c r="AB636" s="6">
        <f>E636*I636/100</f>
      </c>
      <c r="AC636" s="15">
        <f>X636+Y636+AB636</f>
      </c>
      <c r="AD636" s="6">
        <f>F636+G636+I636</f>
      </c>
      <c r="AE636" s="3"/>
      <c r="AF636" s="6">
        <f>SUM(AM636:BC636)</f>
      </c>
      <c r="AG636" s="5">
        <f>IF(SUM(AM636:AO636)&gt;0.7*AF636,1,0)</f>
      </c>
      <c r="AH636" s="5">
        <f>IF(AN636&gt;0.4*AF636,1,0)</f>
      </c>
      <c r="AI636" s="5">
        <f>IF(SUM(AP636:AQ636)&gt;0.3*AF636,1,0)</f>
      </c>
      <c r="AJ636" s="5">
        <f>IF(AQ636&gt;0.2*AF636,1,0)</f>
      </c>
      <c r="AK636" s="5">
        <f>IF(SUM(AR636:BC636)&gt;0.3*AF636,1,0)</f>
      </c>
      <c r="AL636" s="3"/>
      <c r="AM636" s="6">
        <f>(F636/100)*AM$41</f>
      </c>
      <c r="AN636" s="6">
        <f>(G636/100)*AN$41</f>
      </c>
      <c r="AO636" s="6">
        <f>(H636/1000000)*AO$41</f>
      </c>
      <c r="AP636" s="6">
        <f>(I636/100)*AP$41</f>
      </c>
      <c r="AQ636" s="6">
        <f>(J636/1000000)*AQ$41</f>
      </c>
      <c r="AR636" s="6">
        <f>(K636/100)*AR$41</f>
      </c>
      <c r="AS636" s="6">
        <f>(L636/100)*AS$41</f>
      </c>
      <c r="AT636" s="6">
        <f>(M636/100)*AT$41</f>
      </c>
      <c r="AU636" s="6">
        <f>(N636/100)*AU$41</f>
      </c>
      <c r="AV636" s="6">
        <f>(O636/1000000)*AV$41</f>
      </c>
      <c r="AW636" s="6">
        <f>(P636/100)*AW$41</f>
      </c>
      <c r="AX636" s="6">
        <f>(Q636/100)*AX$41</f>
      </c>
      <c r="AY636" s="6">
        <f>(R636/100)*AY$41</f>
      </c>
      <c r="AZ636" s="6">
        <f>(S636/100)*AZ$41</f>
      </c>
      <c r="BA636" s="6">
        <f>(T636/100)*BA$41</f>
      </c>
      <c r="BB636" s="6">
        <f>(U636/100)*BB$41</f>
      </c>
      <c r="BC636" s="6"/>
      <c r="BD636" s="3"/>
      <c r="BE636" s="3"/>
      <c r="BF636" s="7">
        <f>AF636*E636</f>
      </c>
      <c r="BG636" s="6"/>
      <c r="BH636" s="3"/>
      <c r="BI636" s="6"/>
    </row>
    <row x14ac:dyDescent="0.25" r="637" customHeight="1" ht="12.75">
      <c r="A637" s="5" t="s">
        <v>70</v>
      </c>
      <c r="B637" s="3" t="s">
        <v>855</v>
      </c>
      <c r="C637" s="43" t="s">
        <v>870</v>
      </c>
      <c r="D637" s="34"/>
      <c r="E637" s="23">
        <v>9.93384</v>
      </c>
      <c r="F637" s="7">
        <v>3.16268493150685</v>
      </c>
      <c r="G637" s="7">
        <v>8.123908675799086</v>
      </c>
      <c r="H637" s="31">
        <v>419.28446804055636</v>
      </c>
      <c r="I637" s="6"/>
      <c r="J637" s="7">
        <v>3.086851509587431</v>
      </c>
      <c r="K637" s="7"/>
      <c r="L637" s="6"/>
      <c r="M637" s="6"/>
      <c r="N637" s="23"/>
      <c r="O637" s="5"/>
      <c r="P637" s="6"/>
      <c r="Q637" s="6"/>
      <c r="R637" s="6"/>
      <c r="S637" s="6"/>
      <c r="T637" s="6"/>
      <c r="U637" s="6"/>
      <c r="V637" s="5"/>
      <c r="W637" s="6"/>
      <c r="X637" s="6">
        <f>E637*F637/100</f>
      </c>
      <c r="Y637" s="6">
        <f>E637*G637/100</f>
      </c>
      <c r="Z637" s="7">
        <f>E637*H637</f>
      </c>
      <c r="AA637" s="7">
        <f>E637*J637</f>
      </c>
      <c r="AB637" s="6">
        <f>E637*I637/100</f>
      </c>
      <c r="AC637" s="15">
        <f>X637+Y637+AB637</f>
      </c>
      <c r="AD637" s="6">
        <f>F637+G637+I637</f>
      </c>
      <c r="AE637" s="3"/>
      <c r="AF637" s="6">
        <f>SUM(AM637:BC637)</f>
      </c>
      <c r="AG637" s="5">
        <f>IF(SUM(AM637:AO637)&gt;0.7*AF637,1,0)</f>
      </c>
      <c r="AH637" s="5">
        <f>IF(AN637&gt;0.4*AF637,1,0)</f>
      </c>
      <c r="AI637" s="5">
        <f>IF(SUM(AP637:AQ637)&gt;0.3*AF637,1,0)</f>
      </c>
      <c r="AJ637" s="5">
        <f>IF(AQ637&gt;0.2*AF637,1,0)</f>
      </c>
      <c r="AK637" s="5">
        <f>IF(SUM(AR637:BC637)&gt;0.3*AF637,1,0)</f>
      </c>
      <c r="AL637" s="3"/>
      <c r="AM637" s="6">
        <f>(F637/100)*AM$41</f>
      </c>
      <c r="AN637" s="6">
        <f>(G637/100)*AN$41</f>
      </c>
      <c r="AO637" s="6">
        <f>(H637/1000000)*AO$41</f>
      </c>
      <c r="AP637" s="6">
        <f>(I637/100)*AP$41</f>
      </c>
      <c r="AQ637" s="6">
        <f>(J637/1000000)*AQ$41</f>
      </c>
      <c r="AR637" s="6">
        <f>(K637/100)*AR$41</f>
      </c>
      <c r="AS637" s="6">
        <f>(L637/100)*AS$41</f>
      </c>
      <c r="AT637" s="6">
        <f>(M637/100)*AT$41</f>
      </c>
      <c r="AU637" s="6">
        <f>(N637/100)*AU$41</f>
      </c>
      <c r="AV637" s="6">
        <f>(O637/1000000)*AV$41</f>
      </c>
      <c r="AW637" s="6">
        <f>(P637/100)*AW$41</f>
      </c>
      <c r="AX637" s="6">
        <f>(Q637/100)*AX$41</f>
      </c>
      <c r="AY637" s="6">
        <f>(R637/100)*AY$41</f>
      </c>
      <c r="AZ637" s="6">
        <f>(S637/100)*AZ$41</f>
      </c>
      <c r="BA637" s="6">
        <f>(T637/100)*BA$41</f>
      </c>
      <c r="BB637" s="6">
        <f>(U637/100)*BB$41</f>
      </c>
      <c r="BC637" s="6"/>
      <c r="BD637" s="3"/>
      <c r="BE637" s="3"/>
      <c r="BF637" s="7">
        <f>AF637*E637</f>
      </c>
      <c r="BG637" s="6"/>
      <c r="BH637" s="3"/>
      <c r="BI637" s="6"/>
    </row>
    <row x14ac:dyDescent="0.25" r="638" customHeight="1" ht="12.75">
      <c r="A638" s="5" t="s">
        <v>273</v>
      </c>
      <c r="B638" s="3" t="s">
        <v>855</v>
      </c>
      <c r="C638" s="43" t="s">
        <v>870</v>
      </c>
      <c r="D638" s="34"/>
      <c r="E638" s="6">
        <v>30.35</v>
      </c>
      <c r="F638" s="6">
        <v>0.67</v>
      </c>
      <c r="G638" s="6">
        <v>2.35</v>
      </c>
      <c r="H638" s="7">
        <v>46.56</v>
      </c>
      <c r="I638" s="6">
        <v>0.67</v>
      </c>
      <c r="J638" s="6">
        <v>2.31</v>
      </c>
      <c r="K638" s="7"/>
      <c r="L638" s="6"/>
      <c r="M638" s="6"/>
      <c r="N638" s="23"/>
      <c r="O638" s="5"/>
      <c r="P638" s="6"/>
      <c r="Q638" s="6"/>
      <c r="R638" s="6"/>
      <c r="S638" s="6"/>
      <c r="T638" s="6"/>
      <c r="U638" s="6"/>
      <c r="V638" s="5"/>
      <c r="W638" s="6"/>
      <c r="X638" s="6">
        <f>E638*F638/100</f>
      </c>
      <c r="Y638" s="6">
        <f>E638*G638/100</f>
      </c>
      <c r="Z638" s="7">
        <f>E638*H638</f>
      </c>
      <c r="AA638" s="7">
        <f>E638*J638</f>
      </c>
      <c r="AB638" s="6">
        <f>E638*I638/100</f>
      </c>
      <c r="AC638" s="15">
        <f>X638+Y638+AB638</f>
      </c>
      <c r="AD638" s="6">
        <f>F638+G638+I638</f>
      </c>
      <c r="AE638" s="3"/>
      <c r="AF638" s="6">
        <f>SUM(AM638:BC638)</f>
      </c>
      <c r="AG638" s="5">
        <f>IF(SUM(AM638:AO638)&gt;0.7*AF638,1,0)</f>
      </c>
      <c r="AH638" s="5">
        <f>IF(AN638&gt;0.4*AF638,1,0)</f>
      </c>
      <c r="AI638" s="5">
        <f>IF(SUM(AP638:AQ638)&gt;0.3*AF638,1,0)</f>
      </c>
      <c r="AJ638" s="5">
        <f>IF(AQ638&gt;0.2*AF638,1,0)</f>
      </c>
      <c r="AK638" s="5">
        <f>IF(SUM(AR638:BC638)&gt;0.3*AF638,1,0)</f>
      </c>
      <c r="AL638" s="3"/>
      <c r="AM638" s="6">
        <f>(F638/100)*AM$41</f>
      </c>
      <c r="AN638" s="6">
        <f>(G638/100)*AN$41</f>
      </c>
      <c r="AO638" s="6">
        <f>(H638/1000000)*AO$41</f>
      </c>
      <c r="AP638" s="6">
        <f>(I638/100)*AP$41</f>
      </c>
      <c r="AQ638" s="6">
        <f>(J638/1000000)*AQ$41</f>
      </c>
      <c r="AR638" s="6">
        <f>(K638/100)*AR$41</f>
      </c>
      <c r="AS638" s="6">
        <f>(L638/100)*AS$41</f>
      </c>
      <c r="AT638" s="6">
        <f>(M638/100)*AT$41</f>
      </c>
      <c r="AU638" s="6">
        <f>(N638/100)*AU$41</f>
      </c>
      <c r="AV638" s="6">
        <f>(O638/1000000)*AV$41</f>
      </c>
      <c r="AW638" s="6">
        <f>(P638/100)*AW$41</f>
      </c>
      <c r="AX638" s="6">
        <f>(Q638/100)*AX$41</f>
      </c>
      <c r="AY638" s="6">
        <f>(R638/100)*AY$41</f>
      </c>
      <c r="AZ638" s="6">
        <f>(S638/100)*AZ$41</f>
      </c>
      <c r="BA638" s="6">
        <f>(T638/100)*BA$41</f>
      </c>
      <c r="BB638" s="6">
        <f>(U638/100)*BB$41</f>
      </c>
      <c r="BC638" s="6"/>
      <c r="BD638" s="3"/>
      <c r="BE638" s="3"/>
      <c r="BF638" s="7">
        <f>AF638*E638</f>
      </c>
      <c r="BG638" s="6"/>
      <c r="BH638" s="3"/>
      <c r="BI638" s="6"/>
    </row>
    <row x14ac:dyDescent="0.25" r="639" customHeight="1" ht="12.75">
      <c r="A639" s="5" t="s">
        <v>310</v>
      </c>
      <c r="B639" s="3" t="s">
        <v>855</v>
      </c>
      <c r="C639" s="43" t="s">
        <v>870</v>
      </c>
      <c r="D639" s="34"/>
      <c r="E639" s="6">
        <v>10.89</v>
      </c>
      <c r="F639" s="6">
        <v>2.8911570247933884</v>
      </c>
      <c r="G639" s="6">
        <v>6.978484848484848</v>
      </c>
      <c r="H639" s="7">
        <v>82.36975206611571</v>
      </c>
      <c r="I639" s="6">
        <v>0.39509641873278245</v>
      </c>
      <c r="J639" s="6">
        <v>1.003801652892562</v>
      </c>
      <c r="K639" s="7"/>
      <c r="L639" s="6"/>
      <c r="M639" s="6"/>
      <c r="N639" s="23"/>
      <c r="O639" s="5"/>
      <c r="P639" s="6"/>
      <c r="Q639" s="6"/>
      <c r="R639" s="6"/>
      <c r="S639" s="6"/>
      <c r="T639" s="6"/>
      <c r="U639" s="6"/>
      <c r="V639" s="5"/>
      <c r="W639" s="6"/>
      <c r="X639" s="6">
        <f>E639*F639/100</f>
      </c>
      <c r="Y639" s="6">
        <f>E639*G639/100</f>
      </c>
      <c r="Z639" s="7">
        <f>E639*H639</f>
      </c>
      <c r="AA639" s="7">
        <f>E639*J639</f>
      </c>
      <c r="AB639" s="6">
        <f>E639*I639/100</f>
      </c>
      <c r="AC639" s="15">
        <f>X639+Y639+AB639</f>
      </c>
      <c r="AD639" s="6">
        <f>F639+G639+I639</f>
      </c>
      <c r="AE639" s="3"/>
      <c r="AF639" s="6">
        <f>SUM(AM639:BC639)</f>
      </c>
      <c r="AG639" s="5">
        <f>IF(SUM(AM639:AO639)&gt;0.7*AF639,1,0)</f>
      </c>
      <c r="AH639" s="5">
        <f>IF(AN639&gt;0.4*AF639,1,0)</f>
      </c>
      <c r="AI639" s="5">
        <f>IF(SUM(AP639:AQ639)&gt;0.3*AF639,1,0)</f>
      </c>
      <c r="AJ639" s="5">
        <f>IF(AQ639&gt;0.2*AF639,1,0)</f>
      </c>
      <c r="AK639" s="5">
        <f>IF(SUM(AR639:BC639)&gt;0.3*AF639,1,0)</f>
      </c>
      <c r="AL639" s="3"/>
      <c r="AM639" s="6">
        <f>(F639/100)*AM$41</f>
      </c>
      <c r="AN639" s="6">
        <f>(G639/100)*AN$41</f>
      </c>
      <c r="AO639" s="6">
        <f>(H639/1000000)*AO$41</f>
      </c>
      <c r="AP639" s="6">
        <f>(I639/100)*AP$41</f>
      </c>
      <c r="AQ639" s="6">
        <f>(J639/1000000)*AQ$41</f>
      </c>
      <c r="AR639" s="6">
        <f>(K639/100)*AR$41</f>
      </c>
      <c r="AS639" s="6">
        <f>(L639/100)*AS$41</f>
      </c>
      <c r="AT639" s="6">
        <f>(M639/100)*AT$41</f>
      </c>
      <c r="AU639" s="6">
        <f>(N639/100)*AU$41</f>
      </c>
      <c r="AV639" s="6">
        <f>(O639/1000000)*AV$41</f>
      </c>
      <c r="AW639" s="6">
        <f>(P639/100)*AW$41</f>
      </c>
      <c r="AX639" s="6">
        <f>(Q639/100)*AX$41</f>
      </c>
      <c r="AY639" s="6">
        <f>(R639/100)*AY$41</f>
      </c>
      <c r="AZ639" s="6">
        <f>(S639/100)*AZ$41</f>
      </c>
      <c r="BA639" s="6">
        <f>(T639/100)*BA$41</f>
      </c>
      <c r="BB639" s="6">
        <f>(U639/100)*BB$41</f>
      </c>
      <c r="BC639" s="6"/>
      <c r="BD639" s="3"/>
      <c r="BE639" s="3"/>
      <c r="BF639" s="7">
        <f>AF639*E639</f>
      </c>
      <c r="BG639" s="6"/>
      <c r="BH639" s="3"/>
      <c r="BI639" s="6"/>
    </row>
    <row x14ac:dyDescent="0.25" r="640" customHeight="1" ht="12.75">
      <c r="A640" s="5" t="s">
        <v>260</v>
      </c>
      <c r="B640" s="3" t="s">
        <v>855</v>
      </c>
      <c r="C640" s="43" t="s">
        <v>870</v>
      </c>
      <c r="D640" s="34"/>
      <c r="E640" s="6">
        <v>41.4</v>
      </c>
      <c r="F640" s="6">
        <v>0.5734299516908212</v>
      </c>
      <c r="G640" s="6">
        <v>1.3178743961352657</v>
      </c>
      <c r="H640" s="7">
        <v>23.52657004830918</v>
      </c>
      <c r="I640" s="7">
        <v>0.7739130434782608</v>
      </c>
      <c r="J640" s="7">
        <v>1.8381642512077294</v>
      </c>
      <c r="K640" s="7"/>
      <c r="L640" s="6"/>
      <c r="M640" s="6"/>
      <c r="N640" s="23"/>
      <c r="O640" s="5"/>
      <c r="P640" s="6"/>
      <c r="Q640" s="6"/>
      <c r="R640" s="6"/>
      <c r="S640" s="6"/>
      <c r="T640" s="6"/>
      <c r="U640" s="6"/>
      <c r="V640" s="5"/>
      <c r="W640" s="6"/>
      <c r="X640" s="6">
        <f>E640*F640/100</f>
      </c>
      <c r="Y640" s="6">
        <f>E640*G640/100</f>
      </c>
      <c r="Z640" s="7">
        <f>E640*H640</f>
      </c>
      <c r="AA640" s="7">
        <f>E640*J640</f>
      </c>
      <c r="AB640" s="6">
        <f>E640*I640/100</f>
      </c>
      <c r="AC640" s="15">
        <f>X640+Y640+AB640</f>
      </c>
      <c r="AD640" s="6">
        <f>F640+G640+I640</f>
      </c>
      <c r="AE640" s="3"/>
      <c r="AF640" s="6">
        <f>SUM(AM640:BC640)</f>
      </c>
      <c r="AG640" s="5">
        <f>IF(SUM(AM640:AO640)&gt;0.7*AF640,1,0)</f>
      </c>
      <c r="AH640" s="5">
        <f>IF(AN640&gt;0.4*AF640,1,0)</f>
      </c>
      <c r="AI640" s="5">
        <f>IF(SUM(AP640:AQ640)&gt;0.3*AF640,1,0)</f>
      </c>
      <c r="AJ640" s="5">
        <f>IF(AQ640&gt;0.2*AF640,1,0)</f>
      </c>
      <c r="AK640" s="5">
        <f>IF(SUM(AR640:BC640)&gt;0.3*AF640,1,0)</f>
      </c>
      <c r="AL640" s="3"/>
      <c r="AM640" s="6">
        <f>(F640/100)*AM$41</f>
      </c>
      <c r="AN640" s="6">
        <f>(G640/100)*AN$41</f>
      </c>
      <c r="AO640" s="6">
        <f>(H640/1000000)*AO$41</f>
      </c>
      <c r="AP640" s="6">
        <f>(I640/100)*AP$41</f>
      </c>
      <c r="AQ640" s="6">
        <f>(J640/1000000)*AQ$41</f>
      </c>
      <c r="AR640" s="6">
        <f>(K640/100)*AR$41</f>
      </c>
      <c r="AS640" s="6">
        <f>(L640/100)*AS$41</f>
      </c>
      <c r="AT640" s="6">
        <f>(M640/100)*AT$41</f>
      </c>
      <c r="AU640" s="6">
        <f>(N640/100)*AU$41</f>
      </c>
      <c r="AV640" s="6">
        <f>(O640/1000000)*AV$41</f>
      </c>
      <c r="AW640" s="6">
        <f>(P640/100)*AW$41</f>
      </c>
      <c r="AX640" s="6">
        <f>(Q640/100)*AX$41</f>
      </c>
      <c r="AY640" s="6">
        <f>(R640/100)*AY$41</f>
      </c>
      <c r="AZ640" s="6">
        <f>(S640/100)*AZ$41</f>
      </c>
      <c r="BA640" s="6">
        <f>(T640/100)*BA$41</f>
      </c>
      <c r="BB640" s="6">
        <f>(U640/100)*BB$41</f>
      </c>
      <c r="BC640" s="6"/>
      <c r="BD640" s="3"/>
      <c r="BE640" s="3"/>
      <c r="BF640" s="7">
        <f>AF640*E640</f>
      </c>
      <c r="BG640" s="6"/>
      <c r="BH640" s="3"/>
      <c r="BI640" s="6"/>
    </row>
    <row x14ac:dyDescent="0.25" r="641" customHeight="1" ht="12.75">
      <c r="A641" s="5" t="s">
        <v>302</v>
      </c>
      <c r="B641" s="3" t="s">
        <v>855</v>
      </c>
      <c r="C641" s="43" t="s">
        <v>870</v>
      </c>
      <c r="D641" s="34"/>
      <c r="E641" s="6">
        <v>12.8</v>
      </c>
      <c r="F641" s="7">
        <v>1.6875</v>
      </c>
      <c r="G641" s="7">
        <v>5.95859375</v>
      </c>
      <c r="H641" s="5">
        <v>138</v>
      </c>
      <c r="I641" s="6">
        <v>0.8109375000000002</v>
      </c>
      <c r="J641" s="6">
        <v>1.38203125</v>
      </c>
      <c r="K641" s="7"/>
      <c r="L641" s="6"/>
      <c r="M641" s="6"/>
      <c r="N641" s="23"/>
      <c r="O641" s="5"/>
      <c r="P641" s="6"/>
      <c r="Q641" s="6"/>
      <c r="R641" s="6"/>
      <c r="S641" s="6"/>
      <c r="T641" s="6"/>
      <c r="U641" s="6"/>
      <c r="V641" s="5"/>
      <c r="W641" s="6"/>
      <c r="X641" s="6">
        <f>E641*F641/100</f>
      </c>
      <c r="Y641" s="6">
        <f>E641*G641/100</f>
      </c>
      <c r="Z641" s="7">
        <f>E641*H641</f>
      </c>
      <c r="AA641" s="7">
        <f>E641*J641</f>
      </c>
      <c r="AB641" s="6">
        <f>E641*I641/100</f>
      </c>
      <c r="AC641" s="15">
        <f>X641+Y641+AB641</f>
      </c>
      <c r="AD641" s="6">
        <f>F641+G641+I641</f>
      </c>
      <c r="AE641" s="3"/>
      <c r="AF641" s="6">
        <f>SUM(AM641:BC641)</f>
      </c>
      <c r="AG641" s="5">
        <f>IF(SUM(AM641:AO641)&gt;0.7*AF641,1,0)</f>
      </c>
      <c r="AH641" s="5">
        <f>IF(AN641&gt;0.4*AF641,1,0)</f>
      </c>
      <c r="AI641" s="5">
        <f>IF(SUM(AP641:AQ641)&gt;0.3*AF641,1,0)</f>
      </c>
      <c r="AJ641" s="5">
        <f>IF(AQ641&gt;0.2*AF641,1,0)</f>
      </c>
      <c r="AK641" s="5">
        <f>IF(SUM(AR641:BC641)&gt;0.3*AF641,1,0)</f>
      </c>
      <c r="AL641" s="3"/>
      <c r="AM641" s="6">
        <f>(F641/100)*AM$41</f>
      </c>
      <c r="AN641" s="6">
        <f>(G641/100)*AN$41</f>
      </c>
      <c r="AO641" s="6">
        <f>(H641/1000000)*AO$41</f>
      </c>
      <c r="AP641" s="6">
        <f>(I641/100)*AP$41</f>
      </c>
      <c r="AQ641" s="6">
        <f>(J641/1000000)*AQ$41</f>
      </c>
      <c r="AR641" s="6">
        <f>(K641/100)*AR$41</f>
      </c>
      <c r="AS641" s="6">
        <f>(L641/100)*AS$41</f>
      </c>
      <c r="AT641" s="6">
        <f>(M641/100)*AT$41</f>
      </c>
      <c r="AU641" s="6">
        <f>(N641/100)*AU$41</f>
      </c>
      <c r="AV641" s="6">
        <f>(O641/1000000)*AV$41</f>
      </c>
      <c r="AW641" s="6">
        <f>(P641/100)*AW$41</f>
      </c>
      <c r="AX641" s="6">
        <f>(Q641/100)*AX$41</f>
      </c>
      <c r="AY641" s="6">
        <f>(R641/100)*AY$41</f>
      </c>
      <c r="AZ641" s="6">
        <f>(S641/100)*AZ$41</f>
      </c>
      <c r="BA641" s="6">
        <f>(T641/100)*BA$41</f>
      </c>
      <c r="BB641" s="6">
        <f>(U641/100)*BB$41</f>
      </c>
      <c r="BC641" s="6"/>
      <c r="BD641" s="3"/>
      <c r="BE641" s="3"/>
      <c r="BF641" s="7">
        <f>AF641*E641</f>
      </c>
      <c r="BG641" s="6"/>
      <c r="BH641" s="3"/>
      <c r="BI641" s="6"/>
    </row>
    <row x14ac:dyDescent="0.25" r="642" customHeight="1" ht="12.75">
      <c r="A642" s="5" t="s">
        <v>413</v>
      </c>
      <c r="B642" s="3" t="s">
        <v>855</v>
      </c>
      <c r="C642" s="43" t="s">
        <v>870</v>
      </c>
      <c r="D642" s="34"/>
      <c r="E642" s="6">
        <v>17.8</v>
      </c>
      <c r="F642" s="6">
        <v>0.9671910112359551</v>
      </c>
      <c r="G642" s="6">
        <v>4.482696629213483</v>
      </c>
      <c r="H642" s="7">
        <v>11.852808988764046</v>
      </c>
      <c r="I642" s="7">
        <v>0.4464044943820225</v>
      </c>
      <c r="J642" s="7">
        <v>0.6265168539325842</v>
      </c>
      <c r="K642" s="7"/>
      <c r="L642" s="6"/>
      <c r="M642" s="6"/>
      <c r="N642" s="23"/>
      <c r="O642" s="5"/>
      <c r="P642" s="6"/>
      <c r="Q642" s="6"/>
      <c r="R642" s="6"/>
      <c r="S642" s="6"/>
      <c r="T642" s="6"/>
      <c r="U642" s="6"/>
      <c r="V642" s="5"/>
      <c r="W642" s="6"/>
      <c r="X642" s="6">
        <f>E642*F642/100</f>
      </c>
      <c r="Y642" s="6">
        <f>E642*G642/100</f>
      </c>
      <c r="Z642" s="7">
        <f>E642*H642</f>
      </c>
      <c r="AA642" s="7">
        <f>E642*J642</f>
      </c>
      <c r="AB642" s="6">
        <f>E642*I642/100</f>
      </c>
      <c r="AC642" s="15">
        <f>X642+Y642+AB642</f>
      </c>
      <c r="AD642" s="6">
        <f>F642+G642+I642</f>
      </c>
      <c r="AE642" s="3"/>
      <c r="AF642" s="6">
        <f>SUM(AM642:BC642)</f>
      </c>
      <c r="AG642" s="5">
        <f>IF(SUM(AM642:AO642)&gt;0.7*AF642,1,0)</f>
      </c>
      <c r="AH642" s="5">
        <f>IF(AN642&gt;0.4*AF642,1,0)</f>
      </c>
      <c r="AI642" s="5">
        <f>IF(SUM(AP642:AQ642)&gt;0.3*AF642,1,0)</f>
      </c>
      <c r="AJ642" s="5">
        <f>IF(AQ642&gt;0.2*AF642,1,0)</f>
      </c>
      <c r="AK642" s="5">
        <f>IF(SUM(AR642:BC642)&gt;0.3*AF642,1,0)</f>
      </c>
      <c r="AL642" s="3"/>
      <c r="AM642" s="6">
        <f>(F642/100)*AM$41</f>
      </c>
      <c r="AN642" s="6">
        <f>(G642/100)*AN$41</f>
      </c>
      <c r="AO642" s="6">
        <f>(H642/1000000)*AO$41</f>
      </c>
      <c r="AP642" s="6">
        <f>(I642/100)*AP$41</f>
      </c>
      <c r="AQ642" s="6">
        <f>(J642/1000000)*AQ$41</f>
      </c>
      <c r="AR642" s="6">
        <f>(K642/100)*AR$41</f>
      </c>
      <c r="AS642" s="6">
        <f>(L642/100)*AS$41</f>
      </c>
      <c r="AT642" s="6">
        <f>(M642/100)*AT$41</f>
      </c>
      <c r="AU642" s="6">
        <f>(N642/100)*AU$41</f>
      </c>
      <c r="AV642" s="6">
        <f>(O642/1000000)*AV$41</f>
      </c>
      <c r="AW642" s="6">
        <f>(P642/100)*AW$41</f>
      </c>
      <c r="AX642" s="6">
        <f>(Q642/100)*AX$41</f>
      </c>
      <c r="AY642" s="6">
        <f>(R642/100)*AY$41</f>
      </c>
      <c r="AZ642" s="6">
        <f>(S642/100)*AZ$41</f>
      </c>
      <c r="BA642" s="6">
        <f>(T642/100)*BA$41</f>
      </c>
      <c r="BB642" s="6">
        <f>(U642/100)*BB$41</f>
      </c>
      <c r="BC642" s="6"/>
      <c r="BD642" s="3"/>
      <c r="BE642" s="3"/>
      <c r="BF642" s="7">
        <f>AF642*E642</f>
      </c>
      <c r="BG642" s="6"/>
      <c r="BH642" s="3"/>
      <c r="BI642" s="6"/>
    </row>
    <row x14ac:dyDescent="0.25" r="643" customHeight="1" ht="12.75">
      <c r="A643" s="5" t="s">
        <v>368</v>
      </c>
      <c r="B643" s="3" t="s">
        <v>855</v>
      </c>
      <c r="C643" s="43" t="s">
        <v>870</v>
      </c>
      <c r="D643" s="34"/>
      <c r="E643" s="6">
        <v>25.211</v>
      </c>
      <c r="F643" s="6"/>
      <c r="G643" s="6">
        <v>2.804596009678315</v>
      </c>
      <c r="H643" s="31">
        <v>17</v>
      </c>
      <c r="I643" s="6">
        <v>1.2979461346237755</v>
      </c>
      <c r="J643" s="6">
        <v>0.46308079806433705</v>
      </c>
      <c r="K643" s="7"/>
      <c r="L643" s="6"/>
      <c r="M643" s="6"/>
      <c r="N643" s="23"/>
      <c r="O643" s="5"/>
      <c r="P643" s="6"/>
      <c r="Q643" s="6"/>
      <c r="R643" s="6"/>
      <c r="S643" s="6"/>
      <c r="T643" s="6"/>
      <c r="U643" s="6"/>
      <c r="V643" s="5"/>
      <c r="W643" s="6"/>
      <c r="X643" s="6">
        <f>E643*F643/100</f>
      </c>
      <c r="Y643" s="6">
        <f>E643*G643/100</f>
      </c>
      <c r="Z643" s="7">
        <f>E643*H643</f>
      </c>
      <c r="AA643" s="7">
        <f>E643*J643</f>
      </c>
      <c r="AB643" s="6">
        <f>E643*I643/100</f>
      </c>
      <c r="AC643" s="15">
        <f>X643+Y643+AB643</f>
      </c>
      <c r="AD643" s="6">
        <f>F643+G643+I643</f>
      </c>
      <c r="AE643" s="3"/>
      <c r="AF643" s="6">
        <f>SUM(AM643:BC643)</f>
      </c>
      <c r="AG643" s="5">
        <f>IF(SUM(AM643:AO643)&gt;0.7*AF643,1,0)</f>
      </c>
      <c r="AH643" s="5">
        <f>IF(AN643&gt;0.4*AF643,1,0)</f>
      </c>
      <c r="AI643" s="5">
        <f>IF(SUM(AP643:AQ643)&gt;0.3*AF643,1,0)</f>
      </c>
      <c r="AJ643" s="5">
        <f>IF(AQ643&gt;0.2*AF643,1,0)</f>
      </c>
      <c r="AK643" s="5">
        <f>IF(SUM(AR643:BC643)&gt;0.3*AF643,1,0)</f>
      </c>
      <c r="AL643" s="3"/>
      <c r="AM643" s="6">
        <f>(F643/100)*AM$41</f>
      </c>
      <c r="AN643" s="6">
        <f>(G643/100)*AN$41</f>
      </c>
      <c r="AO643" s="6">
        <f>(H643/1000000)*AO$41</f>
      </c>
      <c r="AP643" s="6">
        <f>(I643/100)*AP$41</f>
      </c>
      <c r="AQ643" s="6">
        <f>(J643/1000000)*AQ$41</f>
      </c>
      <c r="AR643" s="6">
        <f>(K643/100)*AR$41</f>
      </c>
      <c r="AS643" s="6">
        <f>(L643/100)*AS$41</f>
      </c>
      <c r="AT643" s="6">
        <f>(M643/100)*AT$41</f>
      </c>
      <c r="AU643" s="6">
        <f>(N643/100)*AU$41</f>
      </c>
      <c r="AV643" s="6">
        <f>(O643/1000000)*AV$41</f>
      </c>
      <c r="AW643" s="6">
        <f>(P643/100)*AW$41</f>
      </c>
      <c r="AX643" s="6">
        <f>(Q643/100)*AX$41</f>
      </c>
      <c r="AY643" s="6">
        <f>(R643/100)*AY$41</f>
      </c>
      <c r="AZ643" s="6">
        <f>(S643/100)*AZ$41</f>
      </c>
      <c r="BA643" s="6">
        <f>(T643/100)*BA$41</f>
      </c>
      <c r="BB643" s="6">
        <f>(U643/100)*BB$41</f>
      </c>
      <c r="BC643" s="6"/>
      <c r="BD643" s="3"/>
      <c r="BE643" s="3"/>
      <c r="BF643" s="7">
        <f>AF643*E643</f>
      </c>
      <c r="BG643" s="6"/>
      <c r="BH643" s="3"/>
      <c r="BI643" s="6"/>
    </row>
    <row x14ac:dyDescent="0.25" r="644" customHeight="1" ht="12.75">
      <c r="A644" s="5" t="s">
        <v>309</v>
      </c>
      <c r="B644" s="3" t="s">
        <v>855</v>
      </c>
      <c r="C644" s="43" t="s">
        <v>870</v>
      </c>
      <c r="D644" s="34"/>
      <c r="E644" s="6">
        <v>35.2</v>
      </c>
      <c r="F644" s="6"/>
      <c r="G644" s="6">
        <v>0.8512755681818182</v>
      </c>
      <c r="H644" s="7"/>
      <c r="I644" s="6">
        <v>2.0331846590909084</v>
      </c>
      <c r="J644" s="6"/>
      <c r="K644" s="7"/>
      <c r="L644" s="6"/>
      <c r="M644" s="6"/>
      <c r="N644" s="23"/>
      <c r="O644" s="5"/>
      <c r="P644" s="6"/>
      <c r="Q644" s="6"/>
      <c r="R644" s="6"/>
      <c r="S644" s="6"/>
      <c r="T644" s="6"/>
      <c r="U644" s="6"/>
      <c r="V644" s="5"/>
      <c r="W644" s="6"/>
      <c r="X644" s="6">
        <f>E644*F644/100</f>
      </c>
      <c r="Y644" s="6">
        <f>E644*G644/100</f>
      </c>
      <c r="Z644" s="7">
        <f>E644*H644</f>
      </c>
      <c r="AA644" s="7">
        <f>E644*J644</f>
      </c>
      <c r="AB644" s="6">
        <f>E644*I644/100</f>
      </c>
      <c r="AC644" s="15">
        <f>X644+Y644+AB644</f>
      </c>
      <c r="AD644" s="6">
        <f>F644+G644+I644</f>
      </c>
      <c r="AE644" s="3"/>
      <c r="AF644" s="6">
        <f>SUM(AM644:BC644)</f>
      </c>
      <c r="AG644" s="5">
        <f>IF(SUM(AM644:AO644)&gt;0.7*AF644,1,0)</f>
      </c>
      <c r="AH644" s="5">
        <f>IF(AN644&gt;0.4*AF644,1,0)</f>
      </c>
      <c r="AI644" s="5">
        <f>IF(SUM(AP644:AQ644)&gt;0.3*AF644,1,0)</f>
      </c>
      <c r="AJ644" s="5">
        <f>IF(AQ644&gt;0.2*AF644,1,0)</f>
      </c>
      <c r="AK644" s="5">
        <f>IF(SUM(AR644:BC644)&gt;0.3*AF644,1,0)</f>
      </c>
      <c r="AL644" s="3"/>
      <c r="AM644" s="6">
        <f>(F644/100)*AM$41</f>
      </c>
      <c r="AN644" s="6">
        <f>(G644/100)*AN$41</f>
      </c>
      <c r="AO644" s="6">
        <f>(H644/1000000)*AO$41</f>
      </c>
      <c r="AP644" s="6">
        <f>(I644/100)*AP$41</f>
      </c>
      <c r="AQ644" s="6">
        <f>(J644/1000000)*AQ$41</f>
      </c>
      <c r="AR644" s="6">
        <f>(K644/100)*AR$41</f>
      </c>
      <c r="AS644" s="6">
        <f>(L644/100)*AS$41</f>
      </c>
      <c r="AT644" s="6">
        <f>(M644/100)*AT$41</f>
      </c>
      <c r="AU644" s="6">
        <f>(N644/100)*AU$41</f>
      </c>
      <c r="AV644" s="6">
        <f>(O644/1000000)*AV$41</f>
      </c>
      <c r="AW644" s="6">
        <f>(P644/100)*AW$41</f>
      </c>
      <c r="AX644" s="6">
        <f>(Q644/100)*AX$41</f>
      </c>
      <c r="AY644" s="6">
        <f>(R644/100)*AY$41</f>
      </c>
      <c r="AZ644" s="6">
        <f>(S644/100)*AZ$41</f>
      </c>
      <c r="BA644" s="6">
        <f>(T644/100)*BA$41</f>
      </c>
      <c r="BB644" s="6">
        <f>(U644/100)*BB$41</f>
      </c>
      <c r="BC644" s="6"/>
      <c r="BD644" s="3"/>
      <c r="BE644" s="3"/>
      <c r="BF644" s="7">
        <f>AF644*E644</f>
      </c>
      <c r="BG644" s="6"/>
      <c r="BH644" s="3"/>
      <c r="BI644" s="6"/>
    </row>
    <row x14ac:dyDescent="0.25" r="645" customHeight="1" ht="12.75">
      <c r="A645" s="5" t="s">
        <v>318</v>
      </c>
      <c r="B645" s="3" t="s">
        <v>855</v>
      </c>
      <c r="C645" s="43" t="s">
        <v>870</v>
      </c>
      <c r="D645" s="34"/>
      <c r="E645" s="6">
        <v>19.1</v>
      </c>
      <c r="F645" s="6">
        <v>0.868869109947644</v>
      </c>
      <c r="G645" s="6">
        <v>3.6900628272251303</v>
      </c>
      <c r="H645" s="31">
        <v>111.58848167539264</v>
      </c>
      <c r="I645" s="6">
        <v>0.7207434554973822</v>
      </c>
      <c r="J645" s="6">
        <v>1.5338010471204186</v>
      </c>
      <c r="K645" s="7"/>
      <c r="L645" s="6"/>
      <c r="M645" s="6"/>
      <c r="N645" s="23"/>
      <c r="O645" s="5"/>
      <c r="P645" s="6"/>
      <c r="Q645" s="6"/>
      <c r="R645" s="6"/>
      <c r="S645" s="6"/>
      <c r="T645" s="6"/>
      <c r="U645" s="6"/>
      <c r="V645" s="5"/>
      <c r="W645" s="6"/>
      <c r="X645" s="6">
        <f>E645*F645/100</f>
      </c>
      <c r="Y645" s="6">
        <f>E645*G645/100</f>
      </c>
      <c r="Z645" s="7">
        <f>E645*H645</f>
      </c>
      <c r="AA645" s="7">
        <f>E645*J645</f>
      </c>
      <c r="AB645" s="6">
        <f>E645*I645/100</f>
      </c>
      <c r="AC645" s="15">
        <f>X645+Y645+AB645</f>
      </c>
      <c r="AD645" s="6">
        <f>F645+G645+I645</f>
      </c>
      <c r="AE645" s="3"/>
      <c r="AF645" s="6">
        <f>SUM(AM645:BC645)</f>
      </c>
      <c r="AG645" s="5">
        <f>IF(SUM(AM645:AO645)&gt;0.7*AF645,1,0)</f>
      </c>
      <c r="AH645" s="5">
        <f>IF(AN645&gt;0.4*AF645,1,0)</f>
      </c>
      <c r="AI645" s="5">
        <f>IF(SUM(AP645:AQ645)&gt;0.3*AF645,1,0)</f>
      </c>
      <c r="AJ645" s="5">
        <f>IF(AQ645&gt;0.2*AF645,1,0)</f>
      </c>
      <c r="AK645" s="5">
        <f>IF(SUM(AR645:BC645)&gt;0.3*AF645,1,0)</f>
      </c>
      <c r="AL645" s="3"/>
      <c r="AM645" s="6">
        <f>(F645/100)*AM$41</f>
      </c>
      <c r="AN645" s="6">
        <f>(G645/100)*AN$41</f>
      </c>
      <c r="AO645" s="6">
        <f>(H645/1000000)*AO$41</f>
      </c>
      <c r="AP645" s="6">
        <f>(I645/100)*AP$41</f>
      </c>
      <c r="AQ645" s="6">
        <f>(J645/1000000)*AQ$41</f>
      </c>
      <c r="AR645" s="6">
        <f>(K645/100)*AR$41</f>
      </c>
      <c r="AS645" s="6">
        <f>(L645/100)*AS$41</f>
      </c>
      <c r="AT645" s="6">
        <f>(M645/100)*AT$41</f>
      </c>
      <c r="AU645" s="6">
        <f>(N645/100)*AU$41</f>
      </c>
      <c r="AV645" s="6">
        <f>(O645/1000000)*AV$41</f>
      </c>
      <c r="AW645" s="6">
        <f>(P645/100)*AW$41</f>
      </c>
      <c r="AX645" s="6">
        <f>(Q645/100)*AX$41</f>
      </c>
      <c r="AY645" s="6">
        <f>(R645/100)*AY$41</f>
      </c>
      <c r="AZ645" s="6">
        <f>(S645/100)*AZ$41</f>
      </c>
      <c r="BA645" s="6">
        <f>(T645/100)*BA$41</f>
      </c>
      <c r="BB645" s="6">
        <f>(U645/100)*BB$41</f>
      </c>
      <c r="BC645" s="6"/>
      <c r="BD645" s="3"/>
      <c r="BE645" s="3"/>
      <c r="BF645" s="7">
        <f>AF645*E645</f>
      </c>
      <c r="BG645" s="6"/>
      <c r="BH645" s="3"/>
      <c r="BI645" s="6"/>
    </row>
    <row x14ac:dyDescent="0.25" r="646" customHeight="1" ht="12.75">
      <c r="A646" s="5" t="s">
        <v>382</v>
      </c>
      <c r="B646" s="3" t="s">
        <v>855</v>
      </c>
      <c r="C646" s="43" t="s">
        <v>870</v>
      </c>
      <c r="D646" s="34"/>
      <c r="E646" s="6">
        <v>13.986</v>
      </c>
      <c r="F646" s="18">
        <v>0.6515151515151514</v>
      </c>
      <c r="G646" s="7">
        <v>4</v>
      </c>
      <c r="H646" s="5">
        <v>40</v>
      </c>
      <c r="I646" s="7">
        <v>2</v>
      </c>
      <c r="J646" s="6">
        <v>1.1</v>
      </c>
      <c r="K646" s="7"/>
      <c r="L646" s="6"/>
      <c r="M646" s="6"/>
      <c r="N646" s="23"/>
      <c r="O646" s="5"/>
      <c r="P646" s="6"/>
      <c r="Q646" s="6"/>
      <c r="R646" s="6"/>
      <c r="S646" s="6"/>
      <c r="T646" s="6"/>
      <c r="U646" s="6"/>
      <c r="V646" s="5"/>
      <c r="W646" s="6"/>
      <c r="X646" s="6">
        <f>E646*F646/100</f>
      </c>
      <c r="Y646" s="6">
        <f>E646*G646/100</f>
      </c>
      <c r="Z646" s="7">
        <f>E646*H646</f>
      </c>
      <c r="AA646" s="7">
        <f>E646*J646</f>
      </c>
      <c r="AB646" s="6">
        <f>E646*I646/100</f>
      </c>
      <c r="AC646" s="15">
        <f>X646+Y646+AB646</f>
      </c>
      <c r="AD646" s="6">
        <f>F646+G646+I646</f>
      </c>
      <c r="AE646" s="3"/>
      <c r="AF646" s="6">
        <f>SUM(AM646:BC646)</f>
      </c>
      <c r="AG646" s="5">
        <f>IF(SUM(AM646:AO646)&gt;0.7*AF646,1,0)</f>
      </c>
      <c r="AH646" s="5">
        <f>IF(AN646&gt;0.4*AF646,1,0)</f>
      </c>
      <c r="AI646" s="5">
        <f>IF(SUM(AP646:AQ646)&gt;0.3*AF646,1,0)</f>
      </c>
      <c r="AJ646" s="5">
        <f>IF(AQ646&gt;0.2*AF646,1,0)</f>
      </c>
      <c r="AK646" s="5">
        <f>IF(SUM(AR646:BC646)&gt;0.3*AF646,1,0)</f>
      </c>
      <c r="AL646" s="3"/>
      <c r="AM646" s="6">
        <f>(F646/100)*AM$41</f>
      </c>
      <c r="AN646" s="6">
        <f>(G646/100)*AN$41</f>
      </c>
      <c r="AO646" s="6">
        <f>(H646/1000000)*AO$41</f>
      </c>
      <c r="AP646" s="6">
        <f>(I646/100)*AP$41</f>
      </c>
      <c r="AQ646" s="6">
        <f>(J646/1000000)*AQ$41</f>
      </c>
      <c r="AR646" s="6">
        <f>(K646/100)*AR$41</f>
      </c>
      <c r="AS646" s="6">
        <f>(L646/100)*AS$41</f>
      </c>
      <c r="AT646" s="6">
        <f>(M646/100)*AT$41</f>
      </c>
      <c r="AU646" s="6">
        <f>(N646/100)*AU$41</f>
      </c>
      <c r="AV646" s="6">
        <f>(O646/1000000)*AV$41</f>
      </c>
      <c r="AW646" s="6">
        <f>(P646/100)*AW$41</f>
      </c>
      <c r="AX646" s="6">
        <f>(Q646/100)*AX$41</f>
      </c>
      <c r="AY646" s="6">
        <f>(R646/100)*AY$41</f>
      </c>
      <c r="AZ646" s="6">
        <f>(S646/100)*AZ$41</f>
      </c>
      <c r="BA646" s="6">
        <f>(T646/100)*BA$41</f>
      </c>
      <c r="BB646" s="6">
        <f>(U646/100)*BB$41</f>
      </c>
      <c r="BC646" s="6"/>
      <c r="BD646" s="3"/>
      <c r="BE646" s="3"/>
      <c r="BF646" s="7">
        <f>AF646*E646</f>
      </c>
      <c r="BG646" s="6"/>
      <c r="BH646" s="3"/>
      <c r="BI646" s="6"/>
    </row>
    <row x14ac:dyDescent="0.25" r="647" customHeight="1" ht="12.75">
      <c r="A647" s="5" t="s">
        <v>292</v>
      </c>
      <c r="B647" s="3" t="s">
        <v>855</v>
      </c>
      <c r="C647" s="43" t="s">
        <v>870</v>
      </c>
      <c r="D647" s="34"/>
      <c r="E647" s="6">
        <v>13.9</v>
      </c>
      <c r="F647" s="7">
        <v>0.3431654676258993</v>
      </c>
      <c r="G647" s="7">
        <v>3.8453237410071943</v>
      </c>
      <c r="H647" s="31">
        <v>83.431654676259</v>
      </c>
      <c r="I647" s="7">
        <v>2.4820143884892087</v>
      </c>
      <c r="J647" s="7">
        <v>1.3</v>
      </c>
      <c r="K647" s="7"/>
      <c r="L647" s="6"/>
      <c r="M647" s="6"/>
      <c r="N647" s="23"/>
      <c r="O647" s="5"/>
      <c r="P647" s="6"/>
      <c r="Q647" s="6"/>
      <c r="R647" s="6"/>
      <c r="S647" s="6"/>
      <c r="T647" s="6"/>
      <c r="U647" s="6"/>
      <c r="V647" s="5"/>
      <c r="W647" s="6"/>
      <c r="X647" s="6">
        <f>E647*F647/100</f>
      </c>
      <c r="Y647" s="6">
        <f>E647*G647/100</f>
      </c>
      <c r="Z647" s="7">
        <f>E647*H647</f>
      </c>
      <c r="AA647" s="7">
        <f>E647*J647</f>
      </c>
      <c r="AB647" s="6">
        <f>E647*I647/100</f>
      </c>
      <c r="AC647" s="15">
        <f>X647+Y647+AB647</f>
      </c>
      <c r="AD647" s="6">
        <f>F647+G647+I647</f>
      </c>
      <c r="AE647" s="3"/>
      <c r="AF647" s="6">
        <f>SUM(AM647:BC647)</f>
      </c>
      <c r="AG647" s="5">
        <f>IF(SUM(AM647:AO647)&gt;0.7*AF647,1,0)</f>
      </c>
      <c r="AH647" s="5">
        <f>IF(AN647&gt;0.4*AF647,1,0)</f>
      </c>
      <c r="AI647" s="5">
        <f>IF(SUM(AP647:AQ647)&gt;0.3*AF647,1,0)</f>
      </c>
      <c r="AJ647" s="5">
        <f>IF(AQ647&gt;0.2*AF647,1,0)</f>
      </c>
      <c r="AK647" s="5">
        <f>IF(SUM(AR647:BC647)&gt;0.3*AF647,1,0)</f>
      </c>
      <c r="AL647" s="3"/>
      <c r="AM647" s="6">
        <f>(F647/100)*AM$41</f>
      </c>
      <c r="AN647" s="6">
        <f>(G647/100)*AN$41</f>
      </c>
      <c r="AO647" s="6">
        <f>(H647/1000000)*AO$41</f>
      </c>
      <c r="AP647" s="6">
        <f>(I647/100)*AP$41</f>
      </c>
      <c r="AQ647" s="6">
        <f>(J647/1000000)*AQ$41</f>
      </c>
      <c r="AR647" s="6">
        <f>(K647/100)*AR$41</f>
      </c>
      <c r="AS647" s="6">
        <f>(L647/100)*AS$41</f>
      </c>
      <c r="AT647" s="6">
        <f>(M647/100)*AT$41</f>
      </c>
      <c r="AU647" s="6">
        <f>(N647/100)*AU$41</f>
      </c>
      <c r="AV647" s="6">
        <f>(O647/1000000)*AV$41</f>
      </c>
      <c r="AW647" s="6">
        <f>(P647/100)*AW$41</f>
      </c>
      <c r="AX647" s="6">
        <f>(Q647/100)*AX$41</f>
      </c>
      <c r="AY647" s="6">
        <f>(R647/100)*AY$41</f>
      </c>
      <c r="AZ647" s="6">
        <f>(S647/100)*AZ$41</f>
      </c>
      <c r="BA647" s="6">
        <f>(T647/100)*BA$41</f>
      </c>
      <c r="BB647" s="6">
        <f>(U647/100)*BB$41</f>
      </c>
      <c r="BC647" s="6"/>
      <c r="BD647" s="3"/>
      <c r="BE647" s="3"/>
      <c r="BF647" s="7">
        <f>AF647*E647</f>
      </c>
      <c r="BG647" s="6"/>
      <c r="BH647" s="3"/>
      <c r="BI647" s="6"/>
    </row>
    <row x14ac:dyDescent="0.25" r="648" customHeight="1" ht="12.75">
      <c r="A648" s="5" t="s">
        <v>60</v>
      </c>
      <c r="B648" s="3" t="s">
        <v>855</v>
      </c>
      <c r="C648" s="43" t="s">
        <v>870</v>
      </c>
      <c r="D648" s="34"/>
      <c r="E648" s="6">
        <v>6.154</v>
      </c>
      <c r="F648" s="6">
        <v>1.6160058498537537</v>
      </c>
      <c r="G648" s="6">
        <v>12.143743906402339</v>
      </c>
      <c r="H648" s="7">
        <v>363.24553136171596</v>
      </c>
      <c r="I648" s="6">
        <v>1.1808596035099124</v>
      </c>
      <c r="J648" s="6">
        <v>1.6996246343841406</v>
      </c>
      <c r="K648" s="7"/>
      <c r="L648" s="6"/>
      <c r="M648" s="6"/>
      <c r="N648" s="23"/>
      <c r="O648" s="5"/>
      <c r="P648" s="6"/>
      <c r="Q648" s="6"/>
      <c r="R648" s="6"/>
      <c r="S648" s="6"/>
      <c r="T648" s="6"/>
      <c r="U648" s="6"/>
      <c r="V648" s="5"/>
      <c r="W648" s="6"/>
      <c r="X648" s="6">
        <f>E648*F648/100</f>
      </c>
      <c r="Y648" s="6">
        <f>E648*G648/100</f>
      </c>
      <c r="Z648" s="7">
        <f>E648*H648</f>
      </c>
      <c r="AA648" s="7">
        <f>E648*J648</f>
      </c>
      <c r="AB648" s="6">
        <f>E648*I648/100</f>
      </c>
      <c r="AC648" s="15">
        <f>X648+Y648+AB648</f>
      </c>
      <c r="AD648" s="6">
        <f>F648+G648+I648</f>
      </c>
      <c r="AE648" s="3"/>
      <c r="AF648" s="6">
        <f>SUM(AM648:BC648)</f>
      </c>
      <c r="AG648" s="5">
        <f>IF(SUM(AM648:AO648)&gt;0.7*AF648,1,0)</f>
      </c>
      <c r="AH648" s="5">
        <f>IF(AN648&gt;0.4*AF648,1,0)</f>
      </c>
      <c r="AI648" s="5">
        <f>IF(SUM(AP648:AQ648)&gt;0.3*AF648,1,0)</f>
      </c>
      <c r="AJ648" s="5">
        <f>IF(AQ648&gt;0.2*AF648,1,0)</f>
      </c>
      <c r="AK648" s="5">
        <f>IF(SUM(AR648:BC648)&gt;0.3*AF648,1,0)</f>
      </c>
      <c r="AL648" s="3"/>
      <c r="AM648" s="6">
        <f>(F648/100)*AM$41</f>
      </c>
      <c r="AN648" s="6">
        <f>(G648/100)*AN$41</f>
      </c>
      <c r="AO648" s="6">
        <f>(H648/1000000)*AO$41</f>
      </c>
      <c r="AP648" s="6">
        <f>(I648/100)*AP$41</f>
      </c>
      <c r="AQ648" s="6">
        <f>(J648/1000000)*AQ$41</f>
      </c>
      <c r="AR648" s="6">
        <f>(K648/100)*AR$41</f>
      </c>
      <c r="AS648" s="6">
        <f>(L648/100)*AS$41</f>
      </c>
      <c r="AT648" s="6">
        <f>(M648/100)*AT$41</f>
      </c>
      <c r="AU648" s="6">
        <f>(N648/100)*AU$41</f>
      </c>
      <c r="AV648" s="6">
        <f>(O648/1000000)*AV$41</f>
      </c>
      <c r="AW648" s="6">
        <f>(P648/100)*AW$41</f>
      </c>
      <c r="AX648" s="6">
        <f>(Q648/100)*AX$41</f>
      </c>
      <c r="AY648" s="6">
        <f>(R648/100)*AY$41</f>
      </c>
      <c r="AZ648" s="6">
        <f>(S648/100)*AZ$41</f>
      </c>
      <c r="BA648" s="6">
        <f>(T648/100)*BA$41</f>
      </c>
      <c r="BB648" s="6">
        <f>(U648/100)*BB$41</f>
      </c>
      <c r="BC648" s="6"/>
      <c r="BD648" s="3"/>
      <c r="BE648" s="3"/>
      <c r="BF648" s="7">
        <f>AF648*E648</f>
      </c>
      <c r="BG648" s="6"/>
      <c r="BH648" s="3"/>
      <c r="BI648" s="6"/>
    </row>
    <row x14ac:dyDescent="0.25" r="649" customHeight="1" ht="12.75">
      <c r="A649" s="5" t="s">
        <v>409</v>
      </c>
      <c r="B649" s="3" t="s">
        <v>855</v>
      </c>
      <c r="C649" s="43" t="s">
        <v>870</v>
      </c>
      <c r="D649" s="34"/>
      <c r="E649" s="6">
        <v>30.038</v>
      </c>
      <c r="F649" s="6">
        <v>1.009140089220321</v>
      </c>
      <c r="G649" s="6">
        <v>1.4751594646780744</v>
      </c>
      <c r="H649" s="7">
        <v>31.228750249683735</v>
      </c>
      <c r="I649" s="6">
        <v>0.3084030228377389</v>
      </c>
      <c r="J649" s="6">
        <v>0.9441034689393435</v>
      </c>
      <c r="K649" s="7"/>
      <c r="L649" s="6"/>
      <c r="M649" s="6"/>
      <c r="N649" s="23"/>
      <c r="O649" s="5"/>
      <c r="P649" s="6"/>
      <c r="Q649" s="6"/>
      <c r="R649" s="6"/>
      <c r="S649" s="6"/>
      <c r="T649" s="6"/>
      <c r="U649" s="6"/>
      <c r="V649" s="5"/>
      <c r="W649" s="6"/>
      <c r="X649" s="6">
        <f>E649*F649/100</f>
      </c>
      <c r="Y649" s="6">
        <f>E649*G649/100</f>
      </c>
      <c r="Z649" s="7">
        <f>E649*H649</f>
      </c>
      <c r="AA649" s="7">
        <f>E649*J649</f>
      </c>
      <c r="AB649" s="6">
        <f>E649*I649/100</f>
      </c>
      <c r="AC649" s="15">
        <f>X649+Y649+AB649</f>
      </c>
      <c r="AD649" s="6">
        <f>F649+G649+I649</f>
      </c>
      <c r="AE649" s="3"/>
      <c r="AF649" s="6">
        <f>SUM(AM649:BC649)</f>
      </c>
      <c r="AG649" s="5">
        <f>IF(SUM(AM649:AO649)&gt;0.7*AF649,1,0)</f>
      </c>
      <c r="AH649" s="5">
        <f>IF(AN649&gt;0.4*AF649,1,0)</f>
      </c>
      <c r="AI649" s="5">
        <f>IF(SUM(AP649:AQ649)&gt;0.3*AF649,1,0)</f>
      </c>
      <c r="AJ649" s="5">
        <f>IF(AQ649&gt;0.2*AF649,1,0)</f>
      </c>
      <c r="AK649" s="5">
        <f>IF(SUM(AR649:BC649)&gt;0.3*AF649,1,0)</f>
      </c>
      <c r="AL649" s="3"/>
      <c r="AM649" s="6">
        <f>(F649/100)*AM$41</f>
      </c>
      <c r="AN649" s="6">
        <f>(G649/100)*AN$41</f>
      </c>
      <c r="AO649" s="6">
        <f>(H649/1000000)*AO$41</f>
      </c>
      <c r="AP649" s="6">
        <f>(I649/100)*AP$41</f>
      </c>
      <c r="AQ649" s="6">
        <f>(J649/1000000)*AQ$41</f>
      </c>
      <c r="AR649" s="6">
        <f>(K649/100)*AR$41</f>
      </c>
      <c r="AS649" s="6">
        <f>(L649/100)*AS$41</f>
      </c>
      <c r="AT649" s="6">
        <f>(M649/100)*AT$41</f>
      </c>
      <c r="AU649" s="6">
        <f>(N649/100)*AU$41</f>
      </c>
      <c r="AV649" s="6">
        <f>(O649/1000000)*AV$41</f>
      </c>
      <c r="AW649" s="6">
        <f>(P649/100)*AW$41</f>
      </c>
      <c r="AX649" s="6">
        <f>(Q649/100)*AX$41</f>
      </c>
      <c r="AY649" s="6">
        <f>(R649/100)*AY$41</f>
      </c>
      <c r="AZ649" s="6">
        <f>(S649/100)*AZ$41</f>
      </c>
      <c r="BA649" s="6">
        <f>(T649/100)*BA$41</f>
      </c>
      <c r="BB649" s="6">
        <f>(U649/100)*BB$41</f>
      </c>
      <c r="BC649" s="6"/>
      <c r="BD649" s="3"/>
      <c r="BE649" s="3"/>
      <c r="BF649" s="7">
        <f>AF649*E649</f>
      </c>
      <c r="BG649" s="6"/>
      <c r="BH649" s="3"/>
      <c r="BI649" s="6"/>
    </row>
    <row x14ac:dyDescent="0.25" r="650" customHeight="1" ht="12.75">
      <c r="A650" s="5" t="s">
        <v>305</v>
      </c>
      <c r="B650" s="3" t="s">
        <v>855</v>
      </c>
      <c r="C650" s="43" t="s">
        <v>870</v>
      </c>
      <c r="D650" s="34"/>
      <c r="E650" s="6">
        <v>83.633</v>
      </c>
      <c r="F650" s="6"/>
      <c r="G650" s="6">
        <v>0.01820513433692442</v>
      </c>
      <c r="H650" s="6">
        <v>0.9493258641923643</v>
      </c>
      <c r="I650" s="6">
        <v>0.9263755933662551</v>
      </c>
      <c r="J650" s="6">
        <v>0.08820513433692441</v>
      </c>
      <c r="K650" s="7"/>
      <c r="L650" s="6"/>
      <c r="M650" s="6"/>
      <c r="N650" s="23"/>
      <c r="O650" s="5"/>
      <c r="P650" s="6"/>
      <c r="Q650" s="6"/>
      <c r="R650" s="6"/>
      <c r="S650" s="6"/>
      <c r="T650" s="6"/>
      <c r="U650" s="6"/>
      <c r="V650" s="5"/>
      <c r="W650" s="6"/>
      <c r="X650" s="6">
        <f>E650*F650/100</f>
      </c>
      <c r="Y650" s="6">
        <f>E650*G650/100</f>
      </c>
      <c r="Z650" s="7">
        <f>E650*H650</f>
      </c>
      <c r="AA650" s="7">
        <f>E650*J650</f>
      </c>
      <c r="AB650" s="6">
        <f>E650*I650/100</f>
      </c>
      <c r="AC650" s="15">
        <f>X650+Y650+AB650</f>
      </c>
      <c r="AD650" s="6">
        <f>F650+G650+I650</f>
      </c>
      <c r="AE650" s="3"/>
      <c r="AF650" s="6">
        <f>SUM(AM650:BC650)</f>
      </c>
      <c r="AG650" s="5">
        <f>IF(SUM(AM650:AO650)&gt;0.7*AF650,1,0)</f>
      </c>
      <c r="AH650" s="5">
        <f>IF(AN650&gt;0.4*AF650,1,0)</f>
      </c>
      <c r="AI650" s="5">
        <f>IF(SUM(AP650:AQ650)&gt;0.3*AF650,1,0)</f>
      </c>
      <c r="AJ650" s="5">
        <f>IF(AQ650&gt;0.2*AF650,1,0)</f>
      </c>
      <c r="AK650" s="5">
        <f>IF(SUM(AR650:BC650)&gt;0.3*AF650,1,0)</f>
      </c>
      <c r="AL650" s="3"/>
      <c r="AM650" s="6">
        <f>(F650/100)*AM$41</f>
      </c>
      <c r="AN650" s="6">
        <f>(G650/100)*AN$41</f>
      </c>
      <c r="AO650" s="6">
        <f>(H650/1000000)*AO$41</f>
      </c>
      <c r="AP650" s="6">
        <f>(I650/100)*AP$41</f>
      </c>
      <c r="AQ650" s="6">
        <f>(J650/1000000)*AQ$41</f>
      </c>
      <c r="AR650" s="6">
        <f>(K650/100)*AR$41</f>
      </c>
      <c r="AS650" s="6">
        <f>(L650/100)*AS$41</f>
      </c>
      <c r="AT650" s="6">
        <f>(M650/100)*AT$41</f>
      </c>
      <c r="AU650" s="6">
        <f>(N650/100)*AU$41</f>
      </c>
      <c r="AV650" s="6">
        <f>(O650/1000000)*AV$41</f>
      </c>
      <c r="AW650" s="6">
        <f>(P650/100)*AW$41</f>
      </c>
      <c r="AX650" s="6">
        <f>(Q650/100)*AX$41</f>
      </c>
      <c r="AY650" s="6">
        <f>(R650/100)*AY$41</f>
      </c>
      <c r="AZ650" s="6">
        <f>(S650/100)*AZ$41</f>
      </c>
      <c r="BA650" s="6">
        <f>(T650/100)*BA$41</f>
      </c>
      <c r="BB650" s="6">
        <f>(U650/100)*BB$41</f>
      </c>
      <c r="BC650" s="6"/>
      <c r="BD650" s="3"/>
      <c r="BE650" s="3"/>
      <c r="BF650" s="7">
        <f>AF650*E650</f>
      </c>
      <c r="BG650" s="6"/>
      <c r="BH650" s="3"/>
      <c r="BI650" s="6"/>
    </row>
    <row x14ac:dyDescent="0.25" r="651" customHeight="1" ht="12.75">
      <c r="A651" s="5" t="s">
        <v>471</v>
      </c>
      <c r="B651" s="3" t="s">
        <v>855</v>
      </c>
      <c r="C651" s="43" t="s">
        <v>870</v>
      </c>
      <c r="D651" s="34"/>
      <c r="E651" s="6">
        <v>20.705</v>
      </c>
      <c r="F651" s="6">
        <v>0.91153489495291</v>
      </c>
      <c r="G651" s="6">
        <v>2.4496170007244626</v>
      </c>
      <c r="H651" s="7">
        <v>38.4045158174354</v>
      </c>
      <c r="I651" s="6">
        <v>0.45292344844240523</v>
      </c>
      <c r="J651" s="6">
        <v>0.5447177010383965</v>
      </c>
      <c r="K651" s="7"/>
      <c r="L651" s="6"/>
      <c r="M651" s="6"/>
      <c r="N651" s="23"/>
      <c r="O651" s="5"/>
      <c r="P651" s="6"/>
      <c r="Q651" s="6"/>
      <c r="R651" s="6"/>
      <c r="S651" s="6"/>
      <c r="T651" s="6"/>
      <c r="U651" s="6"/>
      <c r="V651" s="5"/>
      <c r="W651" s="6"/>
      <c r="X651" s="6">
        <f>E651*F651/100</f>
      </c>
      <c r="Y651" s="6">
        <f>E651*G651/100</f>
      </c>
      <c r="Z651" s="7">
        <f>E651*H651</f>
      </c>
      <c r="AA651" s="7">
        <f>E651*J651</f>
      </c>
      <c r="AB651" s="6">
        <f>E651*I651/100</f>
      </c>
      <c r="AC651" s="15">
        <f>X651+Y651+AB651</f>
      </c>
      <c r="AD651" s="6">
        <f>F651+G651+I651</f>
      </c>
      <c r="AE651" s="3"/>
      <c r="AF651" s="6">
        <f>SUM(AM651:BC651)</f>
      </c>
      <c r="AG651" s="5">
        <f>IF(SUM(AM651:AO651)&gt;0.7*AF651,1,0)</f>
      </c>
      <c r="AH651" s="5">
        <f>IF(AN651&gt;0.4*AF651,1,0)</f>
      </c>
      <c r="AI651" s="5">
        <f>IF(SUM(AP651:AQ651)&gt;0.3*AF651,1,0)</f>
      </c>
      <c r="AJ651" s="5">
        <f>IF(AQ651&gt;0.2*AF651,1,0)</f>
      </c>
      <c r="AK651" s="5">
        <f>IF(SUM(AR651:BC651)&gt;0.3*AF651,1,0)</f>
      </c>
      <c r="AL651" s="3"/>
      <c r="AM651" s="6">
        <f>(F651/100)*AM$41</f>
      </c>
      <c r="AN651" s="6">
        <f>(G651/100)*AN$41</f>
      </c>
      <c r="AO651" s="6">
        <f>(H651/1000000)*AO$41</f>
      </c>
      <c r="AP651" s="6">
        <f>(I651/100)*AP$41</f>
      </c>
      <c r="AQ651" s="6">
        <f>(J651/1000000)*AQ$41</f>
      </c>
      <c r="AR651" s="6">
        <f>(K651/100)*AR$41</f>
      </c>
      <c r="AS651" s="6">
        <f>(L651/100)*AS$41</f>
      </c>
      <c r="AT651" s="6">
        <f>(M651/100)*AT$41</f>
      </c>
      <c r="AU651" s="6">
        <f>(N651/100)*AU$41</f>
      </c>
      <c r="AV651" s="6">
        <f>(O651/1000000)*AV$41</f>
      </c>
      <c r="AW651" s="6">
        <f>(P651/100)*AW$41</f>
      </c>
      <c r="AX651" s="6">
        <f>(Q651/100)*AX$41</f>
      </c>
      <c r="AY651" s="6">
        <f>(R651/100)*AY$41</f>
      </c>
      <c r="AZ651" s="6">
        <f>(S651/100)*AZ$41</f>
      </c>
      <c r="BA651" s="6">
        <f>(T651/100)*BA$41</f>
      </c>
      <c r="BB651" s="6">
        <f>(U651/100)*BB$41</f>
      </c>
      <c r="BC651" s="6"/>
      <c r="BD651" s="3"/>
      <c r="BE651" s="3"/>
      <c r="BF651" s="7">
        <f>AF651*E651</f>
      </c>
      <c r="BG651" s="6"/>
      <c r="BH651" s="3"/>
      <c r="BI651" s="6"/>
    </row>
    <row x14ac:dyDescent="0.25" r="652" customHeight="1" ht="12.75">
      <c r="A652" s="5" t="s">
        <v>484</v>
      </c>
      <c r="B652" s="3" t="s">
        <v>855</v>
      </c>
      <c r="C652" s="43" t="s">
        <v>870</v>
      </c>
      <c r="D652" s="34"/>
      <c r="E652" s="6">
        <v>14.35</v>
      </c>
      <c r="F652" s="6">
        <v>1.385156794425087</v>
      </c>
      <c r="G652" s="6">
        <v>2.858466898954704</v>
      </c>
      <c r="H652" s="7">
        <v>35.60044599303136</v>
      </c>
      <c r="I652" s="6">
        <v>1.1033101045296168</v>
      </c>
      <c r="J652" s="6">
        <v>0.5559860627177701</v>
      </c>
      <c r="K652" s="7"/>
      <c r="L652" s="6"/>
      <c r="M652" s="6"/>
      <c r="N652" s="23"/>
      <c r="O652" s="5"/>
      <c r="P652" s="6"/>
      <c r="Q652" s="6"/>
      <c r="R652" s="6"/>
      <c r="S652" s="6"/>
      <c r="T652" s="6"/>
      <c r="U652" s="6"/>
      <c r="V652" s="5"/>
      <c r="W652" s="6"/>
      <c r="X652" s="6">
        <f>E652*F652/100</f>
      </c>
      <c r="Y652" s="6">
        <f>E652*G652/100</f>
      </c>
      <c r="Z652" s="7">
        <f>E652*H652</f>
      </c>
      <c r="AA652" s="7">
        <f>E652*J652</f>
      </c>
      <c r="AB652" s="6">
        <f>E652*I652/100</f>
      </c>
      <c r="AC652" s="15">
        <f>X652+Y652+AB652</f>
      </c>
      <c r="AD652" s="6">
        <f>F652+G652+I652</f>
      </c>
      <c r="AE652" s="3"/>
      <c r="AF652" s="6">
        <f>SUM(AM652:BC652)</f>
      </c>
      <c r="AG652" s="5">
        <f>IF(SUM(AM652:AO652)&gt;0.7*AF652,1,0)</f>
      </c>
      <c r="AH652" s="5">
        <f>IF(AN652&gt;0.4*AF652,1,0)</f>
      </c>
      <c r="AI652" s="5">
        <f>IF(SUM(AP652:AQ652)&gt;0.3*AF652,1,0)</f>
      </c>
      <c r="AJ652" s="5">
        <f>IF(AQ652&gt;0.2*AF652,1,0)</f>
      </c>
      <c r="AK652" s="5">
        <f>IF(SUM(AR652:BC652)&gt;0.3*AF652,1,0)</f>
      </c>
      <c r="AL652" s="3"/>
      <c r="AM652" s="6">
        <f>(F652/100)*AM$41</f>
      </c>
      <c r="AN652" s="6">
        <f>(G652/100)*AN$41</f>
      </c>
      <c r="AO652" s="6">
        <f>(H652/1000000)*AO$41</f>
      </c>
      <c r="AP652" s="6">
        <f>(I652/100)*AP$41</f>
      </c>
      <c r="AQ652" s="6">
        <f>(J652/1000000)*AQ$41</f>
      </c>
      <c r="AR652" s="6">
        <f>(K652/100)*AR$41</f>
      </c>
      <c r="AS652" s="6">
        <f>(L652/100)*AS$41</f>
      </c>
      <c r="AT652" s="6">
        <f>(M652/100)*AT$41</f>
      </c>
      <c r="AU652" s="6">
        <f>(N652/100)*AU$41</f>
      </c>
      <c r="AV652" s="6">
        <f>(O652/1000000)*AV$41</f>
      </c>
      <c r="AW652" s="6">
        <f>(P652/100)*AW$41</f>
      </c>
      <c r="AX652" s="6">
        <f>(Q652/100)*AX$41</f>
      </c>
      <c r="AY652" s="6">
        <f>(R652/100)*AY$41</f>
      </c>
      <c r="AZ652" s="6">
        <f>(S652/100)*AZ$41</f>
      </c>
      <c r="BA652" s="6">
        <f>(T652/100)*BA$41</f>
      </c>
      <c r="BB652" s="6">
        <f>(U652/100)*BB$41</f>
      </c>
      <c r="BC652" s="6"/>
      <c r="BD652" s="3"/>
      <c r="BE652" s="3"/>
      <c r="BF652" s="7">
        <f>AF652*E652</f>
      </c>
      <c r="BG652" s="6"/>
      <c r="BH652" s="3"/>
      <c r="BI652" s="6"/>
    </row>
    <row x14ac:dyDescent="0.25" r="653" customHeight="1" ht="12.75">
      <c r="A653" s="5" t="s">
        <v>277</v>
      </c>
      <c r="B653" s="3" t="s">
        <v>855</v>
      </c>
      <c r="C653" s="43" t="s">
        <v>870</v>
      </c>
      <c r="D653" s="34"/>
      <c r="E653" s="6">
        <v>10.873</v>
      </c>
      <c r="F653" s="6">
        <v>1.36</v>
      </c>
      <c r="G653" s="6">
        <v>5.38</v>
      </c>
      <c r="H653" s="7">
        <v>221.21</v>
      </c>
      <c r="I653" s="6">
        <v>0.31</v>
      </c>
      <c r="J653" s="6">
        <v>1.82</v>
      </c>
      <c r="K653" s="7"/>
      <c r="L653" s="6"/>
      <c r="M653" s="6"/>
      <c r="N653" s="23"/>
      <c r="O653" s="5"/>
      <c r="P653" s="6"/>
      <c r="Q653" s="6"/>
      <c r="R653" s="6"/>
      <c r="S653" s="6"/>
      <c r="T653" s="6"/>
      <c r="U653" s="6"/>
      <c r="V653" s="5"/>
      <c r="W653" s="6"/>
      <c r="X653" s="6">
        <f>E653*F653/100</f>
      </c>
      <c r="Y653" s="6">
        <f>E653*G653/100</f>
      </c>
      <c r="Z653" s="7">
        <f>E653*H653</f>
      </c>
      <c r="AA653" s="7">
        <f>E653*J653</f>
      </c>
      <c r="AB653" s="6">
        <f>E653*I653/100</f>
      </c>
      <c r="AC653" s="15">
        <f>X653+Y653+AB653</f>
      </c>
      <c r="AD653" s="6">
        <f>F653+G653+I653</f>
      </c>
      <c r="AE653" s="3"/>
      <c r="AF653" s="6">
        <f>SUM(AM653:BC653)</f>
      </c>
      <c r="AG653" s="5">
        <f>IF(SUM(AM653:AO653)&gt;0.7*AF653,1,0)</f>
      </c>
      <c r="AH653" s="5">
        <f>IF(AN653&gt;0.4*AF653,1,0)</f>
      </c>
      <c r="AI653" s="5">
        <f>IF(SUM(AP653:AQ653)&gt;0.3*AF653,1,0)</f>
      </c>
      <c r="AJ653" s="5">
        <f>IF(AQ653&gt;0.2*AF653,1,0)</f>
      </c>
      <c r="AK653" s="5">
        <f>IF(SUM(AR653:BC653)&gt;0.3*AF653,1,0)</f>
      </c>
      <c r="AL653" s="3"/>
      <c r="AM653" s="6">
        <f>(F653/100)*AM$41</f>
      </c>
      <c r="AN653" s="6">
        <f>(G653/100)*AN$41</f>
      </c>
      <c r="AO653" s="6">
        <f>(H653/1000000)*AO$41</f>
      </c>
      <c r="AP653" s="6">
        <f>(I653/100)*AP$41</f>
      </c>
      <c r="AQ653" s="6">
        <f>(J653/1000000)*AQ$41</f>
      </c>
      <c r="AR653" s="6">
        <f>(K653/100)*AR$41</f>
      </c>
      <c r="AS653" s="6">
        <f>(L653/100)*AS$41</f>
      </c>
      <c r="AT653" s="6">
        <f>(M653/100)*AT$41</f>
      </c>
      <c r="AU653" s="6">
        <f>(N653/100)*AU$41</f>
      </c>
      <c r="AV653" s="6">
        <f>(O653/1000000)*AV$41</f>
      </c>
      <c r="AW653" s="6">
        <f>(P653/100)*AW$41</f>
      </c>
      <c r="AX653" s="6">
        <f>(Q653/100)*AX$41</f>
      </c>
      <c r="AY653" s="6">
        <f>(R653/100)*AY$41</f>
      </c>
      <c r="AZ653" s="6">
        <f>(S653/100)*AZ$41</f>
      </c>
      <c r="BA653" s="6">
        <f>(T653/100)*BA$41</f>
      </c>
      <c r="BB653" s="6">
        <f>(U653/100)*BB$41</f>
      </c>
      <c r="BC653" s="6"/>
      <c r="BD653" s="3"/>
      <c r="BE653" s="3"/>
      <c r="BF653" s="7">
        <f>AF653*E653</f>
      </c>
      <c r="BG653" s="6"/>
      <c r="BH653" s="3"/>
      <c r="BI653" s="6"/>
    </row>
    <row x14ac:dyDescent="0.25" r="654" customHeight="1" ht="12.75">
      <c r="A654" s="5" t="s">
        <v>432</v>
      </c>
      <c r="B654" s="3" t="s">
        <v>855</v>
      </c>
      <c r="C654" s="43" t="s">
        <v>870</v>
      </c>
      <c r="D654" s="34"/>
      <c r="E654" s="6">
        <v>26.01</v>
      </c>
      <c r="F654" s="6">
        <v>0.49</v>
      </c>
      <c r="G654" s="6">
        <v>1.76</v>
      </c>
      <c r="H654" s="6">
        <v>21.7</v>
      </c>
      <c r="I654" s="6">
        <v>0.64</v>
      </c>
      <c r="J654" s="6">
        <v>0.84</v>
      </c>
      <c r="K654" s="7"/>
      <c r="L654" s="6"/>
      <c r="M654" s="6"/>
      <c r="N654" s="23"/>
      <c r="O654" s="5"/>
      <c r="P654" s="6"/>
      <c r="Q654" s="6"/>
      <c r="R654" s="6"/>
      <c r="S654" s="6"/>
      <c r="T654" s="6"/>
      <c r="U654" s="6"/>
      <c r="V654" s="5"/>
      <c r="W654" s="6"/>
      <c r="X654" s="6">
        <f>E654*F654/100</f>
      </c>
      <c r="Y654" s="6">
        <f>E654*G654/100</f>
      </c>
      <c r="Z654" s="7">
        <f>E654*H654</f>
      </c>
      <c r="AA654" s="7">
        <f>E654*J654</f>
      </c>
      <c r="AB654" s="6">
        <f>E654*I654/100</f>
      </c>
      <c r="AC654" s="15">
        <f>X654+Y654+AB654</f>
      </c>
      <c r="AD654" s="6">
        <f>F654+G654+I654</f>
      </c>
      <c r="AE654" s="3"/>
      <c r="AF654" s="6">
        <f>SUM(AM654:BC654)</f>
      </c>
      <c r="AG654" s="5">
        <f>IF(SUM(AM654:AO654)&gt;0.7*AF654,1,0)</f>
      </c>
      <c r="AH654" s="5">
        <f>IF(AN654&gt;0.4*AF654,1,0)</f>
      </c>
      <c r="AI654" s="5">
        <f>IF(SUM(AP654:AQ654)&gt;0.3*AF654,1,0)</f>
      </c>
      <c r="AJ654" s="5">
        <f>IF(AQ654&gt;0.2*AF654,1,0)</f>
      </c>
      <c r="AK654" s="5">
        <f>IF(SUM(AR654:BC654)&gt;0.3*AF654,1,0)</f>
      </c>
      <c r="AL654" s="3"/>
      <c r="AM654" s="6">
        <f>(F654/100)*AM$41</f>
      </c>
      <c r="AN654" s="6">
        <f>(G654/100)*AN$41</f>
      </c>
      <c r="AO654" s="6">
        <f>(H654/1000000)*AO$41</f>
      </c>
      <c r="AP654" s="6">
        <f>(I654/100)*AP$41</f>
      </c>
      <c r="AQ654" s="6">
        <f>(J654/1000000)*AQ$41</f>
      </c>
      <c r="AR654" s="6">
        <f>(K654/100)*AR$41</f>
      </c>
      <c r="AS654" s="6">
        <f>(L654/100)*AS$41</f>
      </c>
      <c r="AT654" s="6">
        <f>(M654/100)*AT$41</f>
      </c>
      <c r="AU654" s="6">
        <f>(N654/100)*AU$41</f>
      </c>
      <c r="AV654" s="6">
        <f>(O654/1000000)*AV$41</f>
      </c>
      <c r="AW654" s="6">
        <f>(P654/100)*AW$41</f>
      </c>
      <c r="AX654" s="6">
        <f>(Q654/100)*AX$41</f>
      </c>
      <c r="AY654" s="6">
        <f>(R654/100)*AY$41</f>
      </c>
      <c r="AZ654" s="6">
        <f>(S654/100)*AZ$41</f>
      </c>
      <c r="BA654" s="6">
        <f>(T654/100)*BA$41</f>
      </c>
      <c r="BB654" s="6">
        <f>(U654/100)*BB$41</f>
      </c>
      <c r="BC654" s="6"/>
      <c r="BD654" s="3"/>
      <c r="BE654" s="3"/>
      <c r="BF654" s="7">
        <f>AF654*E654</f>
      </c>
      <c r="BG654" s="6"/>
      <c r="BH654" s="3"/>
      <c r="BI654" s="6"/>
    </row>
    <row x14ac:dyDescent="0.25" r="655" customHeight="1" ht="12.75">
      <c r="A655" s="5" t="s">
        <v>490</v>
      </c>
      <c r="B655" s="3" t="s">
        <v>855</v>
      </c>
      <c r="C655" s="43" t="s">
        <v>870</v>
      </c>
      <c r="D655" s="34"/>
      <c r="E655" s="6">
        <v>12.831</v>
      </c>
      <c r="F655" s="6">
        <v>0.2</v>
      </c>
      <c r="G655" s="6">
        <v>4.1</v>
      </c>
      <c r="H655" s="6">
        <v>17.6</v>
      </c>
      <c r="I655" s="6">
        <v>1.5</v>
      </c>
      <c r="J655" s="6">
        <v>0.1</v>
      </c>
      <c r="K655" s="7"/>
      <c r="L655" s="6"/>
      <c r="M655" s="6"/>
      <c r="N655" s="23"/>
      <c r="O655" s="5"/>
      <c r="P655" s="6"/>
      <c r="Q655" s="6"/>
      <c r="R655" s="6"/>
      <c r="S655" s="6"/>
      <c r="T655" s="6"/>
      <c r="U655" s="6"/>
      <c r="V655" s="5"/>
      <c r="W655" s="6"/>
      <c r="X655" s="6">
        <f>E655*F655/100</f>
      </c>
      <c r="Y655" s="6">
        <f>E655*G655/100</f>
      </c>
      <c r="Z655" s="7">
        <f>E655*H655</f>
      </c>
      <c r="AA655" s="7">
        <f>E655*J655</f>
      </c>
      <c r="AB655" s="6">
        <f>E655*I655/100</f>
      </c>
      <c r="AC655" s="15">
        <f>X655+Y655+AB655</f>
      </c>
      <c r="AD655" s="6">
        <f>F655+G655+I655</f>
      </c>
      <c r="AE655" s="3"/>
      <c r="AF655" s="6">
        <f>SUM(AM655:BC655)</f>
      </c>
      <c r="AG655" s="5">
        <f>IF(SUM(AM655:AO655)&gt;0.7*AF655,1,0)</f>
      </c>
      <c r="AH655" s="5">
        <f>IF(AN655&gt;0.4*AF655,1,0)</f>
      </c>
      <c r="AI655" s="5">
        <f>IF(SUM(AP655:AQ655)&gt;0.3*AF655,1,0)</f>
      </c>
      <c r="AJ655" s="5">
        <f>IF(AQ655&gt;0.2*AF655,1,0)</f>
      </c>
      <c r="AK655" s="5">
        <f>IF(SUM(AR655:BC655)&gt;0.3*AF655,1,0)</f>
      </c>
      <c r="AL655" s="3"/>
      <c r="AM655" s="6">
        <f>(F655/100)*AM$41</f>
      </c>
      <c r="AN655" s="6">
        <f>(G655/100)*AN$41</f>
      </c>
      <c r="AO655" s="6">
        <f>(H655/1000000)*AO$41</f>
      </c>
      <c r="AP655" s="6">
        <f>(I655/100)*AP$41</f>
      </c>
      <c r="AQ655" s="6">
        <f>(J655/1000000)*AQ$41</f>
      </c>
      <c r="AR655" s="6">
        <f>(K655/100)*AR$41</f>
      </c>
      <c r="AS655" s="6">
        <f>(L655/100)*AS$41</f>
      </c>
      <c r="AT655" s="6">
        <f>(M655/100)*AT$41</f>
      </c>
      <c r="AU655" s="6">
        <f>(N655/100)*AU$41</f>
      </c>
      <c r="AV655" s="6">
        <f>(O655/1000000)*AV$41</f>
      </c>
      <c r="AW655" s="6">
        <f>(P655/100)*AW$41</f>
      </c>
      <c r="AX655" s="6">
        <f>(Q655/100)*AX$41</f>
      </c>
      <c r="AY655" s="6">
        <f>(R655/100)*AY$41</f>
      </c>
      <c r="AZ655" s="6">
        <f>(S655/100)*AZ$41</f>
      </c>
      <c r="BA655" s="6">
        <f>(T655/100)*BA$41</f>
      </c>
      <c r="BB655" s="6">
        <f>(U655/100)*BB$41</f>
      </c>
      <c r="BC655" s="6"/>
      <c r="BD655" s="3"/>
      <c r="BE655" s="3"/>
      <c r="BF655" s="7">
        <f>AF655*E655</f>
      </c>
      <c r="BG655" s="6"/>
      <c r="BH655" s="3"/>
      <c r="BI655" s="6"/>
    </row>
    <row x14ac:dyDescent="0.25" r="656" customHeight="1" ht="12.75">
      <c r="A656" s="5" t="s">
        <v>421</v>
      </c>
      <c r="B656" s="3" t="s">
        <v>855</v>
      </c>
      <c r="C656" s="43" t="s">
        <v>870</v>
      </c>
      <c r="D656" s="34"/>
      <c r="E656" s="6">
        <v>13.445999999999998</v>
      </c>
      <c r="F656" s="6"/>
      <c r="G656" s="6">
        <v>2.7241008478357878</v>
      </c>
      <c r="H656" s="7">
        <v>19.09073330358471</v>
      </c>
      <c r="I656" s="6">
        <v>2.7974832663989293</v>
      </c>
      <c r="J656" s="6">
        <v>0.39683623382418565</v>
      </c>
      <c r="K656" s="7"/>
      <c r="L656" s="6"/>
      <c r="M656" s="6"/>
      <c r="N656" s="23"/>
      <c r="O656" s="5"/>
      <c r="P656" s="6"/>
      <c r="Q656" s="6"/>
      <c r="R656" s="6"/>
      <c r="S656" s="6"/>
      <c r="T656" s="6"/>
      <c r="U656" s="6"/>
      <c r="V656" s="5"/>
      <c r="W656" s="6"/>
      <c r="X656" s="6">
        <f>E656*F656/100</f>
      </c>
      <c r="Y656" s="6">
        <f>E656*G656/100</f>
      </c>
      <c r="Z656" s="7">
        <f>E656*H656</f>
      </c>
      <c r="AA656" s="7">
        <f>E656*J656</f>
      </c>
      <c r="AB656" s="6">
        <f>E656*I656/100</f>
      </c>
      <c r="AC656" s="15">
        <f>X656+Y656+AB656</f>
      </c>
      <c r="AD656" s="6">
        <f>F656+G656+I656</f>
      </c>
      <c r="AE656" s="3"/>
      <c r="AF656" s="6">
        <f>SUM(AM656:BC656)</f>
      </c>
      <c r="AG656" s="5">
        <f>IF(SUM(AM656:AO656)&gt;0.7*AF656,1,0)</f>
      </c>
      <c r="AH656" s="5">
        <f>IF(AN656&gt;0.4*AF656,1,0)</f>
      </c>
      <c r="AI656" s="5">
        <f>IF(SUM(AP656:AQ656)&gt;0.3*AF656,1,0)</f>
      </c>
      <c r="AJ656" s="5">
        <f>IF(AQ656&gt;0.2*AF656,1,0)</f>
      </c>
      <c r="AK656" s="5">
        <f>IF(SUM(AR656:BC656)&gt;0.3*AF656,1,0)</f>
      </c>
      <c r="AL656" s="3"/>
      <c r="AM656" s="6">
        <f>(F656/100)*AM$41</f>
      </c>
      <c r="AN656" s="6">
        <f>(G656/100)*AN$41</f>
      </c>
      <c r="AO656" s="6">
        <f>(H656/1000000)*AO$41</f>
      </c>
      <c r="AP656" s="6">
        <f>(I656/100)*AP$41</f>
      </c>
      <c r="AQ656" s="6">
        <f>(J656/1000000)*AQ$41</f>
      </c>
      <c r="AR656" s="6">
        <f>(K656/100)*AR$41</f>
      </c>
      <c r="AS656" s="6">
        <f>(L656/100)*AS$41</f>
      </c>
      <c r="AT656" s="6">
        <f>(M656/100)*AT$41</f>
      </c>
      <c r="AU656" s="6">
        <f>(N656/100)*AU$41</f>
      </c>
      <c r="AV656" s="6">
        <f>(O656/1000000)*AV$41</f>
      </c>
      <c r="AW656" s="6">
        <f>(P656/100)*AW$41</f>
      </c>
      <c r="AX656" s="6">
        <f>(Q656/100)*AX$41</f>
      </c>
      <c r="AY656" s="6">
        <f>(R656/100)*AY$41</f>
      </c>
      <c r="AZ656" s="6">
        <f>(S656/100)*AZ$41</f>
      </c>
      <c r="BA656" s="6">
        <f>(T656/100)*BA$41</f>
      </c>
      <c r="BB656" s="6">
        <f>(U656/100)*BB$41</f>
      </c>
      <c r="BC656" s="6"/>
      <c r="BD656" s="3"/>
      <c r="BE656" s="3"/>
      <c r="BF656" s="7">
        <f>AF656*E656</f>
      </c>
      <c r="BG656" s="6"/>
      <c r="BH656" s="3"/>
      <c r="BI656" s="6"/>
    </row>
    <row x14ac:dyDescent="0.25" r="657" customHeight="1" ht="12.75">
      <c r="A657" s="5" t="s">
        <v>494</v>
      </c>
      <c r="B657" s="3" t="s">
        <v>855</v>
      </c>
      <c r="C657" s="43" t="s">
        <v>870</v>
      </c>
      <c r="D657" s="34"/>
      <c r="E657" s="6">
        <v>13.733</v>
      </c>
      <c r="F657" s="6">
        <v>0.24619675234835794</v>
      </c>
      <c r="G657" s="6">
        <v>3.837042889390519</v>
      </c>
      <c r="H657" s="7">
        <v>35.22252967305032</v>
      </c>
      <c r="I657" s="6">
        <v>1.3139437850433262</v>
      </c>
      <c r="J657" s="6">
        <v>0.19873225078278597</v>
      </c>
      <c r="K657" s="7"/>
      <c r="L657" s="6"/>
      <c r="M657" s="6"/>
      <c r="N657" s="23"/>
      <c r="O657" s="5"/>
      <c r="P657" s="6"/>
      <c r="Q657" s="6"/>
      <c r="R657" s="6"/>
      <c r="S657" s="6"/>
      <c r="T657" s="6"/>
      <c r="U657" s="6"/>
      <c r="V657" s="5"/>
      <c r="W657" s="6"/>
      <c r="X657" s="6">
        <f>E657*F657/100</f>
      </c>
      <c r="Y657" s="6">
        <f>E657*G657/100</f>
      </c>
      <c r="Z657" s="7">
        <f>E657*H657</f>
      </c>
      <c r="AA657" s="7">
        <f>E657*J657</f>
      </c>
      <c r="AB657" s="6">
        <f>E657*I657/100</f>
      </c>
      <c r="AC657" s="15">
        <f>X657+Y657+AB657</f>
      </c>
      <c r="AD657" s="6">
        <f>F657+G657+I657</f>
      </c>
      <c r="AE657" s="3"/>
      <c r="AF657" s="6">
        <f>SUM(AM657:BC657)</f>
      </c>
      <c r="AG657" s="5">
        <f>IF(SUM(AM657:AO657)&gt;0.7*AF657,1,0)</f>
      </c>
      <c r="AH657" s="5">
        <f>IF(AN657&gt;0.4*AF657,1,0)</f>
      </c>
      <c r="AI657" s="5">
        <f>IF(SUM(AP657:AQ657)&gt;0.3*AF657,1,0)</f>
      </c>
      <c r="AJ657" s="5">
        <f>IF(AQ657&gt;0.2*AF657,1,0)</f>
      </c>
      <c r="AK657" s="5">
        <f>IF(SUM(AR657:BC657)&gt;0.3*AF657,1,0)</f>
      </c>
      <c r="AL657" s="3"/>
      <c r="AM657" s="6">
        <f>(F657/100)*AM$41</f>
      </c>
      <c r="AN657" s="6">
        <f>(G657/100)*AN$41</f>
      </c>
      <c r="AO657" s="6">
        <f>(H657/1000000)*AO$41</f>
      </c>
      <c r="AP657" s="6">
        <f>(I657/100)*AP$41</f>
      </c>
      <c r="AQ657" s="6">
        <f>(J657/1000000)*AQ$41</f>
      </c>
      <c r="AR657" s="6">
        <f>(K657/100)*AR$41</f>
      </c>
      <c r="AS657" s="6">
        <f>(L657/100)*AS$41</f>
      </c>
      <c r="AT657" s="6">
        <f>(M657/100)*AT$41</f>
      </c>
      <c r="AU657" s="6">
        <f>(N657/100)*AU$41</f>
      </c>
      <c r="AV657" s="6">
        <f>(O657/1000000)*AV$41</f>
      </c>
      <c r="AW657" s="6">
        <f>(P657/100)*AW$41</f>
      </c>
      <c r="AX657" s="6">
        <f>(Q657/100)*AX$41</f>
      </c>
      <c r="AY657" s="6">
        <f>(R657/100)*AY$41</f>
      </c>
      <c r="AZ657" s="6">
        <f>(S657/100)*AZ$41</f>
      </c>
      <c r="BA657" s="6">
        <f>(T657/100)*BA$41</f>
      </c>
      <c r="BB657" s="6">
        <f>(U657/100)*BB$41</f>
      </c>
      <c r="BC657" s="6"/>
      <c r="BD657" s="3"/>
      <c r="BE657" s="3"/>
      <c r="BF657" s="7">
        <f>AF657*E657</f>
      </c>
      <c r="BG657" s="6"/>
      <c r="BH657" s="3"/>
      <c r="BI657" s="6"/>
    </row>
    <row x14ac:dyDescent="0.25" r="658" customHeight="1" ht="12.75">
      <c r="A658" s="5" t="s">
        <v>345</v>
      </c>
      <c r="B658" s="3" t="s">
        <v>855</v>
      </c>
      <c r="C658" s="43" t="s">
        <v>870</v>
      </c>
      <c r="D658" s="34"/>
      <c r="E658" s="6">
        <v>9.15</v>
      </c>
      <c r="F658" s="6">
        <v>0.669846994535519</v>
      </c>
      <c r="G658" s="6">
        <v>6.221092896174864</v>
      </c>
      <c r="H658" s="7">
        <v>75.37273224043716</v>
      </c>
      <c r="I658" s="6">
        <v>0.8622513661202186</v>
      </c>
      <c r="J658" s="6">
        <v>1.8159890710382516</v>
      </c>
      <c r="K658" s="7"/>
      <c r="L658" s="6"/>
      <c r="M658" s="6"/>
      <c r="N658" s="23"/>
      <c r="O658" s="5"/>
      <c r="P658" s="6"/>
      <c r="Q658" s="6"/>
      <c r="R658" s="6"/>
      <c r="S658" s="6"/>
      <c r="T658" s="6"/>
      <c r="U658" s="6"/>
      <c r="V658" s="5"/>
      <c r="W658" s="6"/>
      <c r="X658" s="6">
        <f>E658*F658/100</f>
      </c>
      <c r="Y658" s="6">
        <f>E658*G658/100</f>
      </c>
      <c r="Z658" s="7">
        <f>E658*H658</f>
      </c>
      <c r="AA658" s="7">
        <f>E658*J658</f>
      </c>
      <c r="AB658" s="6">
        <f>E658*I658/100</f>
      </c>
      <c r="AC658" s="15">
        <f>X658+Y658+AB658</f>
      </c>
      <c r="AD658" s="6">
        <f>F658+G658+I658</f>
      </c>
      <c r="AE658" s="3"/>
      <c r="AF658" s="6">
        <f>SUM(AM658:BC658)</f>
      </c>
      <c r="AG658" s="5">
        <f>IF(SUM(AM658:AO658)&gt;0.7*AF658,1,0)</f>
      </c>
      <c r="AH658" s="5">
        <f>IF(AN658&gt;0.4*AF658,1,0)</f>
      </c>
      <c r="AI658" s="5">
        <f>IF(SUM(AP658:AQ658)&gt;0.3*AF658,1,0)</f>
      </c>
      <c r="AJ658" s="5">
        <f>IF(AQ658&gt;0.2*AF658,1,0)</f>
      </c>
      <c r="AK658" s="5">
        <f>IF(SUM(AR658:BC658)&gt;0.3*AF658,1,0)</f>
      </c>
      <c r="AL658" s="3"/>
      <c r="AM658" s="6">
        <f>(F658/100)*AM$41</f>
      </c>
      <c r="AN658" s="6">
        <f>(G658/100)*AN$41</f>
      </c>
      <c r="AO658" s="6">
        <f>(H658/1000000)*AO$41</f>
      </c>
      <c r="AP658" s="6">
        <f>(I658/100)*AP$41</f>
      </c>
      <c r="AQ658" s="6">
        <f>(J658/1000000)*AQ$41</f>
      </c>
      <c r="AR658" s="6">
        <f>(K658/100)*AR$41</f>
      </c>
      <c r="AS658" s="6">
        <f>(L658/100)*AS$41</f>
      </c>
      <c r="AT658" s="6">
        <f>(M658/100)*AT$41</f>
      </c>
      <c r="AU658" s="6">
        <f>(N658/100)*AU$41</f>
      </c>
      <c r="AV658" s="6">
        <f>(O658/1000000)*AV$41</f>
      </c>
      <c r="AW658" s="6">
        <f>(P658/100)*AW$41</f>
      </c>
      <c r="AX658" s="6">
        <f>(Q658/100)*AX$41</f>
      </c>
      <c r="AY658" s="6">
        <f>(R658/100)*AY$41</f>
      </c>
      <c r="AZ658" s="6">
        <f>(S658/100)*AZ$41</f>
      </c>
      <c r="BA658" s="6">
        <f>(T658/100)*BA$41</f>
      </c>
      <c r="BB658" s="6">
        <f>(U658/100)*BB$41</f>
      </c>
      <c r="BC658" s="6"/>
      <c r="BD658" s="3"/>
      <c r="BE658" s="3"/>
      <c r="BF658" s="7">
        <f>AF658*E658</f>
      </c>
      <c r="BG658" s="6"/>
      <c r="BH658" s="3"/>
      <c r="BI658" s="6"/>
    </row>
    <row x14ac:dyDescent="0.25" r="659" customHeight="1" ht="12.75">
      <c r="A659" s="5" t="s">
        <v>359</v>
      </c>
      <c r="B659" s="3" t="s">
        <v>855</v>
      </c>
      <c r="C659" s="43" t="s">
        <v>870</v>
      </c>
      <c r="D659" s="34" t="s">
        <v>1013</v>
      </c>
      <c r="E659" s="6">
        <v>7.1</v>
      </c>
      <c r="F659" s="6"/>
      <c r="G659" s="6">
        <v>9.672535211267606</v>
      </c>
      <c r="H659" s="7"/>
      <c r="I659" s="6"/>
      <c r="J659" s="6"/>
      <c r="K659" s="7"/>
      <c r="L659" s="6"/>
      <c r="M659" s="6"/>
      <c r="N659" s="23"/>
      <c r="O659" s="5"/>
      <c r="P659" s="6"/>
      <c r="Q659" s="6"/>
      <c r="R659" s="6"/>
      <c r="S659" s="6"/>
      <c r="T659" s="6"/>
      <c r="U659" s="6"/>
      <c r="V659" s="5"/>
      <c r="W659" s="6"/>
      <c r="X659" s="6">
        <f>E659*F659/100</f>
      </c>
      <c r="Y659" s="6">
        <f>E659*G659/100</f>
      </c>
      <c r="Z659" s="7">
        <f>E659*H659</f>
      </c>
      <c r="AA659" s="7">
        <f>E659*J659</f>
      </c>
      <c r="AB659" s="6">
        <f>E659*I659/100</f>
      </c>
      <c r="AC659" s="15">
        <f>X659+Y659+AB659</f>
      </c>
      <c r="AD659" s="6">
        <f>F659+G659+I659</f>
      </c>
      <c r="AE659" s="3"/>
      <c r="AF659" s="6">
        <f>SUM(AM659:BC659)</f>
      </c>
      <c r="AG659" s="5">
        <f>IF(SUM(AM659:AO659)&gt;0.7*AF659,1,0)</f>
      </c>
      <c r="AH659" s="5">
        <f>IF(AN659&gt;0.4*AF659,1,0)</f>
      </c>
      <c r="AI659" s="5">
        <f>IF(SUM(AP659:AQ659)&gt;0.3*AF659,1,0)</f>
      </c>
      <c r="AJ659" s="5">
        <f>IF(AQ659&gt;0.2*AF659,1,0)</f>
      </c>
      <c r="AK659" s="5">
        <f>IF(SUM(AR659:BC659)&gt;0.3*AF659,1,0)</f>
      </c>
      <c r="AL659" s="3"/>
      <c r="AM659" s="6">
        <f>(F659/100)*AM$41</f>
      </c>
      <c r="AN659" s="6">
        <f>(G659/100)*AN$41</f>
      </c>
      <c r="AO659" s="6">
        <f>(H659/1000000)*AO$41</f>
      </c>
      <c r="AP659" s="6">
        <f>(I659/100)*AP$41</f>
      </c>
      <c r="AQ659" s="6">
        <f>(J659/1000000)*AQ$41</f>
      </c>
      <c r="AR659" s="6">
        <f>(K659/100)*AR$41</f>
      </c>
      <c r="AS659" s="6">
        <f>(L659/100)*AS$41</f>
      </c>
      <c r="AT659" s="6">
        <f>(M659/100)*AT$41</f>
      </c>
      <c r="AU659" s="6">
        <f>(N659/100)*AU$41</f>
      </c>
      <c r="AV659" s="6">
        <f>(O659/1000000)*AV$41</f>
      </c>
      <c r="AW659" s="6">
        <f>(P659/100)*AW$41</f>
      </c>
      <c r="AX659" s="6">
        <f>(Q659/100)*AX$41</f>
      </c>
      <c r="AY659" s="6">
        <f>(R659/100)*AY$41</f>
      </c>
      <c r="AZ659" s="6">
        <f>(S659/100)*AZ$41</f>
      </c>
      <c r="BA659" s="6">
        <f>(T659/100)*BA$41</f>
      </c>
      <c r="BB659" s="6">
        <f>(U659/100)*BB$41</f>
      </c>
      <c r="BC659" s="6"/>
      <c r="BD659" s="3"/>
      <c r="BE659" s="3"/>
      <c r="BF659" s="7">
        <f>AF659*E659</f>
      </c>
      <c r="BG659" s="6"/>
      <c r="BH659" s="3"/>
      <c r="BI659" s="6"/>
    </row>
    <row x14ac:dyDescent="0.25" r="660" customHeight="1" ht="12.75">
      <c r="A660" s="5" t="s">
        <v>509</v>
      </c>
      <c r="B660" s="3" t="s">
        <v>855</v>
      </c>
      <c r="C660" s="43" t="s">
        <v>870</v>
      </c>
      <c r="D660" s="34"/>
      <c r="E660" s="6">
        <v>28.64</v>
      </c>
      <c r="F660" s="6">
        <v>0.6018470670391062</v>
      </c>
      <c r="G660" s="6">
        <v>1.4217737430167599</v>
      </c>
      <c r="H660" s="6">
        <v>5.369420391061452</v>
      </c>
      <c r="I660" s="6">
        <v>0.3569168994413408</v>
      </c>
      <c r="J660" s="6">
        <v>0.07399092178770951</v>
      </c>
      <c r="K660" s="7"/>
      <c r="L660" s="6"/>
      <c r="M660" s="6"/>
      <c r="N660" s="23"/>
      <c r="O660" s="5"/>
      <c r="P660" s="6"/>
      <c r="Q660" s="6"/>
      <c r="R660" s="6"/>
      <c r="S660" s="6"/>
      <c r="T660" s="6"/>
      <c r="U660" s="6"/>
      <c r="V660" s="5"/>
      <c r="W660" s="6"/>
      <c r="X660" s="6">
        <f>E660*F660/100</f>
      </c>
      <c r="Y660" s="6">
        <f>E660*G660/100</f>
      </c>
      <c r="Z660" s="7">
        <f>E660*H660</f>
      </c>
      <c r="AA660" s="7">
        <f>E660*J660</f>
      </c>
      <c r="AB660" s="6">
        <f>E660*I660/100</f>
      </c>
      <c r="AC660" s="15">
        <f>X660+Y660+AB660</f>
      </c>
      <c r="AD660" s="6">
        <f>F660+G660+I660</f>
      </c>
      <c r="AE660" s="3"/>
      <c r="AF660" s="6">
        <f>SUM(AM660:BC660)</f>
      </c>
      <c r="AG660" s="5">
        <f>IF(SUM(AM660:AO660)&gt;0.7*AF660,1,0)</f>
      </c>
      <c r="AH660" s="5">
        <f>IF(AN660&gt;0.4*AF660,1,0)</f>
      </c>
      <c r="AI660" s="5">
        <f>IF(SUM(AP660:AQ660)&gt;0.3*AF660,1,0)</f>
      </c>
      <c r="AJ660" s="5">
        <f>IF(AQ660&gt;0.2*AF660,1,0)</f>
      </c>
      <c r="AK660" s="5">
        <f>IF(SUM(AR660:BC660)&gt;0.3*AF660,1,0)</f>
      </c>
      <c r="AL660" s="3"/>
      <c r="AM660" s="6">
        <f>(F660/100)*AM$41</f>
      </c>
      <c r="AN660" s="6">
        <f>(G660/100)*AN$41</f>
      </c>
      <c r="AO660" s="6">
        <f>(H660/1000000)*AO$41</f>
      </c>
      <c r="AP660" s="6">
        <f>(I660/100)*AP$41</f>
      </c>
      <c r="AQ660" s="6">
        <f>(J660/1000000)*AQ$41</f>
      </c>
      <c r="AR660" s="6">
        <f>(K660/100)*AR$41</f>
      </c>
      <c r="AS660" s="6">
        <f>(L660/100)*AS$41</f>
      </c>
      <c r="AT660" s="6">
        <f>(M660/100)*AT$41</f>
      </c>
      <c r="AU660" s="6">
        <f>(N660/100)*AU$41</f>
      </c>
      <c r="AV660" s="6">
        <f>(O660/1000000)*AV$41</f>
      </c>
      <c r="AW660" s="6">
        <f>(P660/100)*AW$41</f>
      </c>
      <c r="AX660" s="6">
        <f>(Q660/100)*AX$41</f>
      </c>
      <c r="AY660" s="6">
        <f>(R660/100)*AY$41</f>
      </c>
      <c r="AZ660" s="6">
        <f>(S660/100)*AZ$41</f>
      </c>
      <c r="BA660" s="6">
        <f>(T660/100)*BA$41</f>
      </c>
      <c r="BB660" s="6">
        <f>(U660/100)*BB$41</f>
      </c>
      <c r="BC660" s="6"/>
      <c r="BD660" s="3"/>
      <c r="BE660" s="3"/>
      <c r="BF660" s="7">
        <f>AF660*E660</f>
      </c>
      <c r="BG660" s="6"/>
      <c r="BH660" s="3"/>
      <c r="BI660" s="6"/>
    </row>
    <row x14ac:dyDescent="0.25" r="661" customHeight="1" ht="12.75">
      <c r="A661" s="5" t="s">
        <v>232</v>
      </c>
      <c r="B661" s="3" t="s">
        <v>855</v>
      </c>
      <c r="C661" s="43" t="s">
        <v>870</v>
      </c>
      <c r="D661" s="34"/>
      <c r="E661" s="6">
        <v>7.68</v>
      </c>
      <c r="F661" s="7">
        <v>1.24296875</v>
      </c>
      <c r="G661" s="7">
        <v>7.061328125</v>
      </c>
      <c r="H661" s="31">
        <v>142.62890625</v>
      </c>
      <c r="I661" s="7">
        <v>0.5463541666666668</v>
      </c>
      <c r="J661" s="7">
        <v>2.791145833333333</v>
      </c>
      <c r="K661" s="7"/>
      <c r="L661" s="6"/>
      <c r="M661" s="6"/>
      <c r="N661" s="23"/>
      <c r="O661" s="5"/>
      <c r="P661" s="6"/>
      <c r="Q661" s="6"/>
      <c r="R661" s="6"/>
      <c r="S661" s="6"/>
      <c r="T661" s="6"/>
      <c r="U661" s="6"/>
      <c r="V661" s="5"/>
      <c r="W661" s="6"/>
      <c r="X661" s="6">
        <f>E661*F661/100</f>
      </c>
      <c r="Y661" s="6">
        <f>E661*G661/100</f>
      </c>
      <c r="Z661" s="7">
        <f>E661*H661</f>
      </c>
      <c r="AA661" s="7">
        <f>E661*J661</f>
      </c>
      <c r="AB661" s="6">
        <f>E661*I661/100</f>
      </c>
      <c r="AC661" s="15">
        <f>X661+Y661+AB661</f>
      </c>
      <c r="AD661" s="6">
        <f>F661+G661+I661</f>
      </c>
      <c r="AE661" s="3"/>
      <c r="AF661" s="6">
        <f>SUM(AM661:BC661)</f>
      </c>
      <c r="AG661" s="5">
        <f>IF(SUM(AM661:AO661)&gt;0.7*AF661,1,0)</f>
      </c>
      <c r="AH661" s="5">
        <f>IF(AN661&gt;0.4*AF661,1,0)</f>
      </c>
      <c r="AI661" s="5">
        <f>IF(SUM(AP661:AQ661)&gt;0.3*AF661,1,0)</f>
      </c>
      <c r="AJ661" s="5">
        <f>IF(AQ661&gt;0.2*AF661,1,0)</f>
      </c>
      <c r="AK661" s="5">
        <f>IF(SUM(AR661:BC661)&gt;0.3*AF661,1,0)</f>
      </c>
      <c r="AL661" s="3"/>
      <c r="AM661" s="6">
        <f>(F661/100)*AM$41</f>
      </c>
      <c r="AN661" s="6">
        <f>(G661/100)*AN$41</f>
      </c>
      <c r="AO661" s="6">
        <f>(H661/1000000)*AO$41</f>
      </c>
      <c r="AP661" s="6">
        <f>(I661/100)*AP$41</f>
      </c>
      <c r="AQ661" s="6">
        <f>(J661/1000000)*AQ$41</f>
      </c>
      <c r="AR661" s="6">
        <f>(K661/100)*AR$41</f>
      </c>
      <c r="AS661" s="6">
        <f>(L661/100)*AS$41</f>
      </c>
      <c r="AT661" s="6">
        <f>(M661/100)*AT$41</f>
      </c>
      <c r="AU661" s="6">
        <f>(N661/100)*AU$41</f>
      </c>
      <c r="AV661" s="6">
        <f>(O661/1000000)*AV$41</f>
      </c>
      <c r="AW661" s="6">
        <f>(P661/100)*AW$41</f>
      </c>
      <c r="AX661" s="6">
        <f>(Q661/100)*AX$41</f>
      </c>
      <c r="AY661" s="6">
        <f>(R661/100)*AY$41</f>
      </c>
      <c r="AZ661" s="6">
        <f>(S661/100)*AZ$41</f>
      </c>
      <c r="BA661" s="6">
        <f>(T661/100)*BA$41</f>
      </c>
      <c r="BB661" s="6">
        <f>(U661/100)*BB$41</f>
      </c>
      <c r="BC661" s="6"/>
      <c r="BD661" s="3"/>
      <c r="BE661" s="3"/>
      <c r="BF661" s="7">
        <f>AF661*E661</f>
      </c>
      <c r="BG661" s="6"/>
      <c r="BH661" s="3"/>
      <c r="BI661" s="6"/>
    </row>
    <row x14ac:dyDescent="0.25" r="662" customHeight="1" ht="12.75">
      <c r="A662" s="5" t="s">
        <v>401</v>
      </c>
      <c r="B662" s="3" t="s">
        <v>855</v>
      </c>
      <c r="C662" s="43" t="s">
        <v>870</v>
      </c>
      <c r="D662" s="34"/>
      <c r="E662" s="6">
        <v>11.384</v>
      </c>
      <c r="F662" s="6"/>
      <c r="G662" s="6">
        <v>4.158359978917779</v>
      </c>
      <c r="H662" s="7">
        <v>25.10629831342235</v>
      </c>
      <c r="I662" s="6">
        <v>1.7197549191848207</v>
      </c>
      <c r="J662" s="6">
        <v>1.8101133169360502</v>
      </c>
      <c r="K662" s="7"/>
      <c r="L662" s="6"/>
      <c r="M662" s="6"/>
      <c r="N662" s="23"/>
      <c r="O662" s="5"/>
      <c r="P662" s="6"/>
      <c r="Q662" s="6"/>
      <c r="R662" s="6"/>
      <c r="S662" s="6"/>
      <c r="T662" s="6"/>
      <c r="U662" s="6"/>
      <c r="V662" s="5"/>
      <c r="W662" s="6"/>
      <c r="X662" s="6">
        <f>E662*F662/100</f>
      </c>
      <c r="Y662" s="6">
        <f>E662*G662/100</f>
      </c>
      <c r="Z662" s="7">
        <f>E662*H662</f>
      </c>
      <c r="AA662" s="7">
        <f>E662*J662</f>
      </c>
      <c r="AB662" s="6">
        <f>E662*I662/100</f>
      </c>
      <c r="AC662" s="15">
        <f>X662+Y662+AB662</f>
      </c>
      <c r="AD662" s="6">
        <f>F662+G662+I662</f>
      </c>
      <c r="AE662" s="3"/>
      <c r="AF662" s="6">
        <f>SUM(AM662:BC662)</f>
      </c>
      <c r="AG662" s="5">
        <f>IF(SUM(AM662:AO662)&gt;0.7*AF662,1,0)</f>
      </c>
      <c r="AH662" s="5">
        <f>IF(AN662&gt;0.4*AF662,1,0)</f>
      </c>
      <c r="AI662" s="5">
        <f>IF(SUM(AP662:AQ662)&gt;0.3*AF662,1,0)</f>
      </c>
      <c r="AJ662" s="5">
        <f>IF(AQ662&gt;0.2*AF662,1,0)</f>
      </c>
      <c r="AK662" s="5">
        <f>IF(SUM(AR662:BC662)&gt;0.3*AF662,1,0)</f>
      </c>
      <c r="AL662" s="3"/>
      <c r="AM662" s="6">
        <f>(F662/100)*AM$41</f>
      </c>
      <c r="AN662" s="6">
        <f>(G662/100)*AN$41</f>
      </c>
      <c r="AO662" s="6">
        <f>(H662/1000000)*AO$41</f>
      </c>
      <c r="AP662" s="6">
        <f>(I662/100)*AP$41</f>
      </c>
      <c r="AQ662" s="6">
        <f>(J662/1000000)*AQ$41</f>
      </c>
      <c r="AR662" s="6">
        <f>(K662/100)*AR$41</f>
      </c>
      <c r="AS662" s="6">
        <f>(L662/100)*AS$41</f>
      </c>
      <c r="AT662" s="6">
        <f>(M662/100)*AT$41</f>
      </c>
      <c r="AU662" s="6">
        <f>(N662/100)*AU$41</f>
      </c>
      <c r="AV662" s="6">
        <f>(O662/1000000)*AV$41</f>
      </c>
      <c r="AW662" s="6">
        <f>(P662/100)*AW$41</f>
      </c>
      <c r="AX662" s="6">
        <f>(Q662/100)*AX$41</f>
      </c>
      <c r="AY662" s="6">
        <f>(R662/100)*AY$41</f>
      </c>
      <c r="AZ662" s="6">
        <f>(S662/100)*AZ$41</f>
      </c>
      <c r="BA662" s="6">
        <f>(T662/100)*BA$41</f>
      </c>
      <c r="BB662" s="6">
        <f>(U662/100)*BB$41</f>
      </c>
      <c r="BC662" s="6"/>
      <c r="BD662" s="3"/>
      <c r="BE662" s="3"/>
      <c r="BF662" s="7">
        <f>AF662*E662</f>
      </c>
      <c r="BG662" s="6"/>
      <c r="BH662" s="3"/>
      <c r="BI662" s="6"/>
    </row>
    <row x14ac:dyDescent="0.25" r="663" customHeight="1" ht="12.75">
      <c r="A663" s="5" t="s">
        <v>464</v>
      </c>
      <c r="B663" s="3" t="s">
        <v>855</v>
      </c>
      <c r="C663" s="43" t="s">
        <v>870</v>
      </c>
      <c r="D663" s="34"/>
      <c r="E663" s="6">
        <v>12.370000000000001</v>
      </c>
      <c r="F663" s="6"/>
      <c r="G663" s="6">
        <v>3.171397736459175</v>
      </c>
      <c r="H663" s="7">
        <v>36.16950687146322</v>
      </c>
      <c r="I663" s="6">
        <v>2.156500404203719</v>
      </c>
      <c r="J663" s="6">
        <v>0.39298221503637837</v>
      </c>
      <c r="K663" s="7"/>
      <c r="L663" s="6"/>
      <c r="M663" s="6"/>
      <c r="N663" s="23"/>
      <c r="O663" s="5"/>
      <c r="P663" s="6"/>
      <c r="Q663" s="6"/>
      <c r="R663" s="6"/>
      <c r="S663" s="6"/>
      <c r="T663" s="6"/>
      <c r="U663" s="6"/>
      <c r="V663" s="5"/>
      <c r="W663" s="6"/>
      <c r="X663" s="6">
        <f>E663*F663/100</f>
      </c>
      <c r="Y663" s="6">
        <f>E663*G663/100</f>
      </c>
      <c r="Z663" s="7">
        <f>E663*H663</f>
      </c>
      <c r="AA663" s="7">
        <f>E663*J663</f>
      </c>
      <c r="AB663" s="6">
        <f>E663*I663/100</f>
      </c>
      <c r="AC663" s="15">
        <f>X663+Y663+AB663</f>
      </c>
      <c r="AD663" s="6">
        <f>F663+G663+I663</f>
      </c>
      <c r="AE663" s="3"/>
      <c r="AF663" s="6">
        <f>SUM(AM663:BC663)</f>
      </c>
      <c r="AG663" s="5">
        <f>IF(SUM(AM663:AO663)&gt;0.7*AF663,1,0)</f>
      </c>
      <c r="AH663" s="5">
        <f>IF(AN663&gt;0.4*AF663,1,0)</f>
      </c>
      <c r="AI663" s="5">
        <f>IF(SUM(AP663:AQ663)&gt;0.3*AF663,1,0)</f>
      </c>
      <c r="AJ663" s="5">
        <f>IF(AQ663&gt;0.2*AF663,1,0)</f>
      </c>
      <c r="AK663" s="5">
        <f>IF(SUM(AR663:BC663)&gt;0.3*AF663,1,0)</f>
      </c>
      <c r="AL663" s="3"/>
      <c r="AM663" s="6">
        <f>(F663/100)*AM$41</f>
      </c>
      <c r="AN663" s="6">
        <f>(G663/100)*AN$41</f>
      </c>
      <c r="AO663" s="6">
        <f>(H663/1000000)*AO$41</f>
      </c>
      <c r="AP663" s="6">
        <f>(I663/100)*AP$41</f>
      </c>
      <c r="AQ663" s="6">
        <f>(J663/1000000)*AQ$41</f>
      </c>
      <c r="AR663" s="6">
        <f>(K663/100)*AR$41</f>
      </c>
      <c r="AS663" s="6">
        <f>(L663/100)*AS$41</f>
      </c>
      <c r="AT663" s="6">
        <f>(M663/100)*AT$41</f>
      </c>
      <c r="AU663" s="6">
        <f>(N663/100)*AU$41</f>
      </c>
      <c r="AV663" s="6">
        <f>(O663/1000000)*AV$41</f>
      </c>
      <c r="AW663" s="6">
        <f>(P663/100)*AW$41</f>
      </c>
      <c r="AX663" s="6">
        <f>(Q663/100)*AX$41</f>
      </c>
      <c r="AY663" s="6">
        <f>(R663/100)*AY$41</f>
      </c>
      <c r="AZ663" s="6">
        <f>(S663/100)*AZ$41</f>
      </c>
      <c r="BA663" s="6">
        <f>(T663/100)*BA$41</f>
      </c>
      <c r="BB663" s="6">
        <f>(U663/100)*BB$41</f>
      </c>
      <c r="BC663" s="6"/>
      <c r="BD663" s="3"/>
      <c r="BE663" s="3"/>
      <c r="BF663" s="7">
        <f>AF663*E663</f>
      </c>
      <c r="BG663" s="6"/>
      <c r="BH663" s="3"/>
      <c r="BI663" s="6"/>
    </row>
    <row x14ac:dyDescent="0.25" r="664" customHeight="1" ht="12.75">
      <c r="A664" s="5" t="s">
        <v>505</v>
      </c>
      <c r="B664" s="3" t="s">
        <v>855</v>
      </c>
      <c r="C664" s="43" t="s">
        <v>870</v>
      </c>
      <c r="D664" s="34"/>
      <c r="E664" s="23">
        <v>25.775326</v>
      </c>
      <c r="F664" s="6">
        <v>0.5745920307661676</v>
      </c>
      <c r="G664" s="6">
        <v>1.09514995426246</v>
      </c>
      <c r="H664" s="7">
        <v>13.334541613557088</v>
      </c>
      <c r="I664" s="6">
        <v>0.8532225540037787</v>
      </c>
      <c r="J664" s="6">
        <v>0.1521822680341657</v>
      </c>
      <c r="K664" s="7"/>
      <c r="L664" s="6"/>
      <c r="M664" s="6"/>
      <c r="N664" s="23"/>
      <c r="O664" s="5"/>
      <c r="P664" s="6"/>
      <c r="Q664" s="6"/>
      <c r="R664" s="6"/>
      <c r="S664" s="6"/>
      <c r="T664" s="6"/>
      <c r="U664" s="6"/>
      <c r="V664" s="5"/>
      <c r="W664" s="6"/>
      <c r="X664" s="6">
        <f>E664*F664/100</f>
      </c>
      <c r="Y664" s="6">
        <f>E664*G664/100</f>
      </c>
      <c r="Z664" s="7">
        <f>E664*H664</f>
      </c>
      <c r="AA664" s="7">
        <f>E664*J664</f>
      </c>
      <c r="AB664" s="6">
        <f>E664*I664/100</f>
      </c>
      <c r="AC664" s="15">
        <f>X664+Y664+AB664</f>
      </c>
      <c r="AD664" s="6">
        <f>F664+G664+I664</f>
      </c>
      <c r="AE664" s="3"/>
      <c r="AF664" s="6">
        <f>SUM(AM664:BC664)</f>
      </c>
      <c r="AG664" s="5">
        <f>IF(SUM(AM664:AO664)&gt;0.7*AF664,1,0)</f>
      </c>
      <c r="AH664" s="5">
        <f>IF(AN664&gt;0.4*AF664,1,0)</f>
      </c>
      <c r="AI664" s="5">
        <f>IF(SUM(AP664:AQ664)&gt;0.3*AF664,1,0)</f>
      </c>
      <c r="AJ664" s="5">
        <f>IF(AQ664&gt;0.2*AF664,1,0)</f>
      </c>
      <c r="AK664" s="5">
        <f>IF(SUM(AR664:BC664)&gt;0.3*AF664,1,0)</f>
      </c>
      <c r="AL664" s="3"/>
      <c r="AM664" s="6">
        <f>(F664/100)*AM$41</f>
      </c>
      <c r="AN664" s="6">
        <f>(G664/100)*AN$41</f>
      </c>
      <c r="AO664" s="6">
        <f>(H664/1000000)*AO$41</f>
      </c>
      <c r="AP664" s="6">
        <f>(I664/100)*AP$41</f>
      </c>
      <c r="AQ664" s="6">
        <f>(J664/1000000)*AQ$41</f>
      </c>
      <c r="AR664" s="6">
        <f>(K664/100)*AR$41</f>
      </c>
      <c r="AS664" s="6">
        <f>(L664/100)*AS$41</f>
      </c>
      <c r="AT664" s="6">
        <f>(M664/100)*AT$41</f>
      </c>
      <c r="AU664" s="6">
        <f>(N664/100)*AU$41</f>
      </c>
      <c r="AV664" s="6">
        <f>(O664/1000000)*AV$41</f>
      </c>
      <c r="AW664" s="6">
        <f>(P664/100)*AW$41</f>
      </c>
      <c r="AX664" s="6">
        <f>(Q664/100)*AX$41</f>
      </c>
      <c r="AY664" s="6">
        <f>(R664/100)*AY$41</f>
      </c>
      <c r="AZ664" s="6">
        <f>(S664/100)*AZ$41</f>
      </c>
      <c r="BA664" s="6">
        <f>(T664/100)*BA$41</f>
      </c>
      <c r="BB664" s="6">
        <f>(U664/100)*BB$41</f>
      </c>
      <c r="BC664" s="6"/>
      <c r="BD664" s="3"/>
      <c r="BE664" s="3"/>
      <c r="BF664" s="7">
        <f>AF664*E664</f>
      </c>
      <c r="BG664" s="6"/>
      <c r="BH664" s="3"/>
      <c r="BI664" s="6"/>
    </row>
    <row x14ac:dyDescent="0.25" r="665" customHeight="1" ht="12.75">
      <c r="A665" s="5" t="s">
        <v>527</v>
      </c>
      <c r="B665" s="3" t="s">
        <v>855</v>
      </c>
      <c r="C665" s="43" t="s">
        <v>870</v>
      </c>
      <c r="D665" s="34"/>
      <c r="E665" s="7">
        <v>10</v>
      </c>
      <c r="F665" s="7">
        <v>0.43999999999999995</v>
      </c>
      <c r="G665" s="7">
        <v>4.032</v>
      </c>
      <c r="H665" s="31">
        <v>52.31999999999999</v>
      </c>
      <c r="I665" s="7">
        <v>1.8239999999999998</v>
      </c>
      <c r="J665" s="6">
        <v>0.06159999999999999</v>
      </c>
      <c r="K665" s="7"/>
      <c r="L665" s="6"/>
      <c r="M665" s="6"/>
      <c r="N665" s="23"/>
      <c r="O665" s="5"/>
      <c r="P665" s="6"/>
      <c r="Q665" s="6"/>
      <c r="R665" s="6"/>
      <c r="S665" s="6"/>
      <c r="T665" s="6"/>
      <c r="U665" s="6"/>
      <c r="V665" s="5"/>
      <c r="W665" s="6"/>
      <c r="X665" s="6">
        <f>E665*F665/100</f>
      </c>
      <c r="Y665" s="6">
        <f>E665*G665/100</f>
      </c>
      <c r="Z665" s="7">
        <f>E665*H665</f>
      </c>
      <c r="AA665" s="7">
        <f>E665*J665</f>
      </c>
      <c r="AB665" s="6">
        <f>E665*I665/100</f>
      </c>
      <c r="AC665" s="15">
        <f>X665+Y665+AB665</f>
      </c>
      <c r="AD665" s="6">
        <f>F665+G665+I665</f>
      </c>
      <c r="AE665" s="3"/>
      <c r="AF665" s="6">
        <f>SUM(AM665:BC665)</f>
      </c>
      <c r="AG665" s="5">
        <f>IF(SUM(AM665:AO665)&gt;0.7*AF665,1,0)</f>
      </c>
      <c r="AH665" s="5">
        <f>IF(AN665&gt;0.4*AF665,1,0)</f>
      </c>
      <c r="AI665" s="5">
        <f>IF(SUM(AP665:AQ665)&gt;0.3*AF665,1,0)</f>
      </c>
      <c r="AJ665" s="5">
        <f>IF(AQ665&gt;0.2*AF665,1,0)</f>
      </c>
      <c r="AK665" s="5">
        <f>IF(SUM(AR665:BC665)&gt;0.3*AF665,1,0)</f>
      </c>
      <c r="AL665" s="3"/>
      <c r="AM665" s="6">
        <f>(F665/100)*AM$41</f>
      </c>
      <c r="AN665" s="6">
        <f>(G665/100)*AN$41</f>
      </c>
      <c r="AO665" s="6">
        <f>(H665/1000000)*AO$41</f>
      </c>
      <c r="AP665" s="6">
        <f>(I665/100)*AP$41</f>
      </c>
      <c r="AQ665" s="6">
        <f>(J665/1000000)*AQ$41</f>
      </c>
      <c r="AR665" s="6">
        <f>(K665/100)*AR$41</f>
      </c>
      <c r="AS665" s="6">
        <f>(L665/100)*AS$41</f>
      </c>
      <c r="AT665" s="6">
        <f>(M665/100)*AT$41</f>
      </c>
      <c r="AU665" s="6">
        <f>(N665/100)*AU$41</f>
      </c>
      <c r="AV665" s="6">
        <f>(O665/1000000)*AV$41</f>
      </c>
      <c r="AW665" s="6">
        <f>(P665/100)*AW$41</f>
      </c>
      <c r="AX665" s="6">
        <f>(Q665/100)*AX$41</f>
      </c>
      <c r="AY665" s="6">
        <f>(R665/100)*AY$41</f>
      </c>
      <c r="AZ665" s="6">
        <f>(S665/100)*AZ$41</f>
      </c>
      <c r="BA665" s="6">
        <f>(T665/100)*BA$41</f>
      </c>
      <c r="BB665" s="6">
        <f>(U665/100)*BB$41</f>
      </c>
      <c r="BC665" s="6"/>
      <c r="BD665" s="3"/>
      <c r="BE665" s="3"/>
      <c r="BF665" s="7">
        <f>AF665*E665</f>
      </c>
      <c r="BG665" s="6"/>
      <c r="BH665" s="3"/>
      <c r="BI665" s="6"/>
    </row>
    <row x14ac:dyDescent="0.25" r="666" customHeight="1" ht="12.75">
      <c r="A666" s="5" t="s">
        <v>541</v>
      </c>
      <c r="B666" s="3" t="s">
        <v>855</v>
      </c>
      <c r="C666" s="43" t="s">
        <v>870</v>
      </c>
      <c r="D666" s="34" t="s">
        <v>1026</v>
      </c>
      <c r="E666" s="6">
        <v>11.5</v>
      </c>
      <c r="F666" s="6">
        <v>2.6</v>
      </c>
      <c r="G666" s="6">
        <v>2.1</v>
      </c>
      <c r="H666" s="5">
        <v>95</v>
      </c>
      <c r="I666" s="6">
        <v>0.7</v>
      </c>
      <c r="J666" s="6"/>
      <c r="K666" s="7"/>
      <c r="L666" s="6"/>
      <c r="M666" s="6"/>
      <c r="N666" s="23"/>
      <c r="O666" s="5"/>
      <c r="P666" s="6"/>
      <c r="Q666" s="6"/>
      <c r="R666" s="6"/>
      <c r="S666" s="6"/>
      <c r="T666" s="6"/>
      <c r="U666" s="6"/>
      <c r="V666" s="5"/>
      <c r="W666" s="6"/>
      <c r="X666" s="6">
        <f>E666*F666/100</f>
      </c>
      <c r="Y666" s="6">
        <f>E666*G666/100</f>
      </c>
      <c r="Z666" s="7">
        <f>E666*H666</f>
      </c>
      <c r="AA666" s="7">
        <f>E666*J666</f>
      </c>
      <c r="AB666" s="6">
        <f>E666*I666/100</f>
      </c>
      <c r="AC666" s="15">
        <f>X666+Y666+AB666</f>
      </c>
      <c r="AD666" s="6">
        <f>F666+G666+I666</f>
      </c>
      <c r="AE666" s="3"/>
      <c r="AF666" s="6">
        <f>SUM(AM666:BC666)</f>
      </c>
      <c r="AG666" s="5">
        <f>IF(SUM(AM666:AO666)&gt;0.7*AF666,1,0)</f>
      </c>
      <c r="AH666" s="5">
        <f>IF(AN666&gt;0.4*AF666,1,0)</f>
      </c>
      <c r="AI666" s="5">
        <f>IF(SUM(AP666:AQ666)&gt;0.3*AF666,1,0)</f>
      </c>
      <c r="AJ666" s="5">
        <f>IF(AQ666&gt;0.2*AF666,1,0)</f>
      </c>
      <c r="AK666" s="5">
        <f>IF(SUM(AR666:BC666)&gt;0.3*AF666,1,0)</f>
      </c>
      <c r="AL666" s="3"/>
      <c r="AM666" s="6">
        <f>(F666/100)*AM$41</f>
      </c>
      <c r="AN666" s="6">
        <f>(G666/100)*AN$41</f>
      </c>
      <c r="AO666" s="6">
        <f>(H666/1000000)*AO$41</f>
      </c>
      <c r="AP666" s="6">
        <f>(I666/100)*AP$41</f>
      </c>
      <c r="AQ666" s="6">
        <f>(J666/1000000)*AQ$41</f>
      </c>
      <c r="AR666" s="6">
        <f>(K666/100)*AR$41</f>
      </c>
      <c r="AS666" s="6">
        <f>(L666/100)*AS$41</f>
      </c>
      <c r="AT666" s="6">
        <f>(M666/100)*AT$41</f>
      </c>
      <c r="AU666" s="6">
        <f>(N666/100)*AU$41</f>
      </c>
      <c r="AV666" s="6">
        <f>(O666/1000000)*AV$41</f>
      </c>
      <c r="AW666" s="6">
        <f>(P666/100)*AW$41</f>
      </c>
      <c r="AX666" s="6">
        <f>(Q666/100)*AX$41</f>
      </c>
      <c r="AY666" s="6">
        <f>(R666/100)*AY$41</f>
      </c>
      <c r="AZ666" s="6">
        <f>(S666/100)*AZ$41</f>
      </c>
      <c r="BA666" s="6">
        <f>(T666/100)*BA$41</f>
      </c>
      <c r="BB666" s="6">
        <f>(U666/100)*BB$41</f>
      </c>
      <c r="BC666" s="6"/>
      <c r="BD666" s="3"/>
      <c r="BE666" s="3"/>
      <c r="BF666" s="7">
        <f>AF666*E666</f>
      </c>
      <c r="BG666" s="6"/>
      <c r="BH666" s="3"/>
      <c r="BI666" s="6"/>
    </row>
    <row x14ac:dyDescent="0.25" r="667" customHeight="1" ht="12.75">
      <c r="A667" s="5" t="s">
        <v>451</v>
      </c>
      <c r="B667" s="3" t="s">
        <v>855</v>
      </c>
      <c r="C667" s="43" t="s">
        <v>870</v>
      </c>
      <c r="D667" s="34"/>
      <c r="E667" s="23">
        <v>17.470781</v>
      </c>
      <c r="F667" s="6">
        <v>0.23775716746721282</v>
      </c>
      <c r="G667" s="6">
        <v>2.9464997353581395</v>
      </c>
      <c r="H667" s="7">
        <v>24.754246068850616</v>
      </c>
      <c r="I667" s="6">
        <v>0.33509290277292125</v>
      </c>
      <c r="J667" s="6">
        <v>2.035222250796916</v>
      </c>
      <c r="K667" s="7"/>
      <c r="L667" s="6"/>
      <c r="M667" s="6"/>
      <c r="N667" s="23"/>
      <c r="O667" s="5"/>
      <c r="P667" s="6"/>
      <c r="Q667" s="6"/>
      <c r="R667" s="6"/>
      <c r="S667" s="6"/>
      <c r="T667" s="6"/>
      <c r="U667" s="6"/>
      <c r="V667" s="5"/>
      <c r="W667" s="6"/>
      <c r="X667" s="6">
        <f>E667*F667/100</f>
      </c>
      <c r="Y667" s="6">
        <f>E667*G667/100</f>
      </c>
      <c r="Z667" s="7">
        <f>E667*H667</f>
      </c>
      <c r="AA667" s="7">
        <f>E667*J667</f>
      </c>
      <c r="AB667" s="6">
        <f>E667*I667/100</f>
      </c>
      <c r="AC667" s="15">
        <f>X667+Y667+AB667</f>
      </c>
      <c r="AD667" s="6">
        <f>F667+G667+I667</f>
      </c>
      <c r="AE667" s="3"/>
      <c r="AF667" s="6">
        <f>SUM(AM667:BC667)</f>
      </c>
      <c r="AG667" s="5">
        <f>IF(SUM(AM667:AO667)&gt;0.7*AF667,1,0)</f>
      </c>
      <c r="AH667" s="5">
        <f>IF(AN667&gt;0.4*AF667,1,0)</f>
      </c>
      <c r="AI667" s="5">
        <f>IF(SUM(AP667:AQ667)&gt;0.3*AF667,1,0)</f>
      </c>
      <c r="AJ667" s="5">
        <f>IF(AQ667&gt;0.2*AF667,1,0)</f>
      </c>
      <c r="AK667" s="5">
        <f>IF(SUM(AR667:BC667)&gt;0.3*AF667,1,0)</f>
      </c>
      <c r="AL667" s="3"/>
      <c r="AM667" s="6">
        <f>(F667/100)*AM$41</f>
      </c>
      <c r="AN667" s="6">
        <f>(G667/100)*AN$41</f>
      </c>
      <c r="AO667" s="6">
        <f>(H667/1000000)*AO$41</f>
      </c>
      <c r="AP667" s="6">
        <f>(I667/100)*AP$41</f>
      </c>
      <c r="AQ667" s="6">
        <f>(J667/1000000)*AQ$41</f>
      </c>
      <c r="AR667" s="6">
        <f>(K667/100)*AR$41</f>
      </c>
      <c r="AS667" s="6">
        <f>(L667/100)*AS$41</f>
      </c>
      <c r="AT667" s="6">
        <f>(M667/100)*AT$41</f>
      </c>
      <c r="AU667" s="6">
        <f>(N667/100)*AU$41</f>
      </c>
      <c r="AV667" s="6">
        <f>(O667/1000000)*AV$41</f>
      </c>
      <c r="AW667" s="6">
        <f>(P667/100)*AW$41</f>
      </c>
      <c r="AX667" s="6">
        <f>(Q667/100)*AX$41</f>
      </c>
      <c r="AY667" s="6">
        <f>(R667/100)*AY$41</f>
      </c>
      <c r="AZ667" s="6">
        <f>(S667/100)*AZ$41</f>
      </c>
      <c r="BA667" s="6">
        <f>(T667/100)*BA$41</f>
      </c>
      <c r="BB667" s="6">
        <f>(U667/100)*BB$41</f>
      </c>
      <c r="BC667" s="6"/>
      <c r="BD667" s="3"/>
      <c r="BE667" s="3"/>
      <c r="BF667" s="7">
        <f>AF667*E667</f>
      </c>
      <c r="BG667" s="6"/>
      <c r="BH667" s="3"/>
      <c r="BI667" s="6"/>
    </row>
    <row x14ac:dyDescent="0.25" r="668" customHeight="1" ht="12.75">
      <c r="A668" s="5" t="s">
        <v>296</v>
      </c>
      <c r="B668" s="3" t="s">
        <v>855</v>
      </c>
      <c r="C668" s="43" t="s">
        <v>870</v>
      </c>
      <c r="D668" s="34"/>
      <c r="E668" s="6">
        <v>5.71</v>
      </c>
      <c r="F668" s="6">
        <v>0.24056042031523642</v>
      </c>
      <c r="G668" s="6">
        <v>9.864290718038529</v>
      </c>
      <c r="H668" s="7">
        <v>50.40168126094571</v>
      </c>
      <c r="I668" s="6">
        <v>0.6178283712784589</v>
      </c>
      <c r="J668" s="6">
        <v>0.06879159369527146</v>
      </c>
      <c r="K668" s="7"/>
      <c r="L668" s="6"/>
      <c r="M668" s="6"/>
      <c r="N668" s="23"/>
      <c r="O668" s="5"/>
      <c r="P668" s="6"/>
      <c r="Q668" s="6"/>
      <c r="R668" s="6"/>
      <c r="S668" s="6"/>
      <c r="T668" s="6"/>
      <c r="U668" s="6"/>
      <c r="V668" s="5"/>
      <c r="W668" s="6"/>
      <c r="X668" s="6">
        <f>E668*F668/100</f>
      </c>
      <c r="Y668" s="6">
        <f>E668*G668/100</f>
      </c>
      <c r="Z668" s="7">
        <f>E668*H668</f>
      </c>
      <c r="AA668" s="7">
        <f>E668*J668</f>
      </c>
      <c r="AB668" s="6">
        <f>E668*I668/100</f>
      </c>
      <c r="AC668" s="15">
        <f>X668+Y668+AB668</f>
      </c>
      <c r="AD668" s="6">
        <f>F668+G668+I668</f>
      </c>
      <c r="AE668" s="3"/>
      <c r="AF668" s="6">
        <f>SUM(AM668:BC668)</f>
      </c>
      <c r="AG668" s="5">
        <f>IF(SUM(AM668:AO668)&gt;0.7*AF668,1,0)</f>
      </c>
      <c r="AH668" s="5">
        <f>IF(AN668&gt;0.4*AF668,1,0)</f>
      </c>
      <c r="AI668" s="5">
        <f>IF(SUM(AP668:AQ668)&gt;0.3*AF668,1,0)</f>
      </c>
      <c r="AJ668" s="5">
        <f>IF(AQ668&gt;0.2*AF668,1,0)</f>
      </c>
      <c r="AK668" s="5">
        <f>IF(SUM(AR668:BC668)&gt;0.3*AF668,1,0)</f>
      </c>
      <c r="AL668" s="3"/>
      <c r="AM668" s="6">
        <f>(F668/100)*AM$41</f>
      </c>
      <c r="AN668" s="6">
        <f>(G668/100)*AN$41</f>
      </c>
      <c r="AO668" s="6">
        <f>(H668/1000000)*AO$41</f>
      </c>
      <c r="AP668" s="6">
        <f>(I668/100)*AP$41</f>
      </c>
      <c r="AQ668" s="6">
        <f>(J668/1000000)*AQ$41</f>
      </c>
      <c r="AR668" s="6">
        <f>(K668/100)*AR$41</f>
      </c>
      <c r="AS668" s="6">
        <f>(L668/100)*AS$41</f>
      </c>
      <c r="AT668" s="6">
        <f>(M668/100)*AT$41</f>
      </c>
      <c r="AU668" s="6">
        <f>(N668/100)*AU$41</f>
      </c>
      <c r="AV668" s="6">
        <f>(O668/1000000)*AV$41</f>
      </c>
      <c r="AW668" s="6">
        <f>(P668/100)*AW$41</f>
      </c>
      <c r="AX668" s="6">
        <f>(Q668/100)*AX$41</f>
      </c>
      <c r="AY668" s="6">
        <f>(R668/100)*AY$41</f>
      </c>
      <c r="AZ668" s="6">
        <f>(S668/100)*AZ$41</f>
      </c>
      <c r="BA668" s="6">
        <f>(T668/100)*BA$41</f>
      </c>
      <c r="BB668" s="6">
        <f>(U668/100)*BB$41</f>
      </c>
      <c r="BC668" s="6"/>
      <c r="BD668" s="3"/>
      <c r="BE668" s="3"/>
      <c r="BF668" s="7">
        <f>AF668*E668</f>
      </c>
      <c r="BG668" s="6"/>
      <c r="BH668" s="3"/>
      <c r="BI668" s="6"/>
    </row>
    <row x14ac:dyDescent="0.25" r="669" customHeight="1" ht="12.75">
      <c r="A669" s="5" t="s">
        <v>547</v>
      </c>
      <c r="B669" s="3" t="s">
        <v>855</v>
      </c>
      <c r="C669" s="43" t="s">
        <v>870</v>
      </c>
      <c r="D669" s="34"/>
      <c r="E669" s="6">
        <v>14.91</v>
      </c>
      <c r="F669" s="6">
        <v>0.58</v>
      </c>
      <c r="G669" s="6">
        <v>3.04</v>
      </c>
      <c r="H669" s="6">
        <v>18.79</v>
      </c>
      <c r="I669" s="6">
        <v>0.45</v>
      </c>
      <c r="J669" s="6">
        <v>0.03</v>
      </c>
      <c r="K669" s="7"/>
      <c r="L669" s="6"/>
      <c r="M669" s="6"/>
      <c r="N669" s="23"/>
      <c r="O669" s="5"/>
      <c r="P669" s="6"/>
      <c r="Q669" s="6"/>
      <c r="R669" s="6"/>
      <c r="S669" s="6"/>
      <c r="T669" s="6"/>
      <c r="U669" s="6"/>
      <c r="V669" s="5"/>
      <c r="W669" s="6"/>
      <c r="X669" s="6">
        <f>E669*F669/100</f>
      </c>
      <c r="Y669" s="6">
        <f>E669*G669/100</f>
      </c>
      <c r="Z669" s="7">
        <f>E669*H669</f>
      </c>
      <c r="AA669" s="7">
        <f>E669*J669</f>
      </c>
      <c r="AB669" s="6">
        <f>E669*I669/100</f>
      </c>
      <c r="AC669" s="15">
        <f>X669+Y669+AB669</f>
      </c>
      <c r="AD669" s="6">
        <f>F669+G669+I669</f>
      </c>
      <c r="AE669" s="3"/>
      <c r="AF669" s="6">
        <f>SUM(AM669:BC669)</f>
      </c>
      <c r="AG669" s="5">
        <f>IF(SUM(AM669:AO669)&gt;0.7*AF669,1,0)</f>
      </c>
      <c r="AH669" s="5">
        <f>IF(AN669&gt;0.4*AF669,1,0)</f>
      </c>
      <c r="AI669" s="5">
        <f>IF(SUM(AP669:AQ669)&gt;0.3*AF669,1,0)</f>
      </c>
      <c r="AJ669" s="5">
        <f>IF(AQ669&gt;0.2*AF669,1,0)</f>
      </c>
      <c r="AK669" s="5">
        <f>IF(SUM(AR669:BC669)&gt;0.3*AF669,1,0)</f>
      </c>
      <c r="AL669" s="3"/>
      <c r="AM669" s="6">
        <f>(F669/100)*AM$41</f>
      </c>
      <c r="AN669" s="6">
        <f>(G669/100)*AN$41</f>
      </c>
      <c r="AO669" s="6">
        <f>(H669/1000000)*AO$41</f>
      </c>
      <c r="AP669" s="6">
        <f>(I669/100)*AP$41</f>
      </c>
      <c r="AQ669" s="6">
        <f>(J669/1000000)*AQ$41</f>
      </c>
      <c r="AR669" s="6">
        <f>(K669/100)*AR$41</f>
      </c>
      <c r="AS669" s="6">
        <f>(L669/100)*AS$41</f>
      </c>
      <c r="AT669" s="6">
        <f>(M669/100)*AT$41</f>
      </c>
      <c r="AU669" s="6">
        <f>(N669/100)*AU$41</f>
      </c>
      <c r="AV669" s="6">
        <f>(O669/1000000)*AV$41</f>
      </c>
      <c r="AW669" s="6">
        <f>(P669/100)*AW$41</f>
      </c>
      <c r="AX669" s="6">
        <f>(Q669/100)*AX$41</f>
      </c>
      <c r="AY669" s="6">
        <f>(R669/100)*AY$41</f>
      </c>
      <c r="AZ669" s="6">
        <f>(S669/100)*AZ$41</f>
      </c>
      <c r="BA669" s="6">
        <f>(T669/100)*BA$41</f>
      </c>
      <c r="BB669" s="6">
        <f>(U669/100)*BB$41</f>
      </c>
      <c r="BC669" s="6"/>
      <c r="BD669" s="3"/>
      <c r="BE669" s="3"/>
      <c r="BF669" s="7">
        <f>AF669*E669</f>
      </c>
      <c r="BG669" s="6"/>
      <c r="BH669" s="3"/>
      <c r="BI669" s="6"/>
    </row>
    <row x14ac:dyDescent="0.25" r="670" customHeight="1" ht="12.75">
      <c r="A670" s="5" t="s">
        <v>281</v>
      </c>
      <c r="B670" s="3" t="s">
        <v>855</v>
      </c>
      <c r="C670" s="43" t="s">
        <v>870</v>
      </c>
      <c r="D670" s="34"/>
      <c r="E670" s="23">
        <v>67.6178</v>
      </c>
      <c r="F670" s="6"/>
      <c r="G670" s="6">
        <v>0.72</v>
      </c>
      <c r="H670" s="7"/>
      <c r="I670" s="6">
        <v>0.17</v>
      </c>
      <c r="J670" s="6">
        <v>1.82</v>
      </c>
      <c r="K670" s="7"/>
      <c r="L670" s="6"/>
      <c r="M670" s="6"/>
      <c r="N670" s="23"/>
      <c r="O670" s="5"/>
      <c r="P670" s="6"/>
      <c r="Q670" s="6"/>
      <c r="R670" s="6"/>
      <c r="S670" s="6"/>
      <c r="T670" s="6"/>
      <c r="U670" s="6"/>
      <c r="V670" s="5"/>
      <c r="W670" s="6"/>
      <c r="X670" s="6">
        <f>E670*F670/100</f>
      </c>
      <c r="Y670" s="6">
        <f>E670*G670/100</f>
      </c>
      <c r="Z670" s="7">
        <f>E670*H670</f>
      </c>
      <c r="AA670" s="7">
        <f>E670*J670</f>
      </c>
      <c r="AB670" s="6">
        <f>E670*I670/100</f>
      </c>
      <c r="AC670" s="15">
        <f>X670+Y670+AB670</f>
      </c>
      <c r="AD670" s="6">
        <f>F670+G670+I670</f>
      </c>
      <c r="AE670" s="3"/>
      <c r="AF670" s="6">
        <f>SUM(AM670:BC670)</f>
      </c>
      <c r="AG670" s="5">
        <f>IF(SUM(AM670:AO670)&gt;0.7*AF670,1,0)</f>
      </c>
      <c r="AH670" s="5">
        <f>IF(AN670&gt;0.4*AF670,1,0)</f>
      </c>
      <c r="AI670" s="5">
        <f>IF(SUM(AP670:AQ670)&gt;0.3*AF670,1,0)</f>
      </c>
      <c r="AJ670" s="5">
        <f>IF(AQ670&gt;0.2*AF670,1,0)</f>
      </c>
      <c r="AK670" s="5">
        <f>IF(SUM(AR670:BC670)&gt;0.3*AF670,1,0)</f>
      </c>
      <c r="AL670" s="3"/>
      <c r="AM670" s="6">
        <f>(F670/100)*AM$41</f>
      </c>
      <c r="AN670" s="6">
        <f>(G670/100)*AN$41</f>
      </c>
      <c r="AO670" s="6">
        <f>(H670/1000000)*AO$41</f>
      </c>
      <c r="AP670" s="6">
        <f>(I670/100)*AP$41</f>
      </c>
      <c r="AQ670" s="6">
        <f>(J670/1000000)*AQ$41</f>
      </c>
      <c r="AR670" s="6">
        <f>(K670/100)*AR$41</f>
      </c>
      <c r="AS670" s="6">
        <f>(L670/100)*AS$41</f>
      </c>
      <c r="AT670" s="6">
        <f>(M670/100)*AT$41</f>
      </c>
      <c r="AU670" s="6">
        <f>(N670/100)*AU$41</f>
      </c>
      <c r="AV670" s="6">
        <f>(O670/1000000)*AV$41</f>
      </c>
      <c r="AW670" s="6">
        <f>(P670/100)*AW$41</f>
      </c>
      <c r="AX670" s="6">
        <f>(Q670/100)*AX$41</f>
      </c>
      <c r="AY670" s="6">
        <f>(R670/100)*AY$41</f>
      </c>
      <c r="AZ670" s="6">
        <f>(S670/100)*AZ$41</f>
      </c>
      <c r="BA670" s="6">
        <f>(T670/100)*BA$41</f>
      </c>
      <c r="BB670" s="6">
        <f>(U670/100)*BB$41</f>
      </c>
      <c r="BC670" s="6"/>
      <c r="BD670" s="3"/>
      <c r="BE670" s="3"/>
      <c r="BF670" s="7">
        <f>AF670*E670</f>
      </c>
      <c r="BG670" s="6"/>
      <c r="BH670" s="3"/>
      <c r="BI670" s="6"/>
    </row>
    <row x14ac:dyDescent="0.25" r="671" customHeight="1" ht="12.75">
      <c r="A671" s="5" t="s">
        <v>330</v>
      </c>
      <c r="B671" s="3" t="s">
        <v>855</v>
      </c>
      <c r="C671" s="43" t="s">
        <v>870</v>
      </c>
      <c r="D671" s="34"/>
      <c r="E671" s="6">
        <v>5.880000000000001</v>
      </c>
      <c r="F671" s="6"/>
      <c r="G671" s="6">
        <v>8.86938775510204</v>
      </c>
      <c r="H671" s="7">
        <v>34.184013605442175</v>
      </c>
      <c r="I671" s="6">
        <v>1.215204081632653</v>
      </c>
      <c r="J671" s="7">
        <v>0.7062585034013604</v>
      </c>
      <c r="K671" s="7"/>
      <c r="L671" s="6"/>
      <c r="M671" s="6"/>
      <c r="N671" s="23"/>
      <c r="O671" s="5"/>
      <c r="P671" s="6"/>
      <c r="Q671" s="6"/>
      <c r="R671" s="6"/>
      <c r="S671" s="6"/>
      <c r="T671" s="6"/>
      <c r="U671" s="6"/>
      <c r="V671" s="5"/>
      <c r="W671" s="6"/>
      <c r="X671" s="6">
        <f>E671*F671/100</f>
      </c>
      <c r="Y671" s="6">
        <f>E671*G671/100</f>
      </c>
      <c r="Z671" s="7">
        <f>E671*H671</f>
      </c>
      <c r="AA671" s="7">
        <f>E671*J671</f>
      </c>
      <c r="AB671" s="6">
        <f>E671*I671/100</f>
      </c>
      <c r="AC671" s="15">
        <f>X671+Y671+AB671</f>
      </c>
      <c r="AD671" s="6">
        <f>F671+G671+I671</f>
      </c>
      <c r="AE671" s="3"/>
      <c r="AF671" s="6">
        <f>SUM(AM671:BC671)</f>
      </c>
      <c r="AG671" s="5">
        <f>IF(SUM(AM671:AO671)&gt;0.7*AF671,1,0)</f>
      </c>
      <c r="AH671" s="5">
        <f>IF(AN671&gt;0.4*AF671,1,0)</f>
      </c>
      <c r="AI671" s="5">
        <f>IF(SUM(AP671:AQ671)&gt;0.3*AF671,1,0)</f>
      </c>
      <c r="AJ671" s="5">
        <f>IF(AQ671&gt;0.2*AF671,1,0)</f>
      </c>
      <c r="AK671" s="5">
        <f>IF(SUM(AR671:BC671)&gt;0.3*AF671,1,0)</f>
      </c>
      <c r="AL671" s="3"/>
      <c r="AM671" s="6">
        <f>(F671/100)*AM$41</f>
      </c>
      <c r="AN671" s="6">
        <f>(G671/100)*AN$41</f>
      </c>
      <c r="AO671" s="6">
        <f>(H671/1000000)*AO$41</f>
      </c>
      <c r="AP671" s="6">
        <f>(I671/100)*AP$41</f>
      </c>
      <c r="AQ671" s="6">
        <f>(J671/1000000)*AQ$41</f>
      </c>
      <c r="AR671" s="6">
        <f>(K671/100)*AR$41</f>
      </c>
      <c r="AS671" s="6">
        <f>(L671/100)*AS$41</f>
      </c>
      <c r="AT671" s="6">
        <f>(M671/100)*AT$41</f>
      </c>
      <c r="AU671" s="6">
        <f>(N671/100)*AU$41</f>
      </c>
      <c r="AV671" s="6">
        <f>(O671/1000000)*AV$41</f>
      </c>
      <c r="AW671" s="6">
        <f>(P671/100)*AW$41</f>
      </c>
      <c r="AX671" s="6">
        <f>(Q671/100)*AX$41</f>
      </c>
      <c r="AY671" s="6">
        <f>(R671/100)*AY$41</f>
      </c>
      <c r="AZ671" s="6">
        <f>(S671/100)*AZ$41</f>
      </c>
      <c r="BA671" s="6">
        <f>(T671/100)*BA$41</f>
      </c>
      <c r="BB671" s="6">
        <f>(U671/100)*BB$41</f>
      </c>
      <c r="BC671" s="6"/>
      <c r="BD671" s="3"/>
      <c r="BE671" s="3"/>
      <c r="BF671" s="7">
        <f>AF671*E671</f>
      </c>
      <c r="BG671" s="6"/>
      <c r="BH671" s="3"/>
      <c r="BI671" s="6"/>
    </row>
    <row x14ac:dyDescent="0.25" r="672" customHeight="1" ht="12.75">
      <c r="A672" s="5" t="s">
        <v>544</v>
      </c>
      <c r="B672" s="3" t="s">
        <v>855</v>
      </c>
      <c r="C672" s="43" t="s">
        <v>870</v>
      </c>
      <c r="D672" s="34"/>
      <c r="E672" s="7">
        <v>9</v>
      </c>
      <c r="F672" s="6">
        <v>1.1511111111111112</v>
      </c>
      <c r="G672" s="6">
        <v>4.032</v>
      </c>
      <c r="H672" s="7">
        <v>52.76666666666667</v>
      </c>
      <c r="I672" s="6">
        <v>1.1372222222222221</v>
      </c>
      <c r="J672" s="7">
        <v>0.8297777777777777</v>
      </c>
      <c r="K672" s="7"/>
      <c r="L672" s="6"/>
      <c r="M672" s="6"/>
      <c r="N672" s="23"/>
      <c r="O672" s="5"/>
      <c r="P672" s="6"/>
      <c r="Q672" s="6"/>
      <c r="R672" s="6"/>
      <c r="S672" s="6"/>
      <c r="T672" s="6"/>
      <c r="U672" s="6"/>
      <c r="V672" s="5"/>
      <c r="W672" s="6"/>
      <c r="X672" s="6">
        <f>E672*F672/100</f>
      </c>
      <c r="Y672" s="6">
        <f>E672*G672/100</f>
      </c>
      <c r="Z672" s="7">
        <f>E672*H672</f>
      </c>
      <c r="AA672" s="7">
        <f>E672*J672</f>
      </c>
      <c r="AB672" s="6">
        <f>E672*I672/100</f>
      </c>
      <c r="AC672" s="15">
        <f>X672+Y672+AB672</f>
      </c>
      <c r="AD672" s="6">
        <f>F672+G672+I672</f>
      </c>
      <c r="AE672" s="3"/>
      <c r="AF672" s="6">
        <f>SUM(AM672:BC672)</f>
      </c>
      <c r="AG672" s="5">
        <f>IF(SUM(AM672:AO672)&gt;0.7*AF672,1,0)</f>
      </c>
      <c r="AH672" s="5">
        <f>IF(AN672&gt;0.4*AF672,1,0)</f>
      </c>
      <c r="AI672" s="5">
        <f>IF(SUM(AP672:AQ672)&gt;0.3*AF672,1,0)</f>
      </c>
      <c r="AJ672" s="5">
        <f>IF(AQ672&gt;0.2*AF672,1,0)</f>
      </c>
      <c r="AK672" s="5">
        <f>IF(SUM(AR672:BC672)&gt;0.3*AF672,1,0)</f>
      </c>
      <c r="AL672" s="3"/>
      <c r="AM672" s="6">
        <f>(F672/100)*AM$41</f>
      </c>
      <c r="AN672" s="6">
        <f>(G672/100)*AN$41</f>
      </c>
      <c r="AO672" s="6">
        <f>(H672/1000000)*AO$41</f>
      </c>
      <c r="AP672" s="6">
        <f>(I672/100)*AP$41</f>
      </c>
      <c r="AQ672" s="6">
        <f>(J672/1000000)*AQ$41</f>
      </c>
      <c r="AR672" s="6">
        <f>(K672/100)*AR$41</f>
      </c>
      <c r="AS672" s="6">
        <f>(L672/100)*AS$41</f>
      </c>
      <c r="AT672" s="6">
        <f>(M672/100)*AT$41</f>
      </c>
      <c r="AU672" s="6">
        <f>(N672/100)*AU$41</f>
      </c>
      <c r="AV672" s="6">
        <f>(O672/1000000)*AV$41</f>
      </c>
      <c r="AW672" s="6">
        <f>(P672/100)*AW$41</f>
      </c>
      <c r="AX672" s="6">
        <f>(Q672/100)*AX$41</f>
      </c>
      <c r="AY672" s="6">
        <f>(R672/100)*AY$41</f>
      </c>
      <c r="AZ672" s="6">
        <f>(S672/100)*AZ$41</f>
      </c>
      <c r="BA672" s="6">
        <f>(T672/100)*BA$41</f>
      </c>
      <c r="BB672" s="6">
        <f>(U672/100)*BB$41</f>
      </c>
      <c r="BC672" s="6"/>
      <c r="BD672" s="3"/>
      <c r="BE672" s="3"/>
      <c r="BF672" s="7">
        <f>AF672*E672</f>
      </c>
      <c r="BG672" s="6"/>
      <c r="BH672" s="3"/>
      <c r="BI672" s="6"/>
    </row>
    <row x14ac:dyDescent="0.25" r="673" customHeight="1" ht="12.75">
      <c r="A673" s="5" t="s">
        <v>272</v>
      </c>
      <c r="B673" s="3" t="s">
        <v>855</v>
      </c>
      <c r="C673" s="43" t="s">
        <v>870</v>
      </c>
      <c r="D673" s="34"/>
      <c r="E673" s="6">
        <v>6.965999999999999</v>
      </c>
      <c r="F673" s="6">
        <v>1.090043066322136</v>
      </c>
      <c r="G673" s="6">
        <v>5.8352368647717485</v>
      </c>
      <c r="H673" s="31">
        <v>84.32644272179157</v>
      </c>
      <c r="I673" s="6">
        <v>1.1747717484926785</v>
      </c>
      <c r="J673" s="6">
        <v>2.3642721791559</v>
      </c>
      <c r="K673" s="7"/>
      <c r="L673" s="6"/>
      <c r="M673" s="6"/>
      <c r="N673" s="23"/>
      <c r="O673" s="5"/>
      <c r="P673" s="6"/>
      <c r="Q673" s="6"/>
      <c r="R673" s="6"/>
      <c r="S673" s="6"/>
      <c r="T673" s="6"/>
      <c r="U673" s="6"/>
      <c r="V673" s="5"/>
      <c r="W673" s="6"/>
      <c r="X673" s="6">
        <f>E673*F673/100</f>
      </c>
      <c r="Y673" s="6">
        <f>E673*G673/100</f>
      </c>
      <c r="Z673" s="7">
        <f>E673*H673</f>
      </c>
      <c r="AA673" s="7">
        <f>E673*J673</f>
      </c>
      <c r="AB673" s="6">
        <f>E673*I673/100</f>
      </c>
      <c r="AC673" s="15">
        <f>X673+Y673+AB673</f>
      </c>
      <c r="AD673" s="6">
        <f>F673+G673+I673</f>
      </c>
      <c r="AE673" s="3"/>
      <c r="AF673" s="6">
        <f>SUM(AM673:BC673)</f>
      </c>
      <c r="AG673" s="5">
        <f>IF(SUM(AM673:AO673)&gt;0.7*AF673,1,0)</f>
      </c>
      <c r="AH673" s="5">
        <f>IF(AN673&gt;0.4*AF673,1,0)</f>
      </c>
      <c r="AI673" s="5">
        <f>IF(SUM(AP673:AQ673)&gt;0.3*AF673,1,0)</f>
      </c>
      <c r="AJ673" s="5">
        <f>IF(AQ673&gt;0.2*AF673,1,0)</f>
      </c>
      <c r="AK673" s="5">
        <f>IF(SUM(AR673:BC673)&gt;0.3*AF673,1,0)</f>
      </c>
      <c r="AL673" s="3"/>
      <c r="AM673" s="6">
        <f>(F673/100)*AM$41</f>
      </c>
      <c r="AN673" s="6">
        <f>(G673/100)*AN$41</f>
      </c>
      <c r="AO673" s="6">
        <f>(H673/1000000)*AO$41</f>
      </c>
      <c r="AP673" s="6">
        <f>(I673/100)*AP$41</f>
      </c>
      <c r="AQ673" s="6">
        <f>(J673/1000000)*AQ$41</f>
      </c>
      <c r="AR673" s="6">
        <f>(K673/100)*AR$41</f>
      </c>
      <c r="AS673" s="6">
        <f>(L673/100)*AS$41</f>
      </c>
      <c r="AT673" s="6">
        <f>(M673/100)*AT$41</f>
      </c>
      <c r="AU673" s="6">
        <f>(N673/100)*AU$41</f>
      </c>
      <c r="AV673" s="6">
        <f>(O673/1000000)*AV$41</f>
      </c>
      <c r="AW673" s="6">
        <f>(P673/100)*AW$41</f>
      </c>
      <c r="AX673" s="6">
        <f>(Q673/100)*AX$41</f>
      </c>
      <c r="AY673" s="6">
        <f>(R673/100)*AY$41</f>
      </c>
      <c r="AZ673" s="6">
        <f>(S673/100)*AZ$41</f>
      </c>
      <c r="BA673" s="6">
        <f>(T673/100)*BA$41</f>
      </c>
      <c r="BB673" s="6">
        <f>(U673/100)*BB$41</f>
      </c>
      <c r="BC673" s="6"/>
      <c r="BD673" s="3"/>
      <c r="BE673" s="3"/>
      <c r="BF673" s="7">
        <f>AF673*E673</f>
      </c>
      <c r="BG673" s="6"/>
      <c r="BH673" s="3"/>
      <c r="BI673" s="6"/>
    </row>
    <row x14ac:dyDescent="0.25" r="674" customHeight="1" ht="12.75">
      <c r="A674" s="5" t="s">
        <v>543</v>
      </c>
      <c r="B674" s="3" t="s">
        <v>855</v>
      </c>
      <c r="C674" s="43" t="s">
        <v>870</v>
      </c>
      <c r="D674" s="34"/>
      <c r="E674" s="6">
        <v>10.036</v>
      </c>
      <c r="F674" s="6"/>
      <c r="G674" s="6">
        <v>4.421666998804305</v>
      </c>
      <c r="H674" s="7">
        <v>32.73968911917098</v>
      </c>
      <c r="I674" s="6">
        <v>1.1973824232762056</v>
      </c>
      <c r="J674" s="6">
        <v>0.9826175767237944</v>
      </c>
      <c r="K674" s="7"/>
      <c r="L674" s="6"/>
      <c r="M674" s="6"/>
      <c r="N674" s="23"/>
      <c r="O674" s="5"/>
      <c r="P674" s="6"/>
      <c r="Q674" s="6"/>
      <c r="R674" s="6"/>
      <c r="S674" s="6"/>
      <c r="T674" s="6"/>
      <c r="U674" s="6"/>
      <c r="V674" s="5"/>
      <c r="W674" s="6"/>
      <c r="X674" s="6">
        <f>E674*F674/100</f>
      </c>
      <c r="Y674" s="6">
        <f>E674*G674/100</f>
      </c>
      <c r="Z674" s="7">
        <f>E674*H674</f>
      </c>
      <c r="AA674" s="7">
        <f>E674*J674</f>
      </c>
      <c r="AB674" s="6">
        <f>E674*I674/100</f>
      </c>
      <c r="AC674" s="15">
        <f>X674+Y674+AB674</f>
      </c>
      <c r="AD674" s="6">
        <f>F674+G674+I674</f>
      </c>
      <c r="AE674" s="3"/>
      <c r="AF674" s="6">
        <f>SUM(AM674:BC674)</f>
      </c>
      <c r="AG674" s="5">
        <f>IF(SUM(AM674:AO674)&gt;0.7*AF674,1,0)</f>
      </c>
      <c r="AH674" s="5">
        <f>IF(AN674&gt;0.4*AF674,1,0)</f>
      </c>
      <c r="AI674" s="5">
        <f>IF(SUM(AP674:AQ674)&gt;0.3*AF674,1,0)</f>
      </c>
      <c r="AJ674" s="5">
        <f>IF(AQ674&gt;0.2*AF674,1,0)</f>
      </c>
      <c r="AK674" s="5">
        <f>IF(SUM(AR674:BC674)&gt;0.3*AF674,1,0)</f>
      </c>
      <c r="AL674" s="3"/>
      <c r="AM674" s="6">
        <f>(F674/100)*AM$41</f>
      </c>
      <c r="AN674" s="6">
        <f>(G674/100)*AN$41</f>
      </c>
      <c r="AO674" s="6">
        <f>(H674/1000000)*AO$41</f>
      </c>
      <c r="AP674" s="6">
        <f>(I674/100)*AP$41</f>
      </c>
      <c r="AQ674" s="6">
        <f>(J674/1000000)*AQ$41</f>
      </c>
      <c r="AR674" s="6">
        <f>(K674/100)*AR$41</f>
      </c>
      <c r="AS674" s="6">
        <f>(L674/100)*AS$41</f>
      </c>
      <c r="AT674" s="6">
        <f>(M674/100)*AT$41</f>
      </c>
      <c r="AU674" s="6">
        <f>(N674/100)*AU$41</f>
      </c>
      <c r="AV674" s="6">
        <f>(O674/1000000)*AV$41</f>
      </c>
      <c r="AW674" s="6">
        <f>(P674/100)*AW$41</f>
      </c>
      <c r="AX674" s="6">
        <f>(Q674/100)*AX$41</f>
      </c>
      <c r="AY674" s="6">
        <f>(R674/100)*AY$41</f>
      </c>
      <c r="AZ674" s="6">
        <f>(S674/100)*AZ$41</f>
      </c>
      <c r="BA674" s="6">
        <f>(T674/100)*BA$41</f>
      </c>
      <c r="BB674" s="6">
        <f>(U674/100)*BB$41</f>
      </c>
      <c r="BC674" s="6"/>
      <c r="BD674" s="3"/>
      <c r="BE674" s="3"/>
      <c r="BF674" s="7">
        <f>AF674*E674</f>
      </c>
      <c r="BG674" s="6"/>
      <c r="BH674" s="3"/>
      <c r="BI674" s="6"/>
    </row>
    <row x14ac:dyDescent="0.25" r="675" customHeight="1" ht="12.75">
      <c r="A675" s="5" t="s">
        <v>540</v>
      </c>
      <c r="B675" s="3" t="s">
        <v>855</v>
      </c>
      <c r="C675" s="43" t="s">
        <v>870</v>
      </c>
      <c r="D675" s="34"/>
      <c r="E675" s="6">
        <v>17.3</v>
      </c>
      <c r="F675" s="6"/>
      <c r="G675" s="7">
        <v>2.3023121387283236</v>
      </c>
      <c r="H675" s="31">
        <v>25.416184971098268</v>
      </c>
      <c r="I675" s="7">
        <v>0.9017341040462428</v>
      </c>
      <c r="J675" s="7">
        <v>0.35260115606936415</v>
      </c>
      <c r="K675" s="7"/>
      <c r="L675" s="6"/>
      <c r="M675" s="6"/>
      <c r="N675" s="23"/>
      <c r="O675" s="5"/>
      <c r="P675" s="6"/>
      <c r="Q675" s="6"/>
      <c r="R675" s="6"/>
      <c r="S675" s="6"/>
      <c r="T675" s="6"/>
      <c r="U675" s="6"/>
      <c r="V675" s="5"/>
      <c r="W675" s="6"/>
      <c r="X675" s="6">
        <f>E675*F675/100</f>
      </c>
      <c r="Y675" s="6">
        <f>E675*G675/100</f>
      </c>
      <c r="Z675" s="7">
        <f>E675*H675</f>
      </c>
      <c r="AA675" s="7">
        <f>E675*J675</f>
      </c>
      <c r="AB675" s="6">
        <f>E675*I675/100</f>
      </c>
      <c r="AC675" s="15">
        <f>X675+Y675+AB675</f>
      </c>
      <c r="AD675" s="6">
        <f>F675+G675+I675</f>
      </c>
      <c r="AE675" s="3"/>
      <c r="AF675" s="6">
        <f>SUM(AM675:BC675)</f>
      </c>
      <c r="AG675" s="5">
        <f>IF(SUM(AM675:AO675)&gt;0.7*AF675,1,0)</f>
      </c>
      <c r="AH675" s="5">
        <f>IF(AN675&gt;0.4*AF675,1,0)</f>
      </c>
      <c r="AI675" s="5">
        <f>IF(SUM(AP675:AQ675)&gt;0.3*AF675,1,0)</f>
      </c>
      <c r="AJ675" s="5">
        <f>IF(AQ675&gt;0.2*AF675,1,0)</f>
      </c>
      <c r="AK675" s="5">
        <f>IF(SUM(AR675:BC675)&gt;0.3*AF675,1,0)</f>
      </c>
      <c r="AL675" s="3"/>
      <c r="AM675" s="6">
        <f>(F675/100)*AM$41</f>
      </c>
      <c r="AN675" s="6">
        <f>(G675/100)*AN$41</f>
      </c>
      <c r="AO675" s="6">
        <f>(H675/1000000)*AO$41</f>
      </c>
      <c r="AP675" s="6">
        <f>(I675/100)*AP$41</f>
      </c>
      <c r="AQ675" s="6">
        <f>(J675/1000000)*AQ$41</f>
      </c>
      <c r="AR675" s="6">
        <f>(K675/100)*AR$41</f>
      </c>
      <c r="AS675" s="6">
        <f>(L675/100)*AS$41</f>
      </c>
      <c r="AT675" s="6">
        <f>(M675/100)*AT$41</f>
      </c>
      <c r="AU675" s="6">
        <f>(N675/100)*AU$41</f>
      </c>
      <c r="AV675" s="6">
        <f>(O675/1000000)*AV$41</f>
      </c>
      <c r="AW675" s="6">
        <f>(P675/100)*AW$41</f>
      </c>
      <c r="AX675" s="6">
        <f>(Q675/100)*AX$41</f>
      </c>
      <c r="AY675" s="6">
        <f>(R675/100)*AY$41</f>
      </c>
      <c r="AZ675" s="6">
        <f>(S675/100)*AZ$41</f>
      </c>
      <c r="BA675" s="6">
        <f>(T675/100)*BA$41</f>
      </c>
      <c r="BB675" s="6">
        <f>(U675/100)*BB$41</f>
      </c>
      <c r="BC675" s="6"/>
      <c r="BD675" s="3"/>
      <c r="BE675" s="3"/>
      <c r="BF675" s="7">
        <f>AF675*E675</f>
      </c>
      <c r="BG675" s="6"/>
      <c r="BH675" s="3"/>
      <c r="BI675" s="6"/>
    </row>
    <row x14ac:dyDescent="0.25" r="676" customHeight="1" ht="12.75">
      <c r="A676" s="5" t="s">
        <v>545</v>
      </c>
      <c r="B676" s="3" t="s">
        <v>855</v>
      </c>
      <c r="C676" s="43" t="s">
        <v>870</v>
      </c>
      <c r="D676" s="34"/>
      <c r="E676" s="23">
        <v>22.263781</v>
      </c>
      <c r="F676" s="6"/>
      <c r="G676" s="6">
        <v>1.33</v>
      </c>
      <c r="H676" s="7"/>
      <c r="I676" s="6">
        <v>1.1</v>
      </c>
      <c r="J676" s="6"/>
      <c r="K676" s="7"/>
      <c r="L676" s="6"/>
      <c r="M676" s="6"/>
      <c r="N676" s="23"/>
      <c r="O676" s="5"/>
      <c r="P676" s="6"/>
      <c r="Q676" s="6"/>
      <c r="R676" s="6"/>
      <c r="S676" s="6"/>
      <c r="T676" s="6"/>
      <c r="U676" s="6"/>
      <c r="V676" s="5"/>
      <c r="W676" s="6"/>
      <c r="X676" s="6">
        <f>E676*F676/100</f>
      </c>
      <c r="Y676" s="6">
        <f>E676*G676/100</f>
      </c>
      <c r="Z676" s="7">
        <f>E676*H676</f>
      </c>
      <c r="AA676" s="7">
        <f>E676*J676</f>
      </c>
      <c r="AB676" s="6">
        <f>E676*I676/100</f>
      </c>
      <c r="AC676" s="15">
        <f>X676+Y676+AB676</f>
      </c>
      <c r="AD676" s="6">
        <f>F676+G676+I676</f>
      </c>
      <c r="AE676" s="3"/>
      <c r="AF676" s="6">
        <f>SUM(AM676:BC676)</f>
      </c>
      <c r="AG676" s="5">
        <f>IF(SUM(AM676:AO676)&gt;0.7*AF676,1,0)</f>
      </c>
      <c r="AH676" s="5">
        <f>IF(AN676&gt;0.4*AF676,1,0)</f>
      </c>
      <c r="AI676" s="5">
        <f>IF(SUM(AP676:AQ676)&gt;0.3*AF676,1,0)</f>
      </c>
      <c r="AJ676" s="5">
        <f>IF(AQ676&gt;0.2*AF676,1,0)</f>
      </c>
      <c r="AK676" s="5">
        <f>IF(SUM(AR676:BC676)&gt;0.3*AF676,1,0)</f>
      </c>
      <c r="AL676" s="3"/>
      <c r="AM676" s="6">
        <f>(F676/100)*AM$41</f>
      </c>
      <c r="AN676" s="6">
        <f>(G676/100)*AN$41</f>
      </c>
      <c r="AO676" s="6">
        <f>(H676/1000000)*AO$41</f>
      </c>
      <c r="AP676" s="6">
        <f>(I676/100)*AP$41</f>
      </c>
      <c r="AQ676" s="6">
        <f>(J676/1000000)*AQ$41</f>
      </c>
      <c r="AR676" s="6">
        <f>(K676/100)*AR$41</f>
      </c>
      <c r="AS676" s="6">
        <f>(L676/100)*AS$41</f>
      </c>
      <c r="AT676" s="6">
        <f>(M676/100)*AT$41</f>
      </c>
      <c r="AU676" s="6">
        <f>(N676/100)*AU$41</f>
      </c>
      <c r="AV676" s="6">
        <f>(O676/1000000)*AV$41</f>
      </c>
      <c r="AW676" s="6">
        <f>(P676/100)*AW$41</f>
      </c>
      <c r="AX676" s="6">
        <f>(Q676/100)*AX$41</f>
      </c>
      <c r="AY676" s="6">
        <f>(R676/100)*AY$41</f>
      </c>
      <c r="AZ676" s="6">
        <f>(S676/100)*AZ$41</f>
      </c>
      <c r="BA676" s="6">
        <f>(T676/100)*BA$41</f>
      </c>
      <c r="BB676" s="6">
        <f>(U676/100)*BB$41</f>
      </c>
      <c r="BC676" s="6"/>
      <c r="BD676" s="3"/>
      <c r="BE676" s="3"/>
      <c r="BF676" s="7">
        <f>AF676*E676</f>
      </c>
      <c r="BG676" s="6"/>
      <c r="BH676" s="3"/>
      <c r="BI676" s="6"/>
    </row>
    <row x14ac:dyDescent="0.25" r="677" customHeight="1" ht="12.75">
      <c r="A677" s="5" t="s">
        <v>387</v>
      </c>
      <c r="B677" s="3" t="s">
        <v>855</v>
      </c>
      <c r="C677" s="43" t="s">
        <v>870</v>
      </c>
      <c r="D677" s="34"/>
      <c r="E677" s="23">
        <v>5.5245</v>
      </c>
      <c r="F677" s="6">
        <v>2.59</v>
      </c>
      <c r="G677" s="6">
        <v>6.11</v>
      </c>
      <c r="H677" s="6">
        <v>54.21</v>
      </c>
      <c r="I677" s="6">
        <v>0.4</v>
      </c>
      <c r="J677" s="6">
        <v>0.62</v>
      </c>
      <c r="K677" s="7"/>
      <c r="L677" s="6"/>
      <c r="M677" s="6"/>
      <c r="N677" s="23"/>
      <c r="O677" s="5"/>
      <c r="P677" s="6"/>
      <c r="Q677" s="6"/>
      <c r="R677" s="6"/>
      <c r="S677" s="6"/>
      <c r="T677" s="6"/>
      <c r="U677" s="6"/>
      <c r="V677" s="5"/>
      <c r="W677" s="6"/>
      <c r="X677" s="6">
        <f>E677*F677/100</f>
      </c>
      <c r="Y677" s="6">
        <f>E677*G677/100</f>
      </c>
      <c r="Z677" s="7">
        <f>E677*H677</f>
      </c>
      <c r="AA677" s="7">
        <f>E677*J677</f>
      </c>
      <c r="AB677" s="6">
        <f>E677*I677/100</f>
      </c>
      <c r="AC677" s="15">
        <f>X677+Y677+AB677</f>
      </c>
      <c r="AD677" s="6">
        <f>F677+G677+I677</f>
      </c>
      <c r="AE677" s="3"/>
      <c r="AF677" s="6">
        <f>SUM(AM677:BC677)</f>
      </c>
      <c r="AG677" s="5">
        <f>IF(SUM(AM677:AO677)&gt;0.7*AF677,1,0)</f>
      </c>
      <c r="AH677" s="5">
        <f>IF(AN677&gt;0.4*AF677,1,0)</f>
      </c>
      <c r="AI677" s="5">
        <f>IF(SUM(AP677:AQ677)&gt;0.3*AF677,1,0)</f>
      </c>
      <c r="AJ677" s="5">
        <f>IF(AQ677&gt;0.2*AF677,1,0)</f>
      </c>
      <c r="AK677" s="5">
        <f>IF(SUM(AR677:BC677)&gt;0.3*AF677,1,0)</f>
      </c>
      <c r="AL677" s="3"/>
      <c r="AM677" s="6">
        <f>(F677/100)*AM$41</f>
      </c>
      <c r="AN677" s="6">
        <f>(G677/100)*AN$41</f>
      </c>
      <c r="AO677" s="6">
        <f>(H677/1000000)*AO$41</f>
      </c>
      <c r="AP677" s="6">
        <f>(I677/100)*AP$41</f>
      </c>
      <c r="AQ677" s="6">
        <f>(J677/1000000)*AQ$41</f>
      </c>
      <c r="AR677" s="6">
        <f>(K677/100)*AR$41</f>
      </c>
      <c r="AS677" s="6">
        <f>(L677/100)*AS$41</f>
      </c>
      <c r="AT677" s="6">
        <f>(M677/100)*AT$41</f>
      </c>
      <c r="AU677" s="6">
        <f>(N677/100)*AU$41</f>
      </c>
      <c r="AV677" s="6">
        <f>(O677/1000000)*AV$41</f>
      </c>
      <c r="AW677" s="6">
        <f>(P677/100)*AW$41</f>
      </c>
      <c r="AX677" s="6">
        <f>(Q677/100)*AX$41</f>
      </c>
      <c r="AY677" s="6">
        <f>(R677/100)*AY$41</f>
      </c>
      <c r="AZ677" s="6">
        <f>(S677/100)*AZ$41</f>
      </c>
      <c r="BA677" s="6">
        <f>(T677/100)*BA$41</f>
      </c>
      <c r="BB677" s="6">
        <f>(U677/100)*BB$41</f>
      </c>
      <c r="BC677" s="6"/>
      <c r="BD677" s="3"/>
      <c r="BE677" s="3"/>
      <c r="BF677" s="7">
        <f>AF677*E677</f>
      </c>
      <c r="BG677" s="6"/>
      <c r="BH677" s="3"/>
      <c r="BI677" s="6"/>
    </row>
    <row x14ac:dyDescent="0.25" r="678" customHeight="1" ht="12.75">
      <c r="A678" s="5" t="s">
        <v>322</v>
      </c>
      <c r="B678" s="3" t="s">
        <v>855</v>
      </c>
      <c r="C678" s="43" t="s">
        <v>870</v>
      </c>
      <c r="D678" s="34"/>
      <c r="E678" s="6">
        <v>9.962</v>
      </c>
      <c r="F678" s="6">
        <v>0.23323830556113234</v>
      </c>
      <c r="G678" s="6">
        <v>2.7209777153182095</v>
      </c>
      <c r="H678" s="7">
        <v>50.78701465569163</v>
      </c>
      <c r="I678" s="6">
        <v>2.029945794017266</v>
      </c>
      <c r="J678" s="6">
        <v>2.6159064444890587</v>
      </c>
      <c r="K678" s="7"/>
      <c r="L678" s="6"/>
      <c r="M678" s="6"/>
      <c r="N678" s="23"/>
      <c r="O678" s="5"/>
      <c r="P678" s="6"/>
      <c r="Q678" s="6"/>
      <c r="R678" s="6"/>
      <c r="S678" s="6"/>
      <c r="T678" s="6"/>
      <c r="U678" s="6"/>
      <c r="V678" s="5"/>
      <c r="W678" s="6"/>
      <c r="X678" s="6">
        <f>E678*F678/100</f>
      </c>
      <c r="Y678" s="6">
        <f>E678*G678/100</f>
      </c>
      <c r="Z678" s="7">
        <f>E678*H678</f>
      </c>
      <c r="AA678" s="7">
        <f>E678*J678</f>
      </c>
      <c r="AB678" s="6">
        <f>E678*I678/100</f>
      </c>
      <c r="AC678" s="15">
        <f>X678+Y678+AB678</f>
      </c>
      <c r="AD678" s="6">
        <f>F678+G678+I678</f>
      </c>
      <c r="AE678" s="3"/>
      <c r="AF678" s="6">
        <f>SUM(AM678:BC678)</f>
      </c>
      <c r="AG678" s="5">
        <f>IF(SUM(AM678:AO678)&gt;0.7*AF678,1,0)</f>
      </c>
      <c r="AH678" s="5">
        <f>IF(AN678&gt;0.4*AF678,1,0)</f>
      </c>
      <c r="AI678" s="5">
        <f>IF(SUM(AP678:AQ678)&gt;0.3*AF678,1,0)</f>
      </c>
      <c r="AJ678" s="5">
        <f>IF(AQ678&gt;0.2*AF678,1,0)</f>
      </c>
      <c r="AK678" s="5">
        <f>IF(SUM(AR678:BC678)&gt;0.3*AF678,1,0)</f>
      </c>
      <c r="AL678" s="3"/>
      <c r="AM678" s="6">
        <f>(F678/100)*AM$41</f>
      </c>
      <c r="AN678" s="6">
        <f>(G678/100)*AN$41</f>
      </c>
      <c r="AO678" s="6">
        <f>(H678/1000000)*AO$41</f>
      </c>
      <c r="AP678" s="6">
        <f>(I678/100)*AP$41</f>
      </c>
      <c r="AQ678" s="6">
        <f>(J678/1000000)*AQ$41</f>
      </c>
      <c r="AR678" s="6">
        <f>(K678/100)*AR$41</f>
      </c>
      <c r="AS678" s="6">
        <f>(L678/100)*AS$41</f>
      </c>
      <c r="AT678" s="6">
        <f>(M678/100)*AT$41</f>
      </c>
      <c r="AU678" s="6">
        <f>(N678/100)*AU$41</f>
      </c>
      <c r="AV678" s="6">
        <f>(O678/1000000)*AV$41</f>
      </c>
      <c r="AW678" s="6">
        <f>(P678/100)*AW$41</f>
      </c>
      <c r="AX678" s="6">
        <f>(Q678/100)*AX$41</f>
      </c>
      <c r="AY678" s="6">
        <f>(R678/100)*AY$41</f>
      </c>
      <c r="AZ678" s="6">
        <f>(S678/100)*AZ$41</f>
      </c>
      <c r="BA678" s="6">
        <f>(T678/100)*BA$41</f>
      </c>
      <c r="BB678" s="6">
        <f>(U678/100)*BB$41</f>
      </c>
      <c r="BC678" s="6"/>
      <c r="BD678" s="3"/>
      <c r="BE678" s="3"/>
      <c r="BF678" s="7">
        <f>AF678*E678</f>
      </c>
      <c r="BG678" s="6"/>
      <c r="BH678" s="3"/>
      <c r="BI678" s="6"/>
    </row>
    <row x14ac:dyDescent="0.25" r="679" customHeight="1" ht="12.75">
      <c r="A679" s="5" t="s">
        <v>604</v>
      </c>
      <c r="B679" s="3" t="s">
        <v>855</v>
      </c>
      <c r="C679" s="43" t="s">
        <v>870</v>
      </c>
      <c r="D679" s="34"/>
      <c r="E679" s="6">
        <v>8.41</v>
      </c>
      <c r="F679" s="6">
        <v>2.7286325802615936</v>
      </c>
      <c r="G679" s="6">
        <v>2.631391200951249</v>
      </c>
      <c r="H679" s="7">
        <v>52.93298454221165</v>
      </c>
      <c r="I679" s="6">
        <v>0.34480380499405466</v>
      </c>
      <c r="J679" s="6">
        <v>0.8007847800237813</v>
      </c>
      <c r="K679" s="7"/>
      <c r="L679" s="6"/>
      <c r="M679" s="6"/>
      <c r="N679" s="23"/>
      <c r="O679" s="5"/>
      <c r="P679" s="6"/>
      <c r="Q679" s="6"/>
      <c r="R679" s="6"/>
      <c r="S679" s="6"/>
      <c r="T679" s="6"/>
      <c r="U679" s="6"/>
      <c r="V679" s="5"/>
      <c r="W679" s="6"/>
      <c r="X679" s="6">
        <f>E679*F679/100</f>
      </c>
      <c r="Y679" s="6">
        <f>E679*G679/100</f>
      </c>
      <c r="Z679" s="7">
        <f>E679*H679</f>
      </c>
      <c r="AA679" s="7">
        <f>E679*J679</f>
      </c>
      <c r="AB679" s="6">
        <f>E679*I679/100</f>
      </c>
      <c r="AC679" s="15">
        <f>X679+Y679+AB679</f>
      </c>
      <c r="AD679" s="6">
        <f>F679+G679+I679</f>
      </c>
      <c r="AE679" s="3"/>
      <c r="AF679" s="6">
        <f>SUM(AM679:BC679)</f>
      </c>
      <c r="AG679" s="5">
        <f>IF(SUM(AM679:AO679)&gt;0.7*AF679,1,0)</f>
      </c>
      <c r="AH679" s="5">
        <f>IF(AN679&gt;0.4*AF679,1,0)</f>
      </c>
      <c r="AI679" s="5">
        <f>IF(SUM(AP679:AQ679)&gt;0.3*AF679,1,0)</f>
      </c>
      <c r="AJ679" s="5">
        <f>IF(AQ679&gt;0.2*AF679,1,0)</f>
      </c>
      <c r="AK679" s="5">
        <f>IF(SUM(AR679:BC679)&gt;0.3*AF679,1,0)</f>
      </c>
      <c r="AL679" s="3"/>
      <c r="AM679" s="6">
        <f>(F679/100)*AM$41</f>
      </c>
      <c r="AN679" s="6">
        <f>(G679/100)*AN$41</f>
      </c>
      <c r="AO679" s="6">
        <f>(H679/1000000)*AO$41</f>
      </c>
      <c r="AP679" s="6">
        <f>(I679/100)*AP$41</f>
      </c>
      <c r="AQ679" s="6">
        <f>(J679/1000000)*AQ$41</f>
      </c>
      <c r="AR679" s="6">
        <f>(K679/100)*AR$41</f>
      </c>
      <c r="AS679" s="6">
        <f>(L679/100)*AS$41</f>
      </c>
      <c r="AT679" s="6">
        <f>(M679/100)*AT$41</f>
      </c>
      <c r="AU679" s="6">
        <f>(N679/100)*AU$41</f>
      </c>
      <c r="AV679" s="6">
        <f>(O679/1000000)*AV$41</f>
      </c>
      <c r="AW679" s="6">
        <f>(P679/100)*AW$41</f>
      </c>
      <c r="AX679" s="6">
        <f>(Q679/100)*AX$41</f>
      </c>
      <c r="AY679" s="6">
        <f>(R679/100)*AY$41</f>
      </c>
      <c r="AZ679" s="6">
        <f>(S679/100)*AZ$41</f>
      </c>
      <c r="BA679" s="6">
        <f>(T679/100)*BA$41</f>
      </c>
      <c r="BB679" s="6">
        <f>(U679/100)*BB$41</f>
      </c>
      <c r="BC679" s="6"/>
      <c r="BD679" s="3"/>
      <c r="BE679" s="3"/>
      <c r="BF679" s="7">
        <f>AF679*E679</f>
      </c>
      <c r="BG679" s="6"/>
      <c r="BH679" s="3"/>
      <c r="BI679" s="6"/>
    </row>
    <row x14ac:dyDescent="0.25" r="680" customHeight="1" ht="12.75">
      <c r="A680" s="5" t="s">
        <v>270</v>
      </c>
      <c r="B680" s="3" t="s">
        <v>855</v>
      </c>
      <c r="C680" s="43" t="s">
        <v>870</v>
      </c>
      <c r="D680" s="34"/>
      <c r="E680" s="23">
        <v>4.1713</v>
      </c>
      <c r="F680" s="6">
        <v>2.2525783328938225</v>
      </c>
      <c r="G680" s="6">
        <v>7.927348788147582</v>
      </c>
      <c r="H680" s="7">
        <v>41.364083139548825</v>
      </c>
      <c r="I680" s="6">
        <v>0.9349075827679622</v>
      </c>
      <c r="J680" s="6">
        <v>0.5655742813990843</v>
      </c>
      <c r="K680" s="7"/>
      <c r="L680" s="6"/>
      <c r="M680" s="6"/>
      <c r="N680" s="23"/>
      <c r="O680" s="5"/>
      <c r="P680" s="6"/>
      <c r="Q680" s="6"/>
      <c r="R680" s="6"/>
      <c r="S680" s="6"/>
      <c r="T680" s="6"/>
      <c r="U680" s="6"/>
      <c r="V680" s="5"/>
      <c r="W680" s="6"/>
      <c r="X680" s="6">
        <f>E680*F680/100</f>
      </c>
      <c r="Y680" s="6">
        <f>E680*G680/100</f>
      </c>
      <c r="Z680" s="7">
        <f>E680*H680</f>
      </c>
      <c r="AA680" s="7">
        <f>E680*J680</f>
      </c>
      <c r="AB680" s="6">
        <f>E680*I680/100</f>
      </c>
      <c r="AC680" s="15">
        <f>X680+Y680+AB680</f>
      </c>
      <c r="AD680" s="6">
        <f>F680+G680+I680</f>
      </c>
      <c r="AE680" s="3"/>
      <c r="AF680" s="6">
        <f>SUM(AM680:BC680)</f>
      </c>
      <c r="AG680" s="5">
        <f>IF(SUM(AM680:AO680)&gt;0.7*AF680,1,0)</f>
      </c>
      <c r="AH680" s="5">
        <f>IF(AN680&gt;0.4*AF680,1,0)</f>
      </c>
      <c r="AI680" s="5">
        <f>IF(SUM(AP680:AQ680)&gt;0.3*AF680,1,0)</f>
      </c>
      <c r="AJ680" s="5">
        <f>IF(AQ680&gt;0.2*AF680,1,0)</f>
      </c>
      <c r="AK680" s="5">
        <f>IF(SUM(AR680:BC680)&gt;0.3*AF680,1,0)</f>
      </c>
      <c r="AL680" s="3"/>
      <c r="AM680" s="6">
        <f>(F680/100)*AM$41</f>
      </c>
      <c r="AN680" s="6">
        <f>(G680/100)*AN$41</f>
      </c>
      <c r="AO680" s="6">
        <f>(H680/1000000)*AO$41</f>
      </c>
      <c r="AP680" s="6">
        <f>(I680/100)*AP$41</f>
      </c>
      <c r="AQ680" s="6">
        <f>(J680/1000000)*AQ$41</f>
      </c>
      <c r="AR680" s="6">
        <f>(K680/100)*AR$41</f>
      </c>
      <c r="AS680" s="6">
        <f>(L680/100)*AS$41</f>
      </c>
      <c r="AT680" s="6">
        <f>(M680/100)*AT$41</f>
      </c>
      <c r="AU680" s="6">
        <f>(N680/100)*AU$41</f>
      </c>
      <c r="AV680" s="6">
        <f>(O680/1000000)*AV$41</f>
      </c>
      <c r="AW680" s="6">
        <f>(P680/100)*AW$41</f>
      </c>
      <c r="AX680" s="6">
        <f>(Q680/100)*AX$41</f>
      </c>
      <c r="AY680" s="6">
        <f>(R680/100)*AY$41</f>
      </c>
      <c r="AZ680" s="6">
        <f>(S680/100)*AZ$41</f>
      </c>
      <c r="BA680" s="6">
        <f>(T680/100)*BA$41</f>
      </c>
      <c r="BB680" s="6">
        <f>(U680/100)*BB$41</f>
      </c>
      <c r="BC680" s="6"/>
      <c r="BD680" s="3"/>
      <c r="BE680" s="3"/>
      <c r="BF680" s="7">
        <f>AF680*E680</f>
      </c>
      <c r="BG680" s="6"/>
      <c r="BH680" s="3"/>
      <c r="BI680" s="6"/>
    </row>
    <row x14ac:dyDescent="0.25" r="681" customHeight="1" ht="12.75">
      <c r="A681" s="5" t="s">
        <v>601</v>
      </c>
      <c r="B681" s="3" t="s">
        <v>855</v>
      </c>
      <c r="C681" s="43" t="s">
        <v>870</v>
      </c>
      <c r="D681" s="34"/>
      <c r="E681" s="23">
        <v>6.890320000000001</v>
      </c>
      <c r="F681" s="6">
        <v>0.997473557106201</v>
      </c>
      <c r="G681" s="6">
        <v>4.53696751384551</v>
      </c>
      <c r="H681" s="7">
        <v>25.848259587363138</v>
      </c>
      <c r="I681" s="6">
        <v>0.9306557605452286</v>
      </c>
      <c r="J681" s="6">
        <v>0.03519720419370943</v>
      </c>
      <c r="K681" s="7"/>
      <c r="L681" s="6"/>
      <c r="M681" s="6"/>
      <c r="N681" s="23"/>
      <c r="O681" s="5"/>
      <c r="P681" s="6"/>
      <c r="Q681" s="6"/>
      <c r="R681" s="6"/>
      <c r="S681" s="6"/>
      <c r="T681" s="6"/>
      <c r="U681" s="6"/>
      <c r="V681" s="23">
        <v>0.010254599641235821</v>
      </c>
      <c r="W681" s="6" t="s">
        <v>932</v>
      </c>
      <c r="X681" s="6">
        <f>E681*F681/100</f>
      </c>
      <c r="Y681" s="6">
        <f>E681*G681/100</f>
      </c>
      <c r="Z681" s="7">
        <f>E681*H681</f>
      </c>
      <c r="AA681" s="7">
        <f>E681*J681</f>
      </c>
      <c r="AB681" s="6">
        <f>E681*I681/100</f>
      </c>
      <c r="AC681" s="15">
        <f>X681+Y681+AB681</f>
      </c>
      <c r="AD681" s="6">
        <f>F681+G681+I681</f>
      </c>
      <c r="AE681" s="3"/>
      <c r="AF681" s="6">
        <f>SUM(AM681:BC681)</f>
      </c>
      <c r="AG681" s="5">
        <f>IF(SUM(AM681:AO681)&gt;0.7*AF681,1,0)</f>
      </c>
      <c r="AH681" s="5">
        <f>IF(AN681&gt;0.4*AF681,1,0)</f>
      </c>
      <c r="AI681" s="5">
        <f>IF(SUM(AP681:AQ681)&gt;0.3*AF681,1,0)</f>
      </c>
      <c r="AJ681" s="5">
        <f>IF(AQ681&gt;0.2*AF681,1,0)</f>
      </c>
      <c r="AK681" s="5">
        <f>IF(SUM(AR681:BC681)&gt;0.3*AF681,1,0)</f>
      </c>
      <c r="AL681" s="3"/>
      <c r="AM681" s="6">
        <f>(F681/100)*AM$41</f>
      </c>
      <c r="AN681" s="6">
        <f>(G681/100)*AN$41</f>
      </c>
      <c r="AO681" s="6">
        <f>(H681/1000000)*AO$41</f>
      </c>
      <c r="AP681" s="6">
        <f>(I681/100)*AP$41</f>
      </c>
      <c r="AQ681" s="6">
        <f>(J681/1000000)*AQ$41</f>
      </c>
      <c r="AR681" s="6">
        <f>(K681/100)*AR$41</f>
      </c>
      <c r="AS681" s="6">
        <f>(L681/100)*AS$41</f>
      </c>
      <c r="AT681" s="6">
        <f>(M681/100)*AT$41</f>
      </c>
      <c r="AU681" s="6">
        <f>(N681/100)*AU$41</f>
      </c>
      <c r="AV681" s="6">
        <f>(O681/1000000)*AV$41</f>
      </c>
      <c r="AW681" s="6">
        <f>(P681/100)*AW$41</f>
      </c>
      <c r="AX681" s="6">
        <f>(Q681/100)*AX$41</f>
      </c>
      <c r="AY681" s="6">
        <f>(R681/100)*AY$41</f>
      </c>
      <c r="AZ681" s="6">
        <f>(S681/100)*AZ$41</f>
      </c>
      <c r="BA681" s="6">
        <f>(T681/100)*BA$41</f>
      </c>
      <c r="BB681" s="6">
        <f>(U681/100)*BB$41</f>
      </c>
      <c r="BC681" s="6">
        <f>(V681/100)*1940</f>
      </c>
      <c r="BD681" s="3" t="s">
        <v>933</v>
      </c>
      <c r="BE681" s="3"/>
      <c r="BF681" s="7">
        <f>AF681*E681</f>
      </c>
      <c r="BG681" s="6"/>
      <c r="BH681" s="3"/>
      <c r="BI681" s="6"/>
    </row>
    <row x14ac:dyDescent="0.25" r="682" customHeight="1" ht="12.75">
      <c r="A682" s="5" t="s">
        <v>208</v>
      </c>
      <c r="B682" s="3" t="s">
        <v>855</v>
      </c>
      <c r="C682" s="43" t="s">
        <v>870</v>
      </c>
      <c r="D682" s="34"/>
      <c r="E682" s="6">
        <v>38.905</v>
      </c>
      <c r="F682" s="6">
        <v>0.05573705179282868</v>
      </c>
      <c r="G682" s="6">
        <v>0.7385690785246113</v>
      </c>
      <c r="H682" s="7">
        <v>19.678379899755818</v>
      </c>
      <c r="I682" s="6">
        <v>0.24549261020434393</v>
      </c>
      <c r="J682" s="6">
        <v>4.580052435419612</v>
      </c>
      <c r="K682" s="7"/>
      <c r="L682" s="6"/>
      <c r="M682" s="6"/>
      <c r="N682" s="23"/>
      <c r="O682" s="5"/>
      <c r="P682" s="6"/>
      <c r="Q682" s="6"/>
      <c r="R682" s="6"/>
      <c r="S682" s="6"/>
      <c r="T682" s="6"/>
      <c r="U682" s="6"/>
      <c r="V682" s="5"/>
      <c r="W682" s="6"/>
      <c r="X682" s="6">
        <f>E682*F682/100</f>
      </c>
      <c r="Y682" s="6">
        <f>E682*G682/100</f>
      </c>
      <c r="Z682" s="7">
        <f>E682*H682</f>
      </c>
      <c r="AA682" s="7">
        <f>E682*J682</f>
      </c>
      <c r="AB682" s="6">
        <f>E682*I682/100</f>
      </c>
      <c r="AC682" s="15">
        <f>X682+Y682+AB682</f>
      </c>
      <c r="AD682" s="6">
        <f>F682+G682+I682</f>
      </c>
      <c r="AE682" s="3"/>
      <c r="AF682" s="6">
        <f>SUM(AM682:BC682)</f>
      </c>
      <c r="AG682" s="5">
        <f>IF(SUM(AM682:AO682)&gt;0.7*AF682,1,0)</f>
      </c>
      <c r="AH682" s="5">
        <f>IF(AN682&gt;0.4*AF682,1,0)</f>
      </c>
      <c r="AI682" s="5">
        <f>IF(SUM(AP682:AQ682)&gt;0.3*AF682,1,0)</f>
      </c>
      <c r="AJ682" s="5">
        <f>IF(AQ682&gt;0.2*AF682,1,0)</f>
      </c>
      <c r="AK682" s="5">
        <f>IF(SUM(AR682:BC682)&gt;0.3*AF682,1,0)</f>
      </c>
      <c r="AL682" s="3"/>
      <c r="AM682" s="6">
        <f>(F682/100)*AM$41</f>
      </c>
      <c r="AN682" s="6">
        <f>(G682/100)*AN$41</f>
      </c>
      <c r="AO682" s="6">
        <f>(H682/1000000)*AO$41</f>
      </c>
      <c r="AP682" s="6">
        <f>(I682/100)*AP$41</f>
      </c>
      <c r="AQ682" s="6">
        <f>(J682/1000000)*AQ$41</f>
      </c>
      <c r="AR682" s="6">
        <f>(K682/100)*AR$41</f>
      </c>
      <c r="AS682" s="6">
        <f>(L682/100)*AS$41</f>
      </c>
      <c r="AT682" s="6">
        <f>(M682/100)*AT$41</f>
      </c>
      <c r="AU682" s="6">
        <f>(N682/100)*AU$41</f>
      </c>
      <c r="AV682" s="6">
        <f>(O682/1000000)*AV$41</f>
      </c>
      <c r="AW682" s="6">
        <f>(P682/100)*AW$41</f>
      </c>
      <c r="AX682" s="6">
        <f>(Q682/100)*AX$41</f>
      </c>
      <c r="AY682" s="6">
        <f>(R682/100)*AY$41</f>
      </c>
      <c r="AZ682" s="6">
        <f>(S682/100)*AZ$41</f>
      </c>
      <c r="BA682" s="6">
        <f>(T682/100)*BA$41</f>
      </c>
      <c r="BB682" s="6">
        <f>(U682/100)*BB$41</f>
      </c>
      <c r="BC682" s="6"/>
      <c r="BD682" s="3"/>
      <c r="BE682" s="3"/>
      <c r="BF682" s="7">
        <f>AF682*E682</f>
      </c>
      <c r="BG682" s="6"/>
      <c r="BH682" s="3"/>
      <c r="BI682" s="6"/>
    </row>
    <row x14ac:dyDescent="0.25" r="683" customHeight="1" ht="12.75">
      <c r="A683" s="5" t="s">
        <v>573</v>
      </c>
      <c r="B683" s="3" t="s">
        <v>855</v>
      </c>
      <c r="C683" s="43" t="s">
        <v>870</v>
      </c>
      <c r="D683" s="34"/>
      <c r="E683" s="6">
        <v>19.367</v>
      </c>
      <c r="F683" s="6">
        <v>0.02</v>
      </c>
      <c r="G683" s="6">
        <v>1.63</v>
      </c>
      <c r="H683" s="6">
        <v>15.42</v>
      </c>
      <c r="I683" s="6">
        <v>0.37</v>
      </c>
      <c r="J683" s="6">
        <v>0.95</v>
      </c>
      <c r="K683" s="7"/>
      <c r="L683" s="6"/>
      <c r="M683" s="6"/>
      <c r="N683" s="23"/>
      <c r="O683" s="5"/>
      <c r="P683" s="6"/>
      <c r="Q683" s="6"/>
      <c r="R683" s="6"/>
      <c r="S683" s="6"/>
      <c r="T683" s="6"/>
      <c r="U683" s="6"/>
      <c r="V683" s="5"/>
      <c r="W683" s="6"/>
      <c r="X683" s="6">
        <f>E683*F683/100</f>
      </c>
      <c r="Y683" s="6">
        <f>E683*G683/100</f>
      </c>
      <c r="Z683" s="7">
        <f>E683*H683</f>
      </c>
      <c r="AA683" s="7">
        <f>E683*J683</f>
      </c>
      <c r="AB683" s="6">
        <f>E683*I683/100</f>
      </c>
      <c r="AC683" s="15">
        <f>X683+Y683+AB683</f>
      </c>
      <c r="AD683" s="6">
        <f>F683+G683+I683</f>
      </c>
      <c r="AE683" s="3"/>
      <c r="AF683" s="6">
        <f>SUM(AM683:BC683)</f>
      </c>
      <c r="AG683" s="5">
        <f>IF(SUM(AM683:AO683)&gt;0.7*AF683,1,0)</f>
      </c>
      <c r="AH683" s="5">
        <f>IF(AN683&gt;0.4*AF683,1,0)</f>
      </c>
      <c r="AI683" s="5">
        <f>IF(SUM(AP683:AQ683)&gt;0.3*AF683,1,0)</f>
      </c>
      <c r="AJ683" s="5">
        <f>IF(AQ683&gt;0.2*AF683,1,0)</f>
      </c>
      <c r="AK683" s="5">
        <f>IF(SUM(AR683:BC683)&gt;0.3*AF683,1,0)</f>
      </c>
      <c r="AL683" s="3"/>
      <c r="AM683" s="6">
        <f>(F683/100)*AM$41</f>
      </c>
      <c r="AN683" s="6">
        <f>(G683/100)*AN$41</f>
      </c>
      <c r="AO683" s="6">
        <f>(H683/1000000)*AO$41</f>
      </c>
      <c r="AP683" s="6">
        <f>(I683/100)*AP$41</f>
      </c>
      <c r="AQ683" s="6">
        <f>(J683/1000000)*AQ$41</f>
      </c>
      <c r="AR683" s="6">
        <f>(K683/100)*AR$41</f>
      </c>
      <c r="AS683" s="6">
        <f>(L683/100)*AS$41</f>
      </c>
      <c r="AT683" s="6">
        <f>(M683/100)*AT$41</f>
      </c>
      <c r="AU683" s="6">
        <f>(N683/100)*AU$41</f>
      </c>
      <c r="AV683" s="6">
        <f>(O683/1000000)*AV$41</f>
      </c>
      <c r="AW683" s="6">
        <f>(P683/100)*AW$41</f>
      </c>
      <c r="AX683" s="6">
        <f>(Q683/100)*AX$41</f>
      </c>
      <c r="AY683" s="6">
        <f>(R683/100)*AY$41</f>
      </c>
      <c r="AZ683" s="6">
        <f>(S683/100)*AZ$41</f>
      </c>
      <c r="BA683" s="6">
        <f>(T683/100)*BA$41</f>
      </c>
      <c r="BB683" s="6">
        <f>(U683/100)*BB$41</f>
      </c>
      <c r="BC683" s="6"/>
      <c r="BD683" s="3"/>
      <c r="BE683" s="3"/>
      <c r="BF683" s="7">
        <f>AF683*E683</f>
      </c>
      <c r="BG683" s="6"/>
      <c r="BH683" s="3"/>
      <c r="BI683" s="6"/>
    </row>
    <row x14ac:dyDescent="0.25" r="684" customHeight="1" ht="12.75">
      <c r="A684" s="5" t="s">
        <v>592</v>
      </c>
      <c r="B684" s="3" t="s">
        <v>855</v>
      </c>
      <c r="C684" s="43" t="s">
        <v>870</v>
      </c>
      <c r="D684" s="34"/>
      <c r="E684" s="23">
        <v>22.4128</v>
      </c>
      <c r="F684" s="6"/>
      <c r="G684" s="6">
        <v>0.951100085665334</v>
      </c>
      <c r="H684" s="6">
        <v>6.246560893774985</v>
      </c>
      <c r="I684" s="6">
        <v>0.7297026699029127</v>
      </c>
      <c r="J684" s="6">
        <v>0.306313178183895</v>
      </c>
      <c r="K684" s="7"/>
      <c r="L684" s="6"/>
      <c r="M684" s="6"/>
      <c r="N684" s="23"/>
      <c r="O684" s="5"/>
      <c r="P684" s="6"/>
      <c r="Q684" s="6"/>
      <c r="R684" s="6"/>
      <c r="S684" s="6"/>
      <c r="T684" s="6"/>
      <c r="U684" s="6"/>
      <c r="V684" s="5"/>
      <c r="W684" s="6"/>
      <c r="X684" s="6">
        <f>E684*F684/100</f>
      </c>
      <c r="Y684" s="6">
        <f>E684*G684/100</f>
      </c>
      <c r="Z684" s="7">
        <f>E684*H684</f>
      </c>
      <c r="AA684" s="7">
        <f>E684*J684</f>
      </c>
      <c r="AB684" s="6">
        <f>E684*I684/100</f>
      </c>
      <c r="AC684" s="15">
        <f>X684+Y684+AB684</f>
      </c>
      <c r="AD684" s="6">
        <f>F684+G684+I684</f>
      </c>
      <c r="AE684" s="3"/>
      <c r="AF684" s="6">
        <f>SUM(AM684:BC684)</f>
      </c>
      <c r="AG684" s="5">
        <f>IF(SUM(AM684:AO684)&gt;0.7*AF684,1,0)</f>
      </c>
      <c r="AH684" s="5">
        <f>IF(AN684&gt;0.4*AF684,1,0)</f>
      </c>
      <c r="AI684" s="5">
        <f>IF(SUM(AP684:AQ684)&gt;0.3*AF684,1,0)</f>
      </c>
      <c r="AJ684" s="5">
        <f>IF(AQ684&gt;0.2*AF684,1,0)</f>
      </c>
      <c r="AK684" s="5">
        <f>IF(SUM(AR684:BC684)&gt;0.3*AF684,1,0)</f>
      </c>
      <c r="AL684" s="3"/>
      <c r="AM684" s="6">
        <f>(F684/100)*AM$41</f>
      </c>
      <c r="AN684" s="6">
        <f>(G684/100)*AN$41</f>
      </c>
      <c r="AO684" s="6">
        <f>(H684/1000000)*AO$41</f>
      </c>
      <c r="AP684" s="6">
        <f>(I684/100)*AP$41</f>
      </c>
      <c r="AQ684" s="6">
        <f>(J684/1000000)*AQ$41</f>
      </c>
      <c r="AR684" s="6">
        <f>(K684/100)*AR$41</f>
      </c>
      <c r="AS684" s="6">
        <f>(L684/100)*AS$41</f>
      </c>
      <c r="AT684" s="6">
        <f>(M684/100)*AT$41</f>
      </c>
      <c r="AU684" s="6">
        <f>(N684/100)*AU$41</f>
      </c>
      <c r="AV684" s="6">
        <f>(O684/1000000)*AV$41</f>
      </c>
      <c r="AW684" s="6">
        <f>(P684/100)*AW$41</f>
      </c>
      <c r="AX684" s="6">
        <f>(Q684/100)*AX$41</f>
      </c>
      <c r="AY684" s="6">
        <f>(R684/100)*AY$41</f>
      </c>
      <c r="AZ684" s="6">
        <f>(S684/100)*AZ$41</f>
      </c>
      <c r="BA684" s="6">
        <f>(T684/100)*BA$41</f>
      </c>
      <c r="BB684" s="6">
        <f>(U684/100)*BB$41</f>
      </c>
      <c r="BC684" s="6"/>
      <c r="BD684" s="3"/>
      <c r="BE684" s="3"/>
      <c r="BF684" s="7">
        <f>AF684*E684</f>
      </c>
      <c r="BG684" s="6"/>
      <c r="BH684" s="3"/>
      <c r="BI684" s="6"/>
    </row>
    <row x14ac:dyDescent="0.25" r="685" customHeight="1" ht="12.75">
      <c r="A685" s="5" t="s">
        <v>553</v>
      </c>
      <c r="B685" s="3" t="s">
        <v>855</v>
      </c>
      <c r="C685" s="43" t="s">
        <v>870</v>
      </c>
      <c r="D685" s="34"/>
      <c r="E685" s="6">
        <v>5.570208000000001</v>
      </c>
      <c r="F685" s="6">
        <v>0.3260586319218241</v>
      </c>
      <c r="G685" s="6">
        <v>5.604592833876221</v>
      </c>
      <c r="H685" s="7">
        <v>50.10653821185851</v>
      </c>
      <c r="I685" s="6">
        <v>0.5129641693811076</v>
      </c>
      <c r="J685" s="7">
        <v>1.371252204585538</v>
      </c>
      <c r="K685" s="7"/>
      <c r="L685" s="6"/>
      <c r="M685" s="6"/>
      <c r="N685" s="23"/>
      <c r="O685" s="5"/>
      <c r="P685" s="6"/>
      <c r="Q685" s="6"/>
      <c r="R685" s="6"/>
      <c r="S685" s="6"/>
      <c r="T685" s="6"/>
      <c r="U685" s="6"/>
      <c r="V685" s="5"/>
      <c r="W685" s="6"/>
      <c r="X685" s="6">
        <f>E685*F685/100</f>
      </c>
      <c r="Y685" s="6">
        <f>E685*G685/100</f>
      </c>
      <c r="Z685" s="7">
        <f>E685*H685</f>
      </c>
      <c r="AA685" s="7">
        <f>E685*J685</f>
      </c>
      <c r="AB685" s="6">
        <f>E685*I685/100</f>
      </c>
      <c r="AC685" s="15">
        <f>X685+Y685+AB685</f>
      </c>
      <c r="AD685" s="6">
        <f>F685+G685+I685</f>
      </c>
      <c r="AE685" s="3"/>
      <c r="AF685" s="6">
        <f>SUM(AM685:BC685)</f>
      </c>
      <c r="AG685" s="5">
        <f>IF(SUM(AM685:AO685)&gt;0.7*AF685,1,0)</f>
      </c>
      <c r="AH685" s="5">
        <f>IF(AN685&gt;0.4*AF685,1,0)</f>
      </c>
      <c r="AI685" s="5">
        <f>IF(SUM(AP685:AQ685)&gt;0.3*AF685,1,0)</f>
      </c>
      <c r="AJ685" s="5">
        <f>IF(AQ685&gt;0.2*AF685,1,0)</f>
      </c>
      <c r="AK685" s="5">
        <f>IF(SUM(AR685:BC685)&gt;0.3*AF685,1,0)</f>
      </c>
      <c r="AL685" s="3"/>
      <c r="AM685" s="6">
        <f>(F685/100)*AM$41</f>
      </c>
      <c r="AN685" s="6">
        <f>(G685/100)*AN$41</f>
      </c>
      <c r="AO685" s="6">
        <f>(H685/1000000)*AO$41</f>
      </c>
      <c r="AP685" s="6">
        <f>(I685/100)*AP$41</f>
      </c>
      <c r="AQ685" s="6">
        <f>(J685/1000000)*AQ$41</f>
      </c>
      <c r="AR685" s="6">
        <f>(K685/100)*AR$41</f>
      </c>
      <c r="AS685" s="6">
        <f>(L685/100)*AS$41</f>
      </c>
      <c r="AT685" s="6">
        <f>(M685/100)*AT$41</f>
      </c>
      <c r="AU685" s="6">
        <f>(N685/100)*AU$41</f>
      </c>
      <c r="AV685" s="6">
        <f>(O685/1000000)*AV$41</f>
      </c>
      <c r="AW685" s="6">
        <f>(P685/100)*AW$41</f>
      </c>
      <c r="AX685" s="6">
        <f>(Q685/100)*AX$41</f>
      </c>
      <c r="AY685" s="6">
        <f>(R685/100)*AY$41</f>
      </c>
      <c r="AZ685" s="6">
        <f>(S685/100)*AZ$41</f>
      </c>
      <c r="BA685" s="6">
        <f>(T685/100)*BA$41</f>
      </c>
      <c r="BB685" s="6">
        <f>(U685/100)*BB$41</f>
      </c>
      <c r="BC685" s="6"/>
      <c r="BD685" s="3"/>
      <c r="BE685" s="3"/>
      <c r="BF685" s="7">
        <f>AF685*E685</f>
      </c>
      <c r="BG685" s="6"/>
      <c r="BH685" s="3"/>
      <c r="BI685" s="6"/>
    </row>
    <row x14ac:dyDescent="0.25" r="686" customHeight="1" ht="12.75">
      <c r="A686" s="5" t="s">
        <v>664</v>
      </c>
      <c r="B686" s="3" t="s">
        <v>855</v>
      </c>
      <c r="C686" s="43" t="s">
        <v>870</v>
      </c>
      <c r="D686" s="34"/>
      <c r="E686" s="6">
        <v>21.540000000000003</v>
      </c>
      <c r="F686" s="6"/>
      <c r="G686" s="6">
        <v>1.6048467966573812</v>
      </c>
      <c r="H686" s="7">
        <v>25.715598885793874</v>
      </c>
      <c r="I686" s="6"/>
      <c r="J686" s="6"/>
      <c r="K686" s="7"/>
      <c r="L686" s="6"/>
      <c r="M686" s="6"/>
      <c r="N686" s="23"/>
      <c r="O686" s="5"/>
      <c r="P686" s="6"/>
      <c r="Q686" s="6"/>
      <c r="R686" s="6"/>
      <c r="S686" s="6"/>
      <c r="T686" s="6"/>
      <c r="U686" s="6"/>
      <c r="V686" s="5"/>
      <c r="W686" s="6"/>
      <c r="X686" s="6">
        <f>E686*F686/100</f>
      </c>
      <c r="Y686" s="6">
        <f>E686*G686/100</f>
      </c>
      <c r="Z686" s="7">
        <f>E686*H686</f>
      </c>
      <c r="AA686" s="7">
        <f>E686*J686</f>
      </c>
      <c r="AB686" s="6">
        <f>E686*I686/100</f>
      </c>
      <c r="AC686" s="15">
        <f>X686+Y686+AB686</f>
      </c>
      <c r="AD686" s="6">
        <f>F686+G686+I686</f>
      </c>
      <c r="AE686" s="3"/>
      <c r="AF686" s="6">
        <f>SUM(AM686:BC686)</f>
      </c>
      <c r="AG686" s="5">
        <f>IF(SUM(AM686:AO686)&gt;0.7*AF686,1,0)</f>
      </c>
      <c r="AH686" s="5">
        <f>IF(AN686&gt;0.4*AF686,1,0)</f>
      </c>
      <c r="AI686" s="5">
        <f>IF(SUM(AP686:AQ686)&gt;0.3*AF686,1,0)</f>
      </c>
      <c r="AJ686" s="5">
        <f>IF(AQ686&gt;0.2*AF686,1,0)</f>
      </c>
      <c r="AK686" s="5">
        <f>IF(SUM(AR686:BC686)&gt;0.3*AF686,1,0)</f>
      </c>
      <c r="AL686" s="3"/>
      <c r="AM686" s="6">
        <f>(F686/100)*AM$41</f>
      </c>
      <c r="AN686" s="6">
        <f>(G686/100)*AN$41</f>
      </c>
      <c r="AO686" s="6">
        <f>(H686/1000000)*AO$41</f>
      </c>
      <c r="AP686" s="6">
        <f>(I686/100)*AP$41</f>
      </c>
      <c r="AQ686" s="6">
        <f>(J686/1000000)*AQ$41</f>
      </c>
      <c r="AR686" s="6">
        <f>(K686/100)*AR$41</f>
      </c>
      <c r="AS686" s="6">
        <f>(L686/100)*AS$41</f>
      </c>
      <c r="AT686" s="6">
        <f>(M686/100)*AT$41</f>
      </c>
      <c r="AU686" s="6">
        <f>(N686/100)*AU$41</f>
      </c>
      <c r="AV686" s="6">
        <f>(O686/1000000)*AV$41</f>
      </c>
      <c r="AW686" s="6">
        <f>(P686/100)*AW$41</f>
      </c>
      <c r="AX686" s="6">
        <f>(Q686/100)*AX$41</f>
      </c>
      <c r="AY686" s="6">
        <f>(R686/100)*AY$41</f>
      </c>
      <c r="AZ686" s="6">
        <f>(S686/100)*AZ$41</f>
      </c>
      <c r="BA686" s="6">
        <f>(T686/100)*BA$41</f>
      </c>
      <c r="BB686" s="6">
        <f>(U686/100)*BB$41</f>
      </c>
      <c r="BC686" s="6"/>
      <c r="BD686" s="3"/>
      <c r="BE686" s="3"/>
      <c r="BF686" s="7">
        <f>AF686*E686</f>
      </c>
      <c r="BG686" s="6"/>
      <c r="BH686" s="3"/>
      <c r="BI686" s="6"/>
    </row>
    <row x14ac:dyDescent="0.25" r="687" customHeight="1" ht="12.75">
      <c r="A687" s="5" t="s">
        <v>506</v>
      </c>
      <c r="B687" s="3" t="s">
        <v>855</v>
      </c>
      <c r="C687" s="43" t="s">
        <v>870</v>
      </c>
      <c r="D687" s="34"/>
      <c r="E687" s="6">
        <v>4.45</v>
      </c>
      <c r="F687" s="6">
        <v>0.16314606741573034</v>
      </c>
      <c r="G687" s="6">
        <v>6.753202247191011</v>
      </c>
      <c r="H687" s="7">
        <v>20.09831460674157</v>
      </c>
      <c r="I687" s="6">
        <v>0.6295505617977528</v>
      </c>
      <c r="J687" s="6">
        <v>0.11657303370786518</v>
      </c>
      <c r="K687" s="7"/>
      <c r="L687" s="6"/>
      <c r="M687" s="6"/>
      <c r="N687" s="23"/>
      <c r="O687" s="5"/>
      <c r="P687" s="6"/>
      <c r="Q687" s="6"/>
      <c r="R687" s="6"/>
      <c r="S687" s="6"/>
      <c r="T687" s="6"/>
      <c r="U687" s="6"/>
      <c r="V687" s="5"/>
      <c r="W687" s="6"/>
      <c r="X687" s="6">
        <f>E687*F687/100</f>
      </c>
      <c r="Y687" s="6">
        <f>E687*G687/100</f>
      </c>
      <c r="Z687" s="7">
        <f>E687*H687</f>
      </c>
      <c r="AA687" s="7">
        <f>E687*J687</f>
      </c>
      <c r="AB687" s="6">
        <f>E687*I687/100</f>
      </c>
      <c r="AC687" s="15">
        <f>X687+Y687+AB687</f>
      </c>
      <c r="AD687" s="6">
        <f>F687+G687+I687</f>
      </c>
      <c r="AE687" s="3"/>
      <c r="AF687" s="6">
        <f>SUM(AM687:BC687)</f>
      </c>
      <c r="AG687" s="5">
        <f>IF(SUM(AM687:AO687)&gt;0.7*AF687,1,0)</f>
      </c>
      <c r="AH687" s="5">
        <f>IF(AN687&gt;0.4*AF687,1,0)</f>
      </c>
      <c r="AI687" s="5">
        <f>IF(SUM(AP687:AQ687)&gt;0.3*AF687,1,0)</f>
      </c>
      <c r="AJ687" s="5">
        <f>IF(AQ687&gt;0.2*AF687,1,0)</f>
      </c>
      <c r="AK687" s="5">
        <f>IF(SUM(AR687:BC687)&gt;0.3*AF687,1,0)</f>
      </c>
      <c r="AL687" s="3"/>
      <c r="AM687" s="6">
        <f>(F687/100)*AM$41</f>
      </c>
      <c r="AN687" s="6">
        <f>(G687/100)*AN$41</f>
      </c>
      <c r="AO687" s="6">
        <f>(H687/1000000)*AO$41</f>
      </c>
      <c r="AP687" s="6">
        <f>(I687/100)*AP$41</f>
      </c>
      <c r="AQ687" s="6">
        <f>(J687/1000000)*AQ$41</f>
      </c>
      <c r="AR687" s="6">
        <f>(K687/100)*AR$41</f>
      </c>
      <c r="AS687" s="6">
        <f>(L687/100)*AS$41</f>
      </c>
      <c r="AT687" s="6">
        <f>(M687/100)*AT$41</f>
      </c>
      <c r="AU687" s="6">
        <f>(N687/100)*AU$41</f>
      </c>
      <c r="AV687" s="6">
        <f>(O687/1000000)*AV$41</f>
      </c>
      <c r="AW687" s="6">
        <f>(P687/100)*AW$41</f>
      </c>
      <c r="AX687" s="6">
        <f>(Q687/100)*AX$41</f>
      </c>
      <c r="AY687" s="6">
        <f>(R687/100)*AY$41</f>
      </c>
      <c r="AZ687" s="6">
        <f>(S687/100)*AZ$41</f>
      </c>
      <c r="BA687" s="6">
        <f>(T687/100)*BA$41</f>
      </c>
      <c r="BB687" s="6">
        <f>(U687/100)*BB$41</f>
      </c>
      <c r="BC687" s="6"/>
      <c r="BD687" s="3"/>
      <c r="BE687" s="3"/>
      <c r="BF687" s="7">
        <f>AF687*E687</f>
      </c>
      <c r="BG687" s="6"/>
      <c r="BH687" s="3"/>
      <c r="BI687" s="6"/>
    </row>
    <row x14ac:dyDescent="0.25" r="688" customHeight="1" ht="12.75">
      <c r="A688" s="5" t="s">
        <v>556</v>
      </c>
      <c r="B688" s="3" t="s">
        <v>855</v>
      </c>
      <c r="C688" s="43" t="s">
        <v>870</v>
      </c>
      <c r="D688" s="34"/>
      <c r="E688" s="6">
        <v>20.6</v>
      </c>
      <c r="F688" s="6"/>
      <c r="G688" s="6">
        <v>0.4</v>
      </c>
      <c r="H688" s="7"/>
      <c r="I688" s="6">
        <v>1.16</v>
      </c>
      <c r="J688" s="6"/>
      <c r="K688" s="7"/>
      <c r="L688" s="6"/>
      <c r="M688" s="6">
        <v>0.07</v>
      </c>
      <c r="N688" s="23"/>
      <c r="O688" s="5"/>
      <c r="P688" s="6"/>
      <c r="Q688" s="6"/>
      <c r="R688" s="6"/>
      <c r="S688" s="6"/>
      <c r="T688" s="6"/>
      <c r="U688" s="6"/>
      <c r="V688" s="5"/>
      <c r="W688" s="6"/>
      <c r="X688" s="6">
        <f>E688*F688/100</f>
      </c>
      <c r="Y688" s="6">
        <f>E688*G688/100</f>
      </c>
      <c r="Z688" s="7">
        <f>E688*H688</f>
      </c>
      <c r="AA688" s="7">
        <f>E688*J688</f>
      </c>
      <c r="AB688" s="6">
        <f>E688*I688/100</f>
      </c>
      <c r="AC688" s="15">
        <f>X688+Y688+AB688</f>
      </c>
      <c r="AD688" s="6">
        <f>F688+G688+I688</f>
      </c>
      <c r="AE688" s="3"/>
      <c r="AF688" s="6">
        <f>SUM(AM688:BC688)</f>
      </c>
      <c r="AG688" s="5">
        <f>IF(SUM(AM688:AO688)&gt;0.7*AF688,1,0)</f>
      </c>
      <c r="AH688" s="5">
        <f>IF(AN688&gt;0.4*AF688,1,0)</f>
      </c>
      <c r="AI688" s="5">
        <f>IF(SUM(AP688:AQ688)&gt;0.3*AF688,1,0)</f>
      </c>
      <c r="AJ688" s="5">
        <f>IF(AQ688&gt;0.2*AF688,1,0)</f>
      </c>
      <c r="AK688" s="5">
        <f>IF(SUM(AR688:BC688)&gt;0.3*AF688,1,0)</f>
      </c>
      <c r="AL688" s="3"/>
      <c r="AM688" s="6">
        <f>(F688/100)*AM$41</f>
      </c>
      <c r="AN688" s="6">
        <f>(G688/100)*AN$41</f>
      </c>
      <c r="AO688" s="6">
        <f>(H688/1000000)*AO$41</f>
      </c>
      <c r="AP688" s="6">
        <f>(I688/100)*AP$41</f>
      </c>
      <c r="AQ688" s="6">
        <f>(J688/1000000)*AQ$41</f>
      </c>
      <c r="AR688" s="6">
        <f>(K688/100)*AR$41</f>
      </c>
      <c r="AS688" s="6">
        <f>(L688/100)*AS$41</f>
      </c>
      <c r="AT688" s="6">
        <f>(M688/100)*AT$41</f>
      </c>
      <c r="AU688" s="6">
        <f>(N688/100)*AU$41</f>
      </c>
      <c r="AV688" s="6">
        <f>(O688/1000000)*AV$41</f>
      </c>
      <c r="AW688" s="6">
        <f>(P688/100)*AW$41</f>
      </c>
      <c r="AX688" s="6">
        <f>(Q688/100)*AX$41</f>
      </c>
      <c r="AY688" s="6">
        <f>(R688/100)*AY$41</f>
      </c>
      <c r="AZ688" s="6">
        <f>(S688/100)*AZ$41</f>
      </c>
      <c r="BA688" s="6">
        <f>(T688/100)*BA$41</f>
      </c>
      <c r="BB688" s="6">
        <f>(U688/100)*BB$41</f>
      </c>
      <c r="BC688" s="6"/>
      <c r="BD688" s="3"/>
      <c r="BE688" s="3"/>
      <c r="BF688" s="7">
        <f>AF688*E688</f>
      </c>
      <c r="BG688" s="6"/>
      <c r="BH688" s="3"/>
      <c r="BI688" s="6"/>
    </row>
    <row x14ac:dyDescent="0.25" r="689" customHeight="1" ht="12.75">
      <c r="A689" s="5" t="s">
        <v>186</v>
      </c>
      <c r="B689" s="3" t="s">
        <v>855</v>
      </c>
      <c r="C689" s="43" t="s">
        <v>870</v>
      </c>
      <c r="D689" s="34"/>
      <c r="E689" s="6">
        <v>2.771</v>
      </c>
      <c r="F689" s="6"/>
      <c r="G689" s="6">
        <v>9.6</v>
      </c>
      <c r="H689" s="5">
        <v>139</v>
      </c>
      <c r="I689" s="6">
        <v>1.9</v>
      </c>
      <c r="J689" s="6">
        <v>0.8</v>
      </c>
      <c r="K689" s="7"/>
      <c r="L689" s="6"/>
      <c r="M689" s="6"/>
      <c r="N689" s="23"/>
      <c r="O689" s="5"/>
      <c r="P689" s="6"/>
      <c r="Q689" s="6"/>
      <c r="R689" s="6"/>
      <c r="S689" s="6"/>
      <c r="T689" s="6"/>
      <c r="U689" s="6"/>
      <c r="V689" s="5"/>
      <c r="W689" s="6"/>
      <c r="X689" s="6">
        <f>E689*F689/100</f>
      </c>
      <c r="Y689" s="6">
        <f>E689*G689/100</f>
      </c>
      <c r="Z689" s="7">
        <f>E689*H689</f>
      </c>
      <c r="AA689" s="7">
        <f>E689*J689</f>
      </c>
      <c r="AB689" s="6">
        <f>E689*I689/100</f>
      </c>
      <c r="AC689" s="15">
        <f>X689+Y689+AB689</f>
      </c>
      <c r="AD689" s="6">
        <f>F689+G689+I689</f>
      </c>
      <c r="AE689" s="3"/>
      <c r="AF689" s="6">
        <f>SUM(AM689:BC689)</f>
      </c>
      <c r="AG689" s="5">
        <f>IF(SUM(AM689:AO689)&gt;0.7*AF689,1,0)</f>
      </c>
      <c r="AH689" s="5">
        <f>IF(AN689&gt;0.4*AF689,1,0)</f>
      </c>
      <c r="AI689" s="5">
        <f>IF(SUM(AP689:AQ689)&gt;0.3*AF689,1,0)</f>
      </c>
      <c r="AJ689" s="5">
        <f>IF(AQ689&gt;0.2*AF689,1,0)</f>
      </c>
      <c r="AK689" s="5">
        <f>IF(SUM(AR689:BC689)&gt;0.3*AF689,1,0)</f>
      </c>
      <c r="AL689" s="3"/>
      <c r="AM689" s="6">
        <f>(F689/100)*AM$41</f>
      </c>
      <c r="AN689" s="6">
        <f>(G689/100)*AN$41</f>
      </c>
      <c r="AO689" s="6">
        <f>(H689/1000000)*AO$41</f>
      </c>
      <c r="AP689" s="6">
        <f>(I689/100)*AP$41</f>
      </c>
      <c r="AQ689" s="6">
        <f>(J689/1000000)*AQ$41</f>
      </c>
      <c r="AR689" s="6">
        <f>(K689/100)*AR$41</f>
      </c>
      <c r="AS689" s="6">
        <f>(L689/100)*AS$41</f>
      </c>
      <c r="AT689" s="6">
        <f>(M689/100)*AT$41</f>
      </c>
      <c r="AU689" s="6">
        <f>(N689/100)*AU$41</f>
      </c>
      <c r="AV689" s="6">
        <f>(O689/1000000)*AV$41</f>
      </c>
      <c r="AW689" s="6">
        <f>(P689/100)*AW$41</f>
      </c>
      <c r="AX689" s="6">
        <f>(Q689/100)*AX$41</f>
      </c>
      <c r="AY689" s="6">
        <f>(R689/100)*AY$41</f>
      </c>
      <c r="AZ689" s="6">
        <f>(S689/100)*AZ$41</f>
      </c>
      <c r="BA689" s="6">
        <f>(T689/100)*BA$41</f>
      </c>
      <c r="BB689" s="6">
        <f>(U689/100)*BB$41</f>
      </c>
      <c r="BC689" s="6"/>
      <c r="BD689" s="3"/>
      <c r="BE689" s="3"/>
      <c r="BF689" s="7">
        <f>AF689*E689</f>
      </c>
      <c r="BG689" s="6"/>
      <c r="BH689" s="3"/>
      <c r="BI689" s="6"/>
    </row>
    <row x14ac:dyDescent="0.25" r="690" customHeight="1" ht="12.75">
      <c r="A690" s="5" t="s">
        <v>653</v>
      </c>
      <c r="B690" s="3" t="s">
        <v>855</v>
      </c>
      <c r="C690" s="43" t="s">
        <v>870</v>
      </c>
      <c r="D690" s="34"/>
      <c r="E690" s="6">
        <v>5.447</v>
      </c>
      <c r="F690" s="6"/>
      <c r="G690" s="6">
        <v>4.6</v>
      </c>
      <c r="H690" s="7">
        <v>34</v>
      </c>
      <c r="I690" s="6">
        <v>1.2</v>
      </c>
      <c r="J690" s="6">
        <v>0.2</v>
      </c>
      <c r="K690" s="7"/>
      <c r="L690" s="6"/>
      <c r="M690" s="6"/>
      <c r="N690" s="23"/>
      <c r="O690" s="5"/>
      <c r="P690" s="6"/>
      <c r="Q690" s="6"/>
      <c r="R690" s="6"/>
      <c r="S690" s="6"/>
      <c r="T690" s="6"/>
      <c r="U690" s="6"/>
      <c r="V690" s="5"/>
      <c r="W690" s="6"/>
      <c r="X690" s="6">
        <f>E690*F690/100</f>
      </c>
      <c r="Y690" s="6">
        <f>E690*G690/100</f>
      </c>
      <c r="Z690" s="7">
        <f>E690*H690</f>
      </c>
      <c r="AA690" s="7">
        <f>E690*J690</f>
      </c>
      <c r="AB690" s="6">
        <f>E690*I690/100</f>
      </c>
      <c r="AC690" s="15">
        <f>X690+Y690+AB690</f>
      </c>
      <c r="AD690" s="6">
        <f>F690+G690+I690</f>
      </c>
      <c r="AE690" s="3"/>
      <c r="AF690" s="6">
        <f>SUM(AM690:BC690)</f>
      </c>
      <c r="AG690" s="5">
        <f>IF(SUM(AM690:AO690)&gt;0.7*AF690,1,0)</f>
      </c>
      <c r="AH690" s="5">
        <f>IF(AN690&gt;0.4*AF690,1,0)</f>
      </c>
      <c r="AI690" s="5">
        <f>IF(SUM(AP690:AQ690)&gt;0.3*AF690,1,0)</f>
      </c>
      <c r="AJ690" s="5">
        <f>IF(AQ690&gt;0.2*AF690,1,0)</f>
      </c>
      <c r="AK690" s="5">
        <f>IF(SUM(AR690:BC690)&gt;0.3*AF690,1,0)</f>
      </c>
      <c r="AL690" s="3"/>
      <c r="AM690" s="6">
        <f>(F690/100)*AM$41</f>
      </c>
      <c r="AN690" s="6">
        <f>(G690/100)*AN$41</f>
      </c>
      <c r="AO690" s="6">
        <f>(H690/1000000)*AO$41</f>
      </c>
      <c r="AP690" s="6">
        <f>(I690/100)*AP$41</f>
      </c>
      <c r="AQ690" s="6">
        <f>(J690/1000000)*AQ$41</f>
      </c>
      <c r="AR690" s="6">
        <f>(K690/100)*AR$41</f>
      </c>
      <c r="AS690" s="6">
        <f>(L690/100)*AS$41</f>
      </c>
      <c r="AT690" s="6">
        <f>(M690/100)*AT$41</f>
      </c>
      <c r="AU690" s="6">
        <f>(N690/100)*AU$41</f>
      </c>
      <c r="AV690" s="6">
        <f>(O690/1000000)*AV$41</f>
      </c>
      <c r="AW690" s="6">
        <f>(P690/100)*AW$41</f>
      </c>
      <c r="AX690" s="6">
        <f>(Q690/100)*AX$41</f>
      </c>
      <c r="AY690" s="6">
        <f>(R690/100)*AY$41</f>
      </c>
      <c r="AZ690" s="6">
        <f>(S690/100)*AZ$41</f>
      </c>
      <c r="BA690" s="6">
        <f>(T690/100)*BA$41</f>
      </c>
      <c r="BB690" s="6">
        <f>(U690/100)*BB$41</f>
      </c>
      <c r="BC690" s="6"/>
      <c r="BD690" s="3"/>
      <c r="BE690" s="3"/>
      <c r="BF690" s="7">
        <f>AF690*E690</f>
      </c>
      <c r="BG690" s="6"/>
      <c r="BH690" s="3"/>
      <c r="BI690" s="6"/>
    </row>
    <row x14ac:dyDescent="0.25" r="691" customHeight="1" ht="12.75">
      <c r="A691" s="5" t="s">
        <v>677</v>
      </c>
      <c r="B691" s="3" t="s">
        <v>855</v>
      </c>
      <c r="C691" s="43" t="s">
        <v>870</v>
      </c>
      <c r="D691" s="34"/>
      <c r="E691" s="23">
        <v>10.127143</v>
      </c>
      <c r="F691" s="6"/>
      <c r="G691" s="6">
        <v>3.0299014025969613</v>
      </c>
      <c r="H691" s="7">
        <v>67.25939231923554</v>
      </c>
      <c r="I691" s="6"/>
      <c r="J691" s="6">
        <v>0.138</v>
      </c>
      <c r="K691" s="7"/>
      <c r="L691" s="6"/>
      <c r="M691" s="6"/>
      <c r="N691" s="23"/>
      <c r="O691" s="5"/>
      <c r="P691" s="6"/>
      <c r="Q691" s="6"/>
      <c r="R691" s="6"/>
      <c r="S691" s="6"/>
      <c r="T691" s="6"/>
      <c r="U691" s="6"/>
      <c r="V691" s="5"/>
      <c r="W691" s="6"/>
      <c r="X691" s="6">
        <f>E691*F691/100</f>
      </c>
      <c r="Y691" s="6">
        <f>E691*G691/100</f>
      </c>
      <c r="Z691" s="7">
        <f>E691*H691</f>
      </c>
      <c r="AA691" s="7">
        <f>E691*J691</f>
      </c>
      <c r="AB691" s="6">
        <f>E691*I691/100</f>
      </c>
      <c r="AC691" s="15">
        <f>X691+Y691+AB691</f>
      </c>
      <c r="AD691" s="6">
        <f>F691+G691+I691</f>
      </c>
      <c r="AE691" s="3"/>
      <c r="AF691" s="6">
        <f>SUM(AM691:BC691)</f>
      </c>
      <c r="AG691" s="5">
        <f>IF(SUM(AM691:AO691)&gt;0.7*AF691,1,0)</f>
      </c>
      <c r="AH691" s="5">
        <f>IF(AN691&gt;0.4*AF691,1,0)</f>
      </c>
      <c r="AI691" s="5">
        <f>IF(SUM(AP691:AQ691)&gt;0.3*AF691,1,0)</f>
      </c>
      <c r="AJ691" s="5">
        <f>IF(AQ691&gt;0.2*AF691,1,0)</f>
      </c>
      <c r="AK691" s="5">
        <f>IF(SUM(AR691:BC691)&gt;0.3*AF691,1,0)</f>
      </c>
      <c r="AL691" s="3"/>
      <c r="AM691" s="6">
        <f>(F691/100)*AM$41</f>
      </c>
      <c r="AN691" s="6">
        <f>(G691/100)*AN$41</f>
      </c>
      <c r="AO691" s="6">
        <f>(H691/1000000)*AO$41</f>
      </c>
      <c r="AP691" s="6">
        <f>(I691/100)*AP$41</f>
      </c>
      <c r="AQ691" s="6">
        <f>(J691/1000000)*AQ$41</f>
      </c>
      <c r="AR691" s="6">
        <f>(K691/100)*AR$41</f>
      </c>
      <c r="AS691" s="6">
        <f>(L691/100)*AS$41</f>
      </c>
      <c r="AT691" s="6">
        <f>(M691/100)*AT$41</f>
      </c>
      <c r="AU691" s="6">
        <f>(N691/100)*AU$41</f>
      </c>
      <c r="AV691" s="6">
        <f>(O691/1000000)*AV$41</f>
      </c>
      <c r="AW691" s="6">
        <f>(P691/100)*AW$41</f>
      </c>
      <c r="AX691" s="6">
        <f>(Q691/100)*AX$41</f>
      </c>
      <c r="AY691" s="6">
        <f>(R691/100)*AY$41</f>
      </c>
      <c r="AZ691" s="6">
        <f>(S691/100)*AZ$41</f>
      </c>
      <c r="BA691" s="6">
        <f>(T691/100)*BA$41</f>
      </c>
      <c r="BB691" s="6">
        <f>(U691/100)*BB$41</f>
      </c>
      <c r="BC691" s="6"/>
      <c r="BD691" s="3"/>
      <c r="BE691" s="3"/>
      <c r="BF691" s="7">
        <f>AF691*E691</f>
      </c>
      <c r="BG691" s="6"/>
      <c r="BH691" s="3"/>
      <c r="BI691" s="6"/>
    </row>
    <row x14ac:dyDescent="0.25" r="692" customHeight="1" ht="12.75">
      <c r="A692" s="5" t="s">
        <v>666</v>
      </c>
      <c r="B692" s="3" t="s">
        <v>855</v>
      </c>
      <c r="C692" s="43" t="s">
        <v>870</v>
      </c>
      <c r="D692" s="34"/>
      <c r="E692" s="6">
        <v>21.8</v>
      </c>
      <c r="F692" s="6">
        <v>0.44935779816513766</v>
      </c>
      <c r="G692" s="7">
        <v>0.9422018348623854</v>
      </c>
      <c r="H692" s="31">
        <v>47.027522935779814</v>
      </c>
      <c r="I692" s="6"/>
      <c r="J692" s="6">
        <v>0.12449541284403672</v>
      </c>
      <c r="K692" s="7"/>
      <c r="L692" s="6"/>
      <c r="M692" s="6"/>
      <c r="N692" s="23"/>
      <c r="O692" s="5"/>
      <c r="P692" s="6"/>
      <c r="Q692" s="6"/>
      <c r="R692" s="6"/>
      <c r="S692" s="6"/>
      <c r="T692" s="6"/>
      <c r="U692" s="6"/>
      <c r="V692" s="5"/>
      <c r="W692" s="6"/>
      <c r="X692" s="6">
        <f>E692*F692/100</f>
      </c>
      <c r="Y692" s="6">
        <f>E692*G692/100</f>
      </c>
      <c r="Z692" s="7">
        <f>E692*H692</f>
      </c>
      <c r="AA692" s="7">
        <f>E692*J692</f>
      </c>
      <c r="AB692" s="6">
        <f>E692*I692/100</f>
      </c>
      <c r="AC692" s="15">
        <f>X692+Y692+AB692</f>
      </c>
      <c r="AD692" s="6">
        <f>F692+G692+I692</f>
      </c>
      <c r="AE692" s="3"/>
      <c r="AF692" s="6">
        <f>SUM(AM692:BC692)</f>
      </c>
      <c r="AG692" s="5">
        <f>IF(SUM(AM692:AO692)&gt;0.7*AF692,1,0)</f>
      </c>
      <c r="AH692" s="5">
        <f>IF(AN692&gt;0.4*AF692,1,0)</f>
      </c>
      <c r="AI692" s="5">
        <f>IF(SUM(AP692:AQ692)&gt;0.3*AF692,1,0)</f>
      </c>
      <c r="AJ692" s="5">
        <f>IF(AQ692&gt;0.2*AF692,1,0)</f>
      </c>
      <c r="AK692" s="5">
        <f>IF(SUM(AR692:BC692)&gt;0.3*AF692,1,0)</f>
      </c>
      <c r="AL692" s="3"/>
      <c r="AM692" s="6">
        <f>(F692/100)*AM$41</f>
      </c>
      <c r="AN692" s="6">
        <f>(G692/100)*AN$41</f>
      </c>
      <c r="AO692" s="6">
        <f>(H692/1000000)*AO$41</f>
      </c>
      <c r="AP692" s="6">
        <f>(I692/100)*AP$41</f>
      </c>
      <c r="AQ692" s="6">
        <f>(J692/1000000)*AQ$41</f>
      </c>
      <c r="AR692" s="6">
        <f>(K692/100)*AR$41</f>
      </c>
      <c r="AS692" s="6">
        <f>(L692/100)*AS$41</f>
      </c>
      <c r="AT692" s="6">
        <f>(M692/100)*AT$41</f>
      </c>
      <c r="AU692" s="6">
        <f>(N692/100)*AU$41</f>
      </c>
      <c r="AV692" s="6">
        <f>(O692/1000000)*AV$41</f>
      </c>
      <c r="AW692" s="6">
        <f>(P692/100)*AW$41</f>
      </c>
      <c r="AX692" s="6">
        <f>(Q692/100)*AX$41</f>
      </c>
      <c r="AY692" s="6">
        <f>(R692/100)*AY$41</f>
      </c>
      <c r="AZ692" s="6">
        <f>(S692/100)*AZ$41</f>
      </c>
      <c r="BA692" s="6">
        <f>(T692/100)*BA$41</f>
      </c>
      <c r="BB692" s="6">
        <f>(U692/100)*BB$41</f>
      </c>
      <c r="BC692" s="6"/>
      <c r="BD692" s="3"/>
      <c r="BE692" s="3"/>
      <c r="BF692" s="7">
        <f>AF692*E692</f>
      </c>
      <c r="BG692" s="6"/>
      <c r="BH692" s="3"/>
      <c r="BI692" s="6"/>
    </row>
    <row x14ac:dyDescent="0.25" r="693" customHeight="1" ht="12.75">
      <c r="A693" s="5" t="s">
        <v>611</v>
      </c>
      <c r="B693" s="3" t="s">
        <v>855</v>
      </c>
      <c r="C693" s="43" t="s">
        <v>870</v>
      </c>
      <c r="D693" s="34"/>
      <c r="E693" s="6">
        <v>6.62</v>
      </c>
      <c r="F693" s="6"/>
      <c r="G693" s="6">
        <v>2.63</v>
      </c>
      <c r="H693" s="6">
        <v>25.61</v>
      </c>
      <c r="I693" s="6">
        <v>1.88</v>
      </c>
      <c r="J693" s="6">
        <v>0.66</v>
      </c>
      <c r="K693" s="7"/>
      <c r="L693" s="6"/>
      <c r="M693" s="6"/>
      <c r="N693" s="23"/>
      <c r="O693" s="5"/>
      <c r="P693" s="6"/>
      <c r="Q693" s="6"/>
      <c r="R693" s="6"/>
      <c r="S693" s="6"/>
      <c r="T693" s="6"/>
      <c r="U693" s="6"/>
      <c r="V693" s="5"/>
      <c r="W693" s="6"/>
      <c r="X693" s="6">
        <f>E693*F693/100</f>
      </c>
      <c r="Y693" s="6">
        <f>E693*G693/100</f>
      </c>
      <c r="Z693" s="7">
        <f>E693*H693</f>
      </c>
      <c r="AA693" s="7">
        <f>E693*J693</f>
      </c>
      <c r="AB693" s="6">
        <f>E693*I693/100</f>
      </c>
      <c r="AC693" s="15">
        <f>X693+Y693+AB693</f>
      </c>
      <c r="AD693" s="6">
        <f>F693+G693+I693</f>
      </c>
      <c r="AE693" s="3"/>
      <c r="AF693" s="6">
        <f>SUM(AM693:BC693)</f>
      </c>
      <c r="AG693" s="5">
        <f>IF(SUM(AM693:AO693)&gt;0.7*AF693,1,0)</f>
      </c>
      <c r="AH693" s="5">
        <f>IF(AN693&gt;0.4*AF693,1,0)</f>
      </c>
      <c r="AI693" s="5">
        <f>IF(SUM(AP693:AQ693)&gt;0.3*AF693,1,0)</f>
      </c>
      <c r="AJ693" s="5">
        <f>IF(AQ693&gt;0.2*AF693,1,0)</f>
      </c>
      <c r="AK693" s="5">
        <f>IF(SUM(AR693:BC693)&gt;0.3*AF693,1,0)</f>
      </c>
      <c r="AL693" s="3"/>
      <c r="AM693" s="6">
        <f>(F693/100)*AM$41</f>
      </c>
      <c r="AN693" s="6">
        <f>(G693/100)*AN$41</f>
      </c>
      <c r="AO693" s="6">
        <f>(H693/1000000)*AO$41</f>
      </c>
      <c r="AP693" s="6">
        <f>(I693/100)*AP$41</f>
      </c>
      <c r="AQ693" s="6">
        <f>(J693/1000000)*AQ$41</f>
      </c>
      <c r="AR693" s="6">
        <f>(K693/100)*AR$41</f>
      </c>
      <c r="AS693" s="6">
        <f>(L693/100)*AS$41</f>
      </c>
      <c r="AT693" s="6">
        <f>(M693/100)*AT$41</f>
      </c>
      <c r="AU693" s="6">
        <f>(N693/100)*AU$41</f>
      </c>
      <c r="AV693" s="6">
        <f>(O693/1000000)*AV$41</f>
      </c>
      <c r="AW693" s="6">
        <f>(P693/100)*AW$41</f>
      </c>
      <c r="AX693" s="6">
        <f>(Q693/100)*AX$41</f>
      </c>
      <c r="AY693" s="6">
        <f>(R693/100)*AY$41</f>
      </c>
      <c r="AZ693" s="6">
        <f>(S693/100)*AZ$41</f>
      </c>
      <c r="BA693" s="6">
        <f>(T693/100)*BA$41</f>
      </c>
      <c r="BB693" s="6">
        <f>(U693/100)*BB$41</f>
      </c>
      <c r="BC693" s="6"/>
      <c r="BD693" s="3"/>
      <c r="BE693" s="3"/>
      <c r="BF693" s="7">
        <f>AF693*E693</f>
      </c>
      <c r="BG693" s="6"/>
      <c r="BH693" s="3"/>
      <c r="BI693" s="6"/>
    </row>
    <row x14ac:dyDescent="0.25" r="694" customHeight="1" ht="12.75">
      <c r="A694" s="5" t="s">
        <v>684</v>
      </c>
      <c r="B694" s="3" t="s">
        <v>855</v>
      </c>
      <c r="C694" s="43" t="s">
        <v>870</v>
      </c>
      <c r="D694" s="34"/>
      <c r="E694" s="23">
        <v>9.0196</v>
      </c>
      <c r="F694" s="6">
        <v>0.5459697769302408</v>
      </c>
      <c r="G694" s="6">
        <v>2.7119395538604816</v>
      </c>
      <c r="H694" s="7">
        <v>18.2268027185241</v>
      </c>
      <c r="I694" s="6"/>
      <c r="J694" s="6"/>
      <c r="K694" s="7"/>
      <c r="L694" s="6"/>
      <c r="M694" s="6"/>
      <c r="N694" s="23"/>
      <c r="O694" s="5"/>
      <c r="P694" s="6"/>
      <c r="Q694" s="6"/>
      <c r="R694" s="6"/>
      <c r="S694" s="6"/>
      <c r="T694" s="6"/>
      <c r="U694" s="6"/>
      <c r="V694" s="5"/>
      <c r="W694" s="6"/>
      <c r="X694" s="6">
        <f>E694*F694/100</f>
      </c>
      <c r="Y694" s="6">
        <f>E694*G694/100</f>
      </c>
      <c r="Z694" s="7">
        <f>E694*H694</f>
      </c>
      <c r="AA694" s="7">
        <f>E694*J694</f>
      </c>
      <c r="AB694" s="6">
        <f>E694*I694/100</f>
      </c>
      <c r="AC694" s="15">
        <f>X694+Y694+AB694</f>
      </c>
      <c r="AD694" s="6">
        <f>F694+G694+I694</f>
      </c>
      <c r="AE694" s="3"/>
      <c r="AF694" s="6">
        <f>SUM(AM694:BC694)</f>
      </c>
      <c r="AG694" s="5">
        <f>IF(SUM(AM694:AO694)&gt;0.7*AF694,1,0)</f>
      </c>
      <c r="AH694" s="5">
        <f>IF(AN694&gt;0.4*AF694,1,0)</f>
      </c>
      <c r="AI694" s="5">
        <f>IF(SUM(AP694:AQ694)&gt;0.3*AF694,1,0)</f>
      </c>
      <c r="AJ694" s="5">
        <f>IF(AQ694&gt;0.2*AF694,1,0)</f>
      </c>
      <c r="AK694" s="5">
        <f>IF(SUM(AR694:BC694)&gt;0.3*AF694,1,0)</f>
      </c>
      <c r="AL694" s="3"/>
      <c r="AM694" s="6">
        <f>(F694/100)*AM$41</f>
      </c>
      <c r="AN694" s="6">
        <f>(G694/100)*AN$41</f>
      </c>
      <c r="AO694" s="6">
        <f>(H694/1000000)*AO$41</f>
      </c>
      <c r="AP694" s="6">
        <f>(I694/100)*AP$41</f>
      </c>
      <c r="AQ694" s="6">
        <f>(J694/1000000)*AQ$41</f>
      </c>
      <c r="AR694" s="6">
        <f>(K694/100)*AR$41</f>
      </c>
      <c r="AS694" s="6">
        <f>(L694/100)*AS$41</f>
      </c>
      <c r="AT694" s="6">
        <f>(M694/100)*AT$41</f>
      </c>
      <c r="AU694" s="6">
        <f>(N694/100)*AU$41</f>
      </c>
      <c r="AV694" s="6">
        <f>(O694/1000000)*AV$41</f>
      </c>
      <c r="AW694" s="6">
        <f>(P694/100)*AW$41</f>
      </c>
      <c r="AX694" s="6">
        <f>(Q694/100)*AX$41</f>
      </c>
      <c r="AY694" s="6">
        <f>(R694/100)*AY$41</f>
      </c>
      <c r="AZ694" s="6">
        <f>(S694/100)*AZ$41</f>
      </c>
      <c r="BA694" s="6">
        <f>(T694/100)*BA$41</f>
      </c>
      <c r="BB694" s="6">
        <f>(U694/100)*BB$41</f>
      </c>
      <c r="BC694" s="6"/>
      <c r="BD694" s="3"/>
      <c r="BE694" s="3"/>
      <c r="BF694" s="7">
        <f>AF694*E694</f>
      </c>
      <c r="BG694" s="6"/>
      <c r="BH694" s="3"/>
      <c r="BI694" s="6"/>
    </row>
    <row x14ac:dyDescent="0.25" r="695" customHeight="1" ht="12.75">
      <c r="A695" s="5" t="s">
        <v>634</v>
      </c>
      <c r="B695" s="3" t="s">
        <v>855</v>
      </c>
      <c r="C695" s="43" t="s">
        <v>870</v>
      </c>
      <c r="D695" s="34"/>
      <c r="E695" s="6">
        <v>14.613</v>
      </c>
      <c r="F695" s="6"/>
      <c r="G695" s="6">
        <v>1.1279319783754191</v>
      </c>
      <c r="H695" s="7">
        <v>14</v>
      </c>
      <c r="I695" s="6">
        <v>0.8276637240812975</v>
      </c>
      <c r="J695" s="6">
        <v>0.4</v>
      </c>
      <c r="K695" s="7"/>
      <c r="L695" s="6"/>
      <c r="M695" s="6"/>
      <c r="N695" s="23"/>
      <c r="O695" s="5"/>
      <c r="P695" s="6"/>
      <c r="Q695" s="6"/>
      <c r="R695" s="6"/>
      <c r="S695" s="6"/>
      <c r="T695" s="6"/>
      <c r="U695" s="6"/>
      <c r="V695" s="5"/>
      <c r="W695" s="6"/>
      <c r="X695" s="6">
        <f>E695*F695/100</f>
      </c>
      <c r="Y695" s="6">
        <f>E695*G695/100</f>
      </c>
      <c r="Z695" s="7">
        <f>E695*H695</f>
      </c>
      <c r="AA695" s="7">
        <f>E695*J695</f>
      </c>
      <c r="AB695" s="6">
        <f>E695*I695/100</f>
      </c>
      <c r="AC695" s="15">
        <f>X695+Y695+AB695</f>
      </c>
      <c r="AD695" s="6">
        <f>F695+G695+I695</f>
      </c>
      <c r="AE695" s="3"/>
      <c r="AF695" s="6">
        <f>SUM(AM695:BC695)</f>
      </c>
      <c r="AG695" s="5">
        <f>IF(SUM(AM695:AO695)&gt;0.7*AF695,1,0)</f>
      </c>
      <c r="AH695" s="5">
        <f>IF(AN695&gt;0.4*AF695,1,0)</f>
      </c>
      <c r="AI695" s="5">
        <f>IF(SUM(AP695:AQ695)&gt;0.3*AF695,1,0)</f>
      </c>
      <c r="AJ695" s="5">
        <f>IF(AQ695&gt;0.2*AF695,1,0)</f>
      </c>
      <c r="AK695" s="5">
        <f>IF(SUM(AR695:BC695)&gt;0.3*AF695,1,0)</f>
      </c>
      <c r="AL695" s="3"/>
      <c r="AM695" s="6">
        <f>(F695/100)*AM$41</f>
      </c>
      <c r="AN695" s="6">
        <f>(G695/100)*AN$41</f>
      </c>
      <c r="AO695" s="6">
        <f>(H695/1000000)*AO$41</f>
      </c>
      <c r="AP695" s="6">
        <f>(I695/100)*AP$41</f>
      </c>
      <c r="AQ695" s="6">
        <f>(J695/1000000)*AQ$41</f>
      </c>
      <c r="AR695" s="6">
        <f>(K695/100)*AR$41</f>
      </c>
      <c r="AS695" s="6">
        <f>(L695/100)*AS$41</f>
      </c>
      <c r="AT695" s="6">
        <f>(M695/100)*AT$41</f>
      </c>
      <c r="AU695" s="6">
        <f>(N695/100)*AU$41</f>
      </c>
      <c r="AV695" s="6">
        <f>(O695/1000000)*AV$41</f>
      </c>
      <c r="AW695" s="6">
        <f>(P695/100)*AW$41</f>
      </c>
      <c r="AX695" s="6">
        <f>(Q695/100)*AX$41</f>
      </c>
      <c r="AY695" s="6">
        <f>(R695/100)*AY$41</f>
      </c>
      <c r="AZ695" s="6">
        <f>(S695/100)*AZ$41</f>
      </c>
      <c r="BA695" s="6">
        <f>(T695/100)*BA$41</f>
      </c>
      <c r="BB695" s="6">
        <f>(U695/100)*BB$41</f>
      </c>
      <c r="BC695" s="6"/>
      <c r="BD695" s="3"/>
      <c r="BE695" s="3"/>
      <c r="BF695" s="7">
        <f>AF695*E695</f>
      </c>
      <c r="BG695" s="6"/>
      <c r="BH695" s="3"/>
      <c r="BI695" s="6"/>
    </row>
    <row x14ac:dyDescent="0.25" r="696" customHeight="1" ht="12.75">
      <c r="A696" s="5" t="s">
        <v>672</v>
      </c>
      <c r="B696" s="3" t="s">
        <v>855</v>
      </c>
      <c r="C696" s="43" t="s">
        <v>870</v>
      </c>
      <c r="D696" s="34"/>
      <c r="E696" s="6">
        <v>6.619999999999999</v>
      </c>
      <c r="F696" s="7">
        <v>1.420392749244713</v>
      </c>
      <c r="G696" s="7">
        <v>2.4244712990936557</v>
      </c>
      <c r="H696" s="31">
        <v>69.14199395770393</v>
      </c>
      <c r="I696" s="7">
        <v>0.1959214501510574</v>
      </c>
      <c r="J696" s="7">
        <v>1.4836858006042297</v>
      </c>
      <c r="K696" s="7"/>
      <c r="L696" s="6"/>
      <c r="M696" s="6"/>
      <c r="N696" s="23"/>
      <c r="O696" s="5"/>
      <c r="P696" s="6"/>
      <c r="Q696" s="6"/>
      <c r="R696" s="6"/>
      <c r="S696" s="6"/>
      <c r="T696" s="6"/>
      <c r="U696" s="6"/>
      <c r="V696" s="5"/>
      <c r="W696" s="6"/>
      <c r="X696" s="6">
        <f>E696*F696/100</f>
      </c>
      <c r="Y696" s="6">
        <f>E696*G696/100</f>
      </c>
      <c r="Z696" s="7">
        <f>E696*H696</f>
      </c>
      <c r="AA696" s="7">
        <f>E696*J696</f>
      </c>
      <c r="AB696" s="6">
        <f>E696*I696/100</f>
      </c>
      <c r="AC696" s="15">
        <f>X696+Y696+AB696</f>
      </c>
      <c r="AD696" s="6">
        <f>F696+G696+I696</f>
      </c>
      <c r="AE696" s="3"/>
      <c r="AF696" s="6">
        <f>SUM(AM696:BC696)</f>
      </c>
      <c r="AG696" s="5">
        <f>IF(SUM(AM696:AO696)&gt;0.7*AF696,1,0)</f>
      </c>
      <c r="AH696" s="5">
        <f>IF(AN696&gt;0.4*AF696,1,0)</f>
      </c>
      <c r="AI696" s="5">
        <f>IF(SUM(AP696:AQ696)&gt;0.3*AF696,1,0)</f>
      </c>
      <c r="AJ696" s="5">
        <f>IF(AQ696&gt;0.2*AF696,1,0)</f>
      </c>
      <c r="AK696" s="5">
        <f>IF(SUM(AR696:BC696)&gt;0.3*AF696,1,0)</f>
      </c>
      <c r="AL696" s="3"/>
      <c r="AM696" s="6">
        <f>(F696/100)*AM$41</f>
      </c>
      <c r="AN696" s="6">
        <f>(G696/100)*AN$41</f>
      </c>
      <c r="AO696" s="6">
        <f>(H696/1000000)*AO$41</f>
      </c>
      <c r="AP696" s="6">
        <f>(I696/100)*AP$41</f>
      </c>
      <c r="AQ696" s="6">
        <f>(J696/1000000)*AQ$41</f>
      </c>
      <c r="AR696" s="6">
        <f>(K696/100)*AR$41</f>
      </c>
      <c r="AS696" s="6">
        <f>(L696/100)*AS$41</f>
      </c>
      <c r="AT696" s="6">
        <f>(M696/100)*AT$41</f>
      </c>
      <c r="AU696" s="6">
        <f>(N696/100)*AU$41</f>
      </c>
      <c r="AV696" s="6">
        <f>(O696/1000000)*AV$41</f>
      </c>
      <c r="AW696" s="6">
        <f>(P696/100)*AW$41</f>
      </c>
      <c r="AX696" s="6">
        <f>(Q696/100)*AX$41</f>
      </c>
      <c r="AY696" s="6">
        <f>(R696/100)*AY$41</f>
      </c>
      <c r="AZ696" s="6">
        <f>(S696/100)*AZ$41</f>
      </c>
      <c r="BA696" s="6">
        <f>(T696/100)*BA$41</f>
      </c>
      <c r="BB696" s="6">
        <f>(U696/100)*BB$41</f>
      </c>
      <c r="BC696" s="6"/>
      <c r="BD696" s="3"/>
      <c r="BE696" s="3"/>
      <c r="BF696" s="7">
        <f>AF696*E696</f>
      </c>
      <c r="BG696" s="6"/>
      <c r="BH696" s="3"/>
      <c r="BI696" s="6"/>
    </row>
    <row x14ac:dyDescent="0.25" r="697" customHeight="1" ht="12.75">
      <c r="A697" s="5" t="s">
        <v>397</v>
      </c>
      <c r="B697" s="3" t="s">
        <v>855</v>
      </c>
      <c r="C697" s="43" t="s">
        <v>870</v>
      </c>
      <c r="D697" s="34"/>
      <c r="E697" s="23">
        <v>2.976637</v>
      </c>
      <c r="F697" s="6">
        <v>2.1415765161813343</v>
      </c>
      <c r="G697" s="6">
        <v>5.057954659593077</v>
      </c>
      <c r="H697" s="7">
        <v>39.29066376374061</v>
      </c>
      <c r="I697" s="6">
        <v>1.5926444352859215</v>
      </c>
      <c r="J697" s="6">
        <v>0.40780120508843704</v>
      </c>
      <c r="K697" s="7"/>
      <c r="L697" s="6"/>
      <c r="M697" s="6"/>
      <c r="N697" s="23"/>
      <c r="O697" s="5"/>
      <c r="P697" s="6"/>
      <c r="Q697" s="6"/>
      <c r="R697" s="6"/>
      <c r="S697" s="6"/>
      <c r="T697" s="6"/>
      <c r="U697" s="6"/>
      <c r="V697" s="5"/>
      <c r="W697" s="6"/>
      <c r="X697" s="6">
        <f>E697*F697/100</f>
      </c>
      <c r="Y697" s="6">
        <f>E697*G697/100</f>
      </c>
      <c r="Z697" s="7">
        <f>E697*H697</f>
      </c>
      <c r="AA697" s="7">
        <f>E697*J697</f>
      </c>
      <c r="AB697" s="6">
        <f>E697*I697/100</f>
      </c>
      <c r="AC697" s="15">
        <f>X697+Y697+AB697</f>
      </c>
      <c r="AD697" s="6">
        <f>F697+G697+I697</f>
      </c>
      <c r="AE697" s="3"/>
      <c r="AF697" s="6">
        <f>SUM(AM697:BC697)</f>
      </c>
      <c r="AG697" s="5">
        <f>IF(SUM(AM697:AO697)&gt;0.7*AF697,1,0)</f>
      </c>
      <c r="AH697" s="5">
        <f>IF(AN697&gt;0.4*AF697,1,0)</f>
      </c>
      <c r="AI697" s="5">
        <f>IF(SUM(AP697:AQ697)&gt;0.3*AF697,1,0)</f>
      </c>
      <c r="AJ697" s="5">
        <f>IF(AQ697&gt;0.2*AF697,1,0)</f>
      </c>
      <c r="AK697" s="5">
        <f>IF(SUM(AR697:BC697)&gt;0.3*AF697,1,0)</f>
      </c>
      <c r="AL697" s="3"/>
      <c r="AM697" s="6">
        <f>(F697/100)*AM$41</f>
      </c>
      <c r="AN697" s="6">
        <f>(G697/100)*AN$41</f>
      </c>
      <c r="AO697" s="6">
        <f>(H697/1000000)*AO$41</f>
      </c>
      <c r="AP697" s="6">
        <f>(I697/100)*AP$41</f>
      </c>
      <c r="AQ697" s="6">
        <f>(J697/1000000)*AQ$41</f>
      </c>
      <c r="AR697" s="6">
        <f>(K697/100)*AR$41</f>
      </c>
      <c r="AS697" s="6">
        <f>(L697/100)*AS$41</f>
      </c>
      <c r="AT697" s="6">
        <f>(M697/100)*AT$41</f>
      </c>
      <c r="AU697" s="6">
        <f>(N697/100)*AU$41</f>
      </c>
      <c r="AV697" s="6">
        <f>(O697/1000000)*AV$41</f>
      </c>
      <c r="AW697" s="6">
        <f>(P697/100)*AW$41</f>
      </c>
      <c r="AX697" s="6">
        <f>(Q697/100)*AX$41</f>
      </c>
      <c r="AY697" s="6">
        <f>(R697/100)*AY$41</f>
      </c>
      <c r="AZ697" s="6">
        <f>(S697/100)*AZ$41</f>
      </c>
      <c r="BA697" s="6">
        <f>(T697/100)*BA$41</f>
      </c>
      <c r="BB697" s="6">
        <f>(U697/100)*BB$41</f>
      </c>
      <c r="BC697" s="6"/>
      <c r="BD697" s="3"/>
      <c r="BE697" s="3"/>
      <c r="BF697" s="7">
        <f>AF697*E697</f>
      </c>
      <c r="BG697" s="6"/>
      <c r="BH697" s="3"/>
      <c r="BI697" s="6"/>
    </row>
    <row x14ac:dyDescent="0.25" r="698" customHeight="1" ht="12.75">
      <c r="A698" s="5" t="s">
        <v>613</v>
      </c>
      <c r="B698" s="3" t="s">
        <v>855</v>
      </c>
      <c r="C698" s="43" t="s">
        <v>870</v>
      </c>
      <c r="D698" s="34"/>
      <c r="E698" s="23">
        <v>7.510129</v>
      </c>
      <c r="F698" s="6"/>
      <c r="G698" s="6">
        <v>1.4188211707149105</v>
      </c>
      <c r="H698" s="7">
        <v>32.25934989931597</v>
      </c>
      <c r="I698" s="6">
        <v>2.035998409614535</v>
      </c>
      <c r="J698" s="6">
        <v>0.8645260647320439</v>
      </c>
      <c r="K698" s="7"/>
      <c r="L698" s="6"/>
      <c r="M698" s="6"/>
      <c r="N698" s="23"/>
      <c r="O698" s="5"/>
      <c r="P698" s="6"/>
      <c r="Q698" s="6"/>
      <c r="R698" s="6"/>
      <c r="S698" s="6"/>
      <c r="T698" s="6"/>
      <c r="U698" s="6"/>
      <c r="V698" s="5"/>
      <c r="W698" s="6"/>
      <c r="X698" s="6">
        <f>E698*F698/100</f>
      </c>
      <c r="Y698" s="6">
        <f>E698*G698/100</f>
      </c>
      <c r="Z698" s="7">
        <f>E698*H698</f>
      </c>
      <c r="AA698" s="7">
        <f>E698*J698</f>
      </c>
      <c r="AB698" s="6">
        <f>E698*I698/100</f>
      </c>
      <c r="AC698" s="15">
        <f>X698+Y698+AB698</f>
      </c>
      <c r="AD698" s="6">
        <f>F698+G698+I698</f>
      </c>
      <c r="AE698" s="3"/>
      <c r="AF698" s="6">
        <f>SUM(AM698:BC698)</f>
      </c>
      <c r="AG698" s="5">
        <f>IF(SUM(AM698:AO698)&gt;0.7*AF698,1,0)</f>
      </c>
      <c r="AH698" s="5">
        <f>IF(AN698&gt;0.4*AF698,1,0)</f>
      </c>
      <c r="AI698" s="5">
        <f>IF(SUM(AP698:AQ698)&gt;0.3*AF698,1,0)</f>
      </c>
      <c r="AJ698" s="5">
        <f>IF(AQ698&gt;0.2*AF698,1,0)</f>
      </c>
      <c r="AK698" s="5">
        <f>IF(SUM(AR698:BC698)&gt;0.3*AF698,1,0)</f>
      </c>
      <c r="AL698" s="3"/>
      <c r="AM698" s="6">
        <f>(F698/100)*AM$41</f>
      </c>
      <c r="AN698" s="6">
        <f>(G698/100)*AN$41</f>
      </c>
      <c r="AO698" s="6">
        <f>(H698/1000000)*AO$41</f>
      </c>
      <c r="AP698" s="6">
        <f>(I698/100)*AP$41</f>
      </c>
      <c r="AQ698" s="6">
        <f>(J698/1000000)*AQ$41</f>
      </c>
      <c r="AR698" s="6">
        <f>(K698/100)*AR$41</f>
      </c>
      <c r="AS698" s="6">
        <f>(L698/100)*AS$41</f>
      </c>
      <c r="AT698" s="6">
        <f>(M698/100)*AT$41</f>
      </c>
      <c r="AU698" s="6">
        <f>(N698/100)*AU$41</f>
      </c>
      <c r="AV698" s="6">
        <f>(O698/1000000)*AV$41</f>
      </c>
      <c r="AW698" s="6">
        <f>(P698/100)*AW$41</f>
      </c>
      <c r="AX698" s="6">
        <f>(Q698/100)*AX$41</f>
      </c>
      <c r="AY698" s="6">
        <f>(R698/100)*AY$41</f>
      </c>
      <c r="AZ698" s="6">
        <f>(S698/100)*AZ$41</f>
      </c>
      <c r="BA698" s="6">
        <f>(T698/100)*BA$41</f>
      </c>
      <c r="BB698" s="6">
        <f>(U698/100)*BB$41</f>
      </c>
      <c r="BC698" s="6"/>
      <c r="BD698" s="3"/>
      <c r="BE698" s="3"/>
      <c r="BF698" s="7">
        <f>AF698*E698</f>
      </c>
      <c r="BG698" s="6"/>
      <c r="BH698" s="3"/>
      <c r="BI698" s="6"/>
    </row>
    <row x14ac:dyDescent="0.25" r="699" customHeight="1" ht="12.75">
      <c r="A699" s="5" t="s">
        <v>567</v>
      </c>
      <c r="B699" s="3" t="s">
        <v>855</v>
      </c>
      <c r="C699" s="43" t="s">
        <v>870</v>
      </c>
      <c r="D699" s="34"/>
      <c r="E699" s="6">
        <v>38.4</v>
      </c>
      <c r="F699" s="23">
        <v>0.001929</v>
      </c>
      <c r="G699" s="23">
        <v>0.0659</v>
      </c>
      <c r="H699" s="6">
        <v>1.802</v>
      </c>
      <c r="I699" s="6">
        <v>0.6077</v>
      </c>
      <c r="J699" s="6">
        <v>0.28</v>
      </c>
      <c r="K699" s="7"/>
      <c r="L699" s="6"/>
      <c r="M699" s="6"/>
      <c r="N699" s="23"/>
      <c r="O699" s="5"/>
      <c r="P699" s="6">
        <v>0.0013</v>
      </c>
      <c r="Q699" s="6"/>
      <c r="R699" s="6"/>
      <c r="S699" s="6"/>
      <c r="T699" s="6"/>
      <c r="U699" s="6"/>
      <c r="V699" s="5"/>
      <c r="W699" s="6"/>
      <c r="X699" s="6">
        <f>E699*F699/100</f>
      </c>
      <c r="Y699" s="6">
        <f>E699*G699/100</f>
      </c>
      <c r="Z699" s="7">
        <f>E699*H699</f>
      </c>
      <c r="AA699" s="7">
        <f>E699*J699</f>
      </c>
      <c r="AB699" s="6">
        <f>E699*I699/100</f>
      </c>
      <c r="AC699" s="15">
        <f>X699+Y699+AB699</f>
      </c>
      <c r="AD699" s="6">
        <f>F699+G699+I699</f>
      </c>
      <c r="AE699" s="3"/>
      <c r="AF699" s="6">
        <f>SUM(AM699:BC699)</f>
      </c>
      <c r="AG699" s="5">
        <f>IF(SUM(AM699:AO699)&gt;0.7*AF699,1,0)</f>
      </c>
      <c r="AH699" s="5">
        <f>IF(AN699&gt;0.4*AF699,1,0)</f>
      </c>
      <c r="AI699" s="5">
        <f>IF(SUM(AP699:AQ699)&gt;0.3*AF699,1,0)</f>
      </c>
      <c r="AJ699" s="5">
        <f>IF(AQ699&gt;0.2*AF699,1,0)</f>
      </c>
      <c r="AK699" s="5">
        <f>IF(SUM(AR699:BC699)&gt;0.3*AF699,1,0)</f>
      </c>
      <c r="AL699" s="3"/>
      <c r="AM699" s="6">
        <f>(F699/100)*AM$41</f>
      </c>
      <c r="AN699" s="6">
        <f>(G699/100)*AN$41</f>
      </c>
      <c r="AO699" s="6">
        <f>(H699/1000000)*AO$41</f>
      </c>
      <c r="AP699" s="6">
        <f>(I699/100)*AP$41</f>
      </c>
      <c r="AQ699" s="6">
        <f>(J699/1000000)*AQ$41</f>
      </c>
      <c r="AR699" s="6">
        <f>(K699/100)*AR$41</f>
      </c>
      <c r="AS699" s="6">
        <f>(L699/100)*AS$41</f>
      </c>
      <c r="AT699" s="6">
        <f>(M699/100)*AT$41</f>
      </c>
      <c r="AU699" s="6">
        <f>(N699/100)*AU$41</f>
      </c>
      <c r="AV699" s="6">
        <f>(O699/1000000)*AV$41</f>
      </c>
      <c r="AW699" s="6">
        <f>(P699/100)*AW$41</f>
      </c>
      <c r="AX699" s="6">
        <f>(Q699/100)*AX$41</f>
      </c>
      <c r="AY699" s="6">
        <f>(R699/100)*AY$41</f>
      </c>
      <c r="AZ699" s="6">
        <f>(S699/100)*AZ$41</f>
      </c>
      <c r="BA699" s="6">
        <f>(T699/100)*BA$41</f>
      </c>
      <c r="BB699" s="6">
        <f>(U699/100)*BB$41</f>
      </c>
      <c r="BC699" s="6"/>
      <c r="BD699" s="3"/>
      <c r="BE699" s="3"/>
      <c r="BF699" s="7">
        <f>AF699*E699</f>
      </c>
      <c r="BG699" s="6"/>
      <c r="BH699" s="3"/>
      <c r="BI699" s="6"/>
    </row>
    <row x14ac:dyDescent="0.25" r="700" customHeight="1" ht="12.75">
      <c r="A700" s="5" t="s">
        <v>229</v>
      </c>
      <c r="B700" s="3" t="s">
        <v>855</v>
      </c>
      <c r="C700" s="43" t="s">
        <v>870</v>
      </c>
      <c r="D700" s="34"/>
      <c r="E700" s="6">
        <v>2.009</v>
      </c>
      <c r="F700" s="6">
        <v>3.6861174713787954</v>
      </c>
      <c r="G700" s="6">
        <v>5.7080338476854156</v>
      </c>
      <c r="H700" s="31">
        <v>35.480836236933804</v>
      </c>
      <c r="I700" s="6">
        <v>2.5517670482827284</v>
      </c>
      <c r="J700" s="6">
        <v>0.477033349925336</v>
      </c>
      <c r="K700" s="7"/>
      <c r="L700" s="6"/>
      <c r="M700" s="6"/>
      <c r="N700" s="23"/>
      <c r="O700" s="5"/>
      <c r="P700" s="6"/>
      <c r="Q700" s="6"/>
      <c r="R700" s="6"/>
      <c r="S700" s="6"/>
      <c r="T700" s="6"/>
      <c r="U700" s="6"/>
      <c r="V700" s="5"/>
      <c r="W700" s="6"/>
      <c r="X700" s="6">
        <f>E700*F700/100</f>
      </c>
      <c r="Y700" s="6">
        <f>E700*G700/100</f>
      </c>
      <c r="Z700" s="7">
        <f>E700*H700</f>
      </c>
      <c r="AA700" s="7">
        <f>E700*J700</f>
      </c>
      <c r="AB700" s="6">
        <f>E700*I700/100</f>
      </c>
      <c r="AC700" s="15">
        <f>X700+Y700+AB700</f>
      </c>
      <c r="AD700" s="6">
        <f>F700+G700+I700</f>
      </c>
      <c r="AE700" s="3"/>
      <c r="AF700" s="6">
        <f>SUM(AM700:BC700)</f>
      </c>
      <c r="AG700" s="5">
        <f>IF(SUM(AM700:AO700)&gt;0.7*AF700,1,0)</f>
      </c>
      <c r="AH700" s="5">
        <f>IF(AN700&gt;0.4*AF700,1,0)</f>
      </c>
      <c r="AI700" s="5">
        <f>IF(SUM(AP700:AQ700)&gt;0.3*AF700,1,0)</f>
      </c>
      <c r="AJ700" s="5">
        <f>IF(AQ700&gt;0.2*AF700,1,0)</f>
      </c>
      <c r="AK700" s="5">
        <f>IF(SUM(AR700:BC700)&gt;0.3*AF700,1,0)</f>
      </c>
      <c r="AL700" s="3"/>
      <c r="AM700" s="6">
        <f>(F700/100)*AM$41</f>
      </c>
      <c r="AN700" s="6">
        <f>(G700/100)*AN$41</f>
      </c>
      <c r="AO700" s="6">
        <f>(H700/1000000)*AO$41</f>
      </c>
      <c r="AP700" s="6">
        <f>(I700/100)*AP$41</f>
      </c>
      <c r="AQ700" s="6">
        <f>(J700/1000000)*AQ$41</f>
      </c>
      <c r="AR700" s="6">
        <f>(K700/100)*AR$41</f>
      </c>
      <c r="AS700" s="6">
        <f>(L700/100)*AS$41</f>
      </c>
      <c r="AT700" s="6">
        <f>(M700/100)*AT$41</f>
      </c>
      <c r="AU700" s="6">
        <f>(N700/100)*AU$41</f>
      </c>
      <c r="AV700" s="6">
        <f>(O700/1000000)*AV$41</f>
      </c>
      <c r="AW700" s="6">
        <f>(P700/100)*AW$41</f>
      </c>
      <c r="AX700" s="6">
        <f>(Q700/100)*AX$41</f>
      </c>
      <c r="AY700" s="6">
        <f>(R700/100)*AY$41</f>
      </c>
      <c r="AZ700" s="6">
        <f>(S700/100)*AZ$41</f>
      </c>
      <c r="BA700" s="6">
        <f>(T700/100)*BA$41</f>
      </c>
      <c r="BB700" s="6">
        <f>(U700/100)*BB$41</f>
      </c>
      <c r="BC700" s="6"/>
      <c r="BD700" s="3"/>
      <c r="BE700" s="3"/>
      <c r="BF700" s="7">
        <f>AF700*E700</f>
      </c>
      <c r="BG700" s="6"/>
      <c r="BH700" s="3"/>
      <c r="BI700" s="6"/>
    </row>
    <row x14ac:dyDescent="0.25" r="701" customHeight="1" ht="12.75">
      <c r="A701" s="5" t="s">
        <v>715</v>
      </c>
      <c r="B701" s="3" t="s">
        <v>855</v>
      </c>
      <c r="C701" s="43" t="s">
        <v>870</v>
      </c>
      <c r="D701" s="34"/>
      <c r="E701" s="6">
        <v>6.3</v>
      </c>
      <c r="F701" s="6"/>
      <c r="G701" s="6">
        <v>3.3</v>
      </c>
      <c r="H701" s="6">
        <v>12.1</v>
      </c>
      <c r="I701" s="6">
        <v>0.5</v>
      </c>
      <c r="J701" s="6"/>
      <c r="K701" s="7"/>
      <c r="L701" s="6"/>
      <c r="M701" s="6"/>
      <c r="N701" s="23"/>
      <c r="O701" s="5"/>
      <c r="P701" s="6"/>
      <c r="Q701" s="6"/>
      <c r="R701" s="6"/>
      <c r="S701" s="6"/>
      <c r="T701" s="6"/>
      <c r="U701" s="6"/>
      <c r="V701" s="5"/>
      <c r="W701" s="6"/>
      <c r="X701" s="6">
        <f>E701*F701/100</f>
      </c>
      <c r="Y701" s="6">
        <f>E701*G701/100</f>
      </c>
      <c r="Z701" s="7">
        <f>E701*H701</f>
      </c>
      <c r="AA701" s="7">
        <f>E701*J701</f>
      </c>
      <c r="AB701" s="6">
        <f>E701*I701/100</f>
      </c>
      <c r="AC701" s="15">
        <f>X701+Y701+AB701</f>
      </c>
      <c r="AD701" s="6">
        <f>F701+G701+I701</f>
      </c>
      <c r="AE701" s="3"/>
      <c r="AF701" s="6">
        <f>SUM(AM701:BC701)</f>
      </c>
      <c r="AG701" s="5">
        <f>IF(SUM(AM701:AO701)&gt;0.7*AF701,1,0)</f>
      </c>
      <c r="AH701" s="5">
        <f>IF(AN701&gt;0.4*AF701,1,0)</f>
      </c>
      <c r="AI701" s="5">
        <f>IF(SUM(AP701:AQ701)&gt;0.3*AF701,1,0)</f>
      </c>
      <c r="AJ701" s="5">
        <f>IF(AQ701&gt;0.2*AF701,1,0)</f>
      </c>
      <c r="AK701" s="5">
        <f>IF(SUM(AR701:BC701)&gt;0.3*AF701,1,0)</f>
      </c>
      <c r="AL701" s="3"/>
      <c r="AM701" s="6">
        <f>(F701/100)*AM$41</f>
      </c>
      <c r="AN701" s="6">
        <f>(G701/100)*AN$41</f>
      </c>
      <c r="AO701" s="6">
        <f>(H701/1000000)*AO$41</f>
      </c>
      <c r="AP701" s="6">
        <f>(I701/100)*AP$41</f>
      </c>
      <c r="AQ701" s="6">
        <f>(J701/1000000)*AQ$41</f>
      </c>
      <c r="AR701" s="6">
        <f>(K701/100)*AR$41</f>
      </c>
      <c r="AS701" s="6">
        <f>(L701/100)*AS$41</f>
      </c>
      <c r="AT701" s="6">
        <f>(M701/100)*AT$41</f>
      </c>
      <c r="AU701" s="6">
        <f>(N701/100)*AU$41</f>
      </c>
      <c r="AV701" s="6">
        <f>(O701/1000000)*AV$41</f>
      </c>
      <c r="AW701" s="6">
        <f>(P701/100)*AW$41</f>
      </c>
      <c r="AX701" s="6">
        <f>(Q701/100)*AX$41</f>
      </c>
      <c r="AY701" s="6">
        <f>(R701/100)*AY$41</f>
      </c>
      <c r="AZ701" s="6">
        <f>(S701/100)*AZ$41</f>
      </c>
      <c r="BA701" s="6">
        <f>(T701/100)*BA$41</f>
      </c>
      <c r="BB701" s="6">
        <f>(U701/100)*BB$41</f>
      </c>
      <c r="BC701" s="6"/>
      <c r="BD701" s="3"/>
      <c r="BE701" s="3"/>
      <c r="BF701" s="7">
        <f>AF701*E701</f>
      </c>
      <c r="BG701" s="6"/>
      <c r="BH701" s="3"/>
      <c r="BI701" s="6"/>
    </row>
    <row x14ac:dyDescent="0.25" r="702" customHeight="1" ht="12.75">
      <c r="A702" s="5" t="s">
        <v>717</v>
      </c>
      <c r="B702" s="3" t="s">
        <v>855</v>
      </c>
      <c r="C702" s="43" t="s">
        <v>870</v>
      </c>
      <c r="D702" s="34"/>
      <c r="E702" s="6">
        <v>4.7</v>
      </c>
      <c r="F702" s="6">
        <v>0.2</v>
      </c>
      <c r="G702" s="6">
        <v>4.5</v>
      </c>
      <c r="H702" s="5">
        <v>19</v>
      </c>
      <c r="I702" s="6">
        <v>0.33</v>
      </c>
      <c r="J702" s="6"/>
      <c r="K702" s="7"/>
      <c r="L702" s="6"/>
      <c r="M702" s="6"/>
      <c r="N702" s="23"/>
      <c r="O702" s="5"/>
      <c r="P702" s="6"/>
      <c r="Q702" s="6"/>
      <c r="R702" s="6"/>
      <c r="S702" s="6"/>
      <c r="T702" s="6"/>
      <c r="U702" s="6"/>
      <c r="V702" s="5"/>
      <c r="W702" s="6"/>
      <c r="X702" s="6">
        <f>E702*F702/100</f>
      </c>
      <c r="Y702" s="6">
        <f>E702*G702/100</f>
      </c>
      <c r="Z702" s="7">
        <f>E702*H702</f>
      </c>
      <c r="AA702" s="7">
        <f>E702*J702</f>
      </c>
      <c r="AB702" s="6">
        <f>E702*I702/100</f>
      </c>
      <c r="AC702" s="15">
        <f>X702+Y702+AB702</f>
      </c>
      <c r="AD702" s="6">
        <f>F702+G702+I702</f>
      </c>
      <c r="AE702" s="3"/>
      <c r="AF702" s="6">
        <f>SUM(AM702:BC702)</f>
      </c>
      <c r="AG702" s="5">
        <f>IF(SUM(AM702:AO702)&gt;0.7*AF702,1,0)</f>
      </c>
      <c r="AH702" s="5">
        <f>IF(AN702&gt;0.4*AF702,1,0)</f>
      </c>
      <c r="AI702" s="5">
        <f>IF(SUM(AP702:AQ702)&gt;0.3*AF702,1,0)</f>
      </c>
      <c r="AJ702" s="5">
        <f>IF(AQ702&gt;0.2*AF702,1,0)</f>
      </c>
      <c r="AK702" s="5">
        <f>IF(SUM(AR702:BC702)&gt;0.3*AF702,1,0)</f>
      </c>
      <c r="AL702" s="3"/>
      <c r="AM702" s="6">
        <f>(F702/100)*AM$41</f>
      </c>
      <c r="AN702" s="6">
        <f>(G702/100)*AN$41</f>
      </c>
      <c r="AO702" s="6">
        <f>(H702/1000000)*AO$41</f>
      </c>
      <c r="AP702" s="6">
        <f>(I702/100)*AP$41</f>
      </c>
      <c r="AQ702" s="6">
        <f>(J702/1000000)*AQ$41</f>
      </c>
      <c r="AR702" s="6">
        <f>(K702/100)*AR$41</f>
      </c>
      <c r="AS702" s="6">
        <f>(L702/100)*AS$41</f>
      </c>
      <c r="AT702" s="6">
        <f>(M702/100)*AT$41</f>
      </c>
      <c r="AU702" s="6">
        <f>(N702/100)*AU$41</f>
      </c>
      <c r="AV702" s="6">
        <f>(O702/1000000)*AV$41</f>
      </c>
      <c r="AW702" s="6">
        <f>(P702/100)*AW$41</f>
      </c>
      <c r="AX702" s="6">
        <f>(Q702/100)*AX$41</f>
      </c>
      <c r="AY702" s="6">
        <f>(R702/100)*AY$41</f>
      </c>
      <c r="AZ702" s="6">
        <f>(S702/100)*AZ$41</f>
      </c>
      <c r="BA702" s="6">
        <f>(T702/100)*BA$41</f>
      </c>
      <c r="BB702" s="6">
        <f>(U702/100)*BB$41</f>
      </c>
      <c r="BC702" s="6"/>
      <c r="BD702" s="3"/>
      <c r="BE702" s="3"/>
      <c r="BF702" s="7">
        <f>AF702*E702</f>
      </c>
      <c r="BG702" s="6"/>
      <c r="BH702" s="3"/>
      <c r="BI702" s="6"/>
    </row>
    <row x14ac:dyDescent="0.25" r="703" customHeight="1" ht="12.75">
      <c r="A703" s="5" t="s">
        <v>628</v>
      </c>
      <c r="B703" s="3" t="s">
        <v>855</v>
      </c>
      <c r="C703" s="43" t="s">
        <v>870</v>
      </c>
      <c r="D703" s="34"/>
      <c r="E703" s="6">
        <v>9.030999999999999</v>
      </c>
      <c r="F703" s="6"/>
      <c r="G703" s="6">
        <v>1.5637825268519545</v>
      </c>
      <c r="H703" s="7">
        <v>25.981368619200534</v>
      </c>
      <c r="I703" s="6">
        <v>0.8979293544457979</v>
      </c>
      <c r="J703" s="6">
        <v>1.5909013398294762</v>
      </c>
      <c r="K703" s="7"/>
      <c r="L703" s="6"/>
      <c r="M703" s="6"/>
      <c r="N703" s="23"/>
      <c r="O703" s="5"/>
      <c r="P703" s="6"/>
      <c r="Q703" s="6"/>
      <c r="R703" s="6"/>
      <c r="S703" s="6"/>
      <c r="T703" s="6"/>
      <c r="U703" s="6"/>
      <c r="V703" s="5"/>
      <c r="W703" s="6"/>
      <c r="X703" s="6">
        <f>E703*F703/100</f>
      </c>
      <c r="Y703" s="6">
        <f>E703*G703/100</f>
      </c>
      <c r="Z703" s="7">
        <f>E703*H703</f>
      </c>
      <c r="AA703" s="7">
        <f>E703*J703</f>
      </c>
      <c r="AB703" s="6">
        <f>E703*I703/100</f>
      </c>
      <c r="AC703" s="15">
        <f>X703+Y703+AB703</f>
      </c>
      <c r="AD703" s="6">
        <f>F703+G703+I703</f>
      </c>
      <c r="AE703" s="3"/>
      <c r="AF703" s="6">
        <f>SUM(AM703:BC703)</f>
      </c>
      <c r="AG703" s="5">
        <f>IF(SUM(AM703:AO703)&gt;0.7*AF703,1,0)</f>
      </c>
      <c r="AH703" s="5">
        <f>IF(AN703&gt;0.4*AF703,1,0)</f>
      </c>
      <c r="AI703" s="5">
        <f>IF(SUM(AP703:AQ703)&gt;0.3*AF703,1,0)</f>
      </c>
      <c r="AJ703" s="5">
        <f>IF(AQ703&gt;0.2*AF703,1,0)</f>
      </c>
      <c r="AK703" s="5">
        <f>IF(SUM(AR703:BC703)&gt;0.3*AF703,1,0)</f>
      </c>
      <c r="AL703" s="3"/>
      <c r="AM703" s="6">
        <f>(F703/100)*AM$41</f>
      </c>
      <c r="AN703" s="6">
        <f>(G703/100)*AN$41</f>
      </c>
      <c r="AO703" s="6">
        <f>(H703/1000000)*AO$41</f>
      </c>
      <c r="AP703" s="6">
        <f>(I703/100)*AP$41</f>
      </c>
      <c r="AQ703" s="6">
        <f>(J703/1000000)*AQ$41</f>
      </c>
      <c r="AR703" s="6">
        <f>(K703/100)*AR$41</f>
      </c>
      <c r="AS703" s="6">
        <f>(L703/100)*AS$41</f>
      </c>
      <c r="AT703" s="6">
        <f>(M703/100)*AT$41</f>
      </c>
      <c r="AU703" s="6">
        <f>(N703/100)*AU$41</f>
      </c>
      <c r="AV703" s="6">
        <f>(O703/1000000)*AV$41</f>
      </c>
      <c r="AW703" s="6">
        <f>(P703/100)*AW$41</f>
      </c>
      <c r="AX703" s="6">
        <f>(Q703/100)*AX$41</f>
      </c>
      <c r="AY703" s="6">
        <f>(R703/100)*AY$41</f>
      </c>
      <c r="AZ703" s="6">
        <f>(S703/100)*AZ$41</f>
      </c>
      <c r="BA703" s="6">
        <f>(T703/100)*BA$41</f>
      </c>
      <c r="BB703" s="6">
        <f>(U703/100)*BB$41</f>
      </c>
      <c r="BC703" s="6"/>
      <c r="BD703" s="3"/>
      <c r="BE703" s="3"/>
      <c r="BF703" s="7">
        <f>AF703*E703</f>
      </c>
      <c r="BG703" s="6"/>
      <c r="BH703" s="3"/>
      <c r="BI703" s="6"/>
    </row>
    <row x14ac:dyDescent="0.25" r="704" customHeight="1" ht="12.75">
      <c r="A704" s="5" t="s">
        <v>724</v>
      </c>
      <c r="B704" s="3" t="s">
        <v>855</v>
      </c>
      <c r="C704" s="43" t="s">
        <v>870</v>
      </c>
      <c r="D704" s="34"/>
      <c r="E704" s="6">
        <v>4.458</v>
      </c>
      <c r="F704" s="6">
        <v>0.92</v>
      </c>
      <c r="G704" s="6">
        <v>3.24</v>
      </c>
      <c r="H704" s="6">
        <v>25.97</v>
      </c>
      <c r="I704" s="6">
        <v>0.81</v>
      </c>
      <c r="J704" s="6">
        <v>0.31</v>
      </c>
      <c r="K704" s="7"/>
      <c r="L704" s="6"/>
      <c r="M704" s="6"/>
      <c r="N704" s="23"/>
      <c r="O704" s="5"/>
      <c r="P704" s="6"/>
      <c r="Q704" s="6"/>
      <c r="R704" s="6"/>
      <c r="S704" s="6"/>
      <c r="T704" s="6"/>
      <c r="U704" s="6"/>
      <c r="V704" s="5"/>
      <c r="W704" s="6"/>
      <c r="X704" s="6">
        <f>E704*F704/100</f>
      </c>
      <c r="Y704" s="6">
        <f>E704*G704/100</f>
      </c>
      <c r="Z704" s="7">
        <f>E704*H704</f>
      </c>
      <c r="AA704" s="7">
        <f>E704*J704</f>
      </c>
      <c r="AB704" s="6">
        <f>E704*I704/100</f>
      </c>
      <c r="AC704" s="15">
        <f>X704+Y704+AB704</f>
      </c>
      <c r="AD704" s="6">
        <f>F704+G704+I704</f>
      </c>
      <c r="AE704" s="3"/>
      <c r="AF704" s="6">
        <f>SUM(AM704:BC704)</f>
      </c>
      <c r="AG704" s="5">
        <f>IF(SUM(AM704:AO704)&gt;0.7*AF704,1,0)</f>
      </c>
      <c r="AH704" s="5">
        <f>IF(AN704&gt;0.4*AF704,1,0)</f>
      </c>
      <c r="AI704" s="5">
        <f>IF(SUM(AP704:AQ704)&gt;0.3*AF704,1,0)</f>
      </c>
      <c r="AJ704" s="5">
        <f>IF(AQ704&gt;0.2*AF704,1,0)</f>
      </c>
      <c r="AK704" s="5">
        <f>IF(SUM(AR704:BC704)&gt;0.3*AF704,1,0)</f>
      </c>
      <c r="AL704" s="3"/>
      <c r="AM704" s="6">
        <f>(F704/100)*AM$41</f>
      </c>
      <c r="AN704" s="6">
        <f>(G704/100)*AN$41</f>
      </c>
      <c r="AO704" s="6">
        <f>(H704/1000000)*AO$41</f>
      </c>
      <c r="AP704" s="6">
        <f>(I704/100)*AP$41</f>
      </c>
      <c r="AQ704" s="6">
        <f>(J704/1000000)*AQ$41</f>
      </c>
      <c r="AR704" s="6">
        <f>(K704/100)*AR$41</f>
      </c>
      <c r="AS704" s="6">
        <f>(L704/100)*AS$41</f>
      </c>
      <c r="AT704" s="6">
        <f>(M704/100)*AT$41</f>
      </c>
      <c r="AU704" s="6">
        <f>(N704/100)*AU$41</f>
      </c>
      <c r="AV704" s="6">
        <f>(O704/1000000)*AV$41</f>
      </c>
      <c r="AW704" s="6">
        <f>(P704/100)*AW$41</f>
      </c>
      <c r="AX704" s="6">
        <f>(Q704/100)*AX$41</f>
      </c>
      <c r="AY704" s="6">
        <f>(R704/100)*AY$41</f>
      </c>
      <c r="AZ704" s="6">
        <f>(S704/100)*AZ$41</f>
      </c>
      <c r="BA704" s="6">
        <f>(T704/100)*BA$41</f>
      </c>
      <c r="BB704" s="6">
        <f>(U704/100)*BB$41</f>
      </c>
      <c r="BC704" s="6"/>
      <c r="BD704" s="3"/>
      <c r="BE704" s="3"/>
      <c r="BF704" s="7">
        <f>AF704*E704</f>
      </c>
      <c r="BG704" s="6"/>
      <c r="BH704" s="3"/>
      <c r="BI704" s="6"/>
    </row>
    <row x14ac:dyDescent="0.25" r="705" customHeight="1" ht="12.75">
      <c r="A705" s="5" t="s">
        <v>113</v>
      </c>
      <c r="B705" s="3" t="s">
        <v>855</v>
      </c>
      <c r="C705" s="43" t="s">
        <v>870</v>
      </c>
      <c r="D705" s="34"/>
      <c r="E705" s="6">
        <v>1.841</v>
      </c>
      <c r="F705" s="6"/>
      <c r="G705" s="6">
        <v>10.05</v>
      </c>
      <c r="H705" s="5">
        <v>115</v>
      </c>
      <c r="I705" s="6">
        <v>1.78</v>
      </c>
      <c r="J705" s="6">
        <v>3.31</v>
      </c>
      <c r="K705" s="7"/>
      <c r="L705" s="6"/>
      <c r="M705" s="6"/>
      <c r="N705" s="23"/>
      <c r="O705" s="5"/>
      <c r="P705" s="6"/>
      <c r="Q705" s="6"/>
      <c r="R705" s="6"/>
      <c r="S705" s="6"/>
      <c r="T705" s="6"/>
      <c r="U705" s="6"/>
      <c r="V705" s="5"/>
      <c r="W705" s="6"/>
      <c r="X705" s="6">
        <f>E705*F705/100</f>
      </c>
      <c r="Y705" s="6">
        <f>E705*G705/100</f>
      </c>
      <c r="Z705" s="7">
        <f>E705*H705</f>
      </c>
      <c r="AA705" s="7">
        <f>E705*J705</f>
      </c>
      <c r="AB705" s="6">
        <f>E705*I705/100</f>
      </c>
      <c r="AC705" s="15">
        <f>X705+Y705+AB705</f>
      </c>
      <c r="AD705" s="6">
        <f>F705+G705+I705</f>
      </c>
      <c r="AE705" s="3"/>
      <c r="AF705" s="6">
        <f>SUM(AM705:BC705)</f>
      </c>
      <c r="AG705" s="5">
        <f>IF(SUM(AM705:AO705)&gt;0.7*AF705,1,0)</f>
      </c>
      <c r="AH705" s="5">
        <f>IF(AN705&gt;0.4*AF705,1,0)</f>
      </c>
      <c r="AI705" s="5">
        <f>IF(SUM(AP705:AQ705)&gt;0.3*AF705,1,0)</f>
      </c>
      <c r="AJ705" s="5">
        <f>IF(AQ705&gt;0.2*AF705,1,0)</f>
      </c>
      <c r="AK705" s="5">
        <f>IF(SUM(AR705:BC705)&gt;0.3*AF705,1,0)</f>
      </c>
      <c r="AL705" s="3"/>
      <c r="AM705" s="6">
        <f>(F705/100)*AM$41</f>
      </c>
      <c r="AN705" s="6">
        <f>(G705/100)*AN$41</f>
      </c>
      <c r="AO705" s="6">
        <f>(H705/1000000)*AO$41</f>
      </c>
      <c r="AP705" s="6">
        <f>(I705/100)*AP$41</f>
      </c>
      <c r="AQ705" s="6">
        <f>(J705/1000000)*AQ$41</f>
      </c>
      <c r="AR705" s="6">
        <f>(K705/100)*AR$41</f>
      </c>
      <c r="AS705" s="6">
        <f>(L705/100)*AS$41</f>
      </c>
      <c r="AT705" s="6">
        <f>(M705/100)*AT$41</f>
      </c>
      <c r="AU705" s="6">
        <f>(N705/100)*AU$41</f>
      </c>
      <c r="AV705" s="6">
        <f>(O705/1000000)*AV$41</f>
      </c>
      <c r="AW705" s="6">
        <f>(P705/100)*AW$41</f>
      </c>
      <c r="AX705" s="6">
        <f>(Q705/100)*AX$41</f>
      </c>
      <c r="AY705" s="6">
        <f>(R705/100)*AY$41</f>
      </c>
      <c r="AZ705" s="6">
        <f>(S705/100)*AZ$41</f>
      </c>
      <c r="BA705" s="6">
        <f>(T705/100)*BA$41</f>
      </c>
      <c r="BB705" s="6">
        <f>(U705/100)*BB$41</f>
      </c>
      <c r="BC705" s="6"/>
      <c r="BD705" s="3"/>
      <c r="BE705" s="3"/>
      <c r="BF705" s="7">
        <f>AF705*E705</f>
      </c>
      <c r="BG705" s="6"/>
      <c r="BH705" s="3"/>
      <c r="BI705" s="6"/>
    </row>
    <row x14ac:dyDescent="0.25" r="706" customHeight="1" ht="12.75">
      <c r="A706" s="5" t="s">
        <v>38</v>
      </c>
      <c r="B706" s="3" t="s">
        <v>855</v>
      </c>
      <c r="C706" s="43" t="s">
        <v>870</v>
      </c>
      <c r="D706" s="34" t="s">
        <v>1028</v>
      </c>
      <c r="E706" s="6">
        <v>2.5700000000000003</v>
      </c>
      <c r="F706" s="6"/>
      <c r="G706" s="7">
        <v>0.6996108949416342</v>
      </c>
      <c r="H706" s="7">
        <v>29.591439688715948</v>
      </c>
      <c r="I706" s="7">
        <v>7.739299610894941</v>
      </c>
      <c r="J706" s="7">
        <v>5.8389105058365764</v>
      </c>
      <c r="K706" s="7"/>
      <c r="L706" s="6"/>
      <c r="M706" s="6"/>
      <c r="N706" s="23"/>
      <c r="O706" s="5"/>
      <c r="P706" s="6"/>
      <c r="Q706" s="6"/>
      <c r="R706" s="6"/>
      <c r="S706" s="6"/>
      <c r="T706" s="6"/>
      <c r="U706" s="6"/>
      <c r="V706" s="5"/>
      <c r="W706" s="6"/>
      <c r="X706" s="6">
        <f>E706*F706/100</f>
      </c>
      <c r="Y706" s="6">
        <f>E706*G706/100</f>
      </c>
      <c r="Z706" s="7">
        <f>E706*H706</f>
      </c>
      <c r="AA706" s="7">
        <f>E706*J706</f>
      </c>
      <c r="AB706" s="6">
        <f>E706*I706/100</f>
      </c>
      <c r="AC706" s="15">
        <f>X706+Y706+AB706</f>
      </c>
      <c r="AD706" s="6">
        <f>F706+G706+I706</f>
      </c>
      <c r="AE706" s="3"/>
      <c r="AF706" s="6">
        <f>SUM(AM706:BC706)</f>
      </c>
      <c r="AG706" s="5">
        <f>IF(SUM(AM706:AO706)&gt;0.7*AF706,1,0)</f>
      </c>
      <c r="AH706" s="5">
        <f>IF(AN706&gt;0.4*AF706,1,0)</f>
      </c>
      <c r="AI706" s="5">
        <f>IF(SUM(AP706:AQ706)&gt;0.3*AF706,1,0)</f>
      </c>
      <c r="AJ706" s="5">
        <f>IF(AQ706&gt;0.2*AF706,1,0)</f>
      </c>
      <c r="AK706" s="5">
        <f>IF(SUM(AR706:BC706)&gt;0.3*AF706,1,0)</f>
      </c>
      <c r="AL706" s="3"/>
      <c r="AM706" s="6">
        <f>(F706/100)*AM$41</f>
      </c>
      <c r="AN706" s="6">
        <f>(G706/100)*AN$41</f>
      </c>
      <c r="AO706" s="6">
        <f>(H706/1000000)*AO$41</f>
      </c>
      <c r="AP706" s="6">
        <f>(I706/100)*AP$41</f>
      </c>
      <c r="AQ706" s="6">
        <f>(J706/1000000)*AQ$41</f>
      </c>
      <c r="AR706" s="6">
        <f>(K706/100)*AR$41</f>
      </c>
      <c r="AS706" s="6">
        <f>(L706/100)*AS$41</f>
      </c>
      <c r="AT706" s="6">
        <f>(M706/100)*AT$41</f>
      </c>
      <c r="AU706" s="6">
        <f>(N706/100)*AU$41</f>
      </c>
      <c r="AV706" s="6">
        <f>(O706/1000000)*AV$41</f>
      </c>
      <c r="AW706" s="6">
        <f>(P706/100)*AW$41</f>
      </c>
      <c r="AX706" s="6">
        <f>(Q706/100)*AX$41</f>
      </c>
      <c r="AY706" s="6">
        <f>(R706/100)*AY$41</f>
      </c>
      <c r="AZ706" s="6">
        <f>(S706/100)*AZ$41</f>
      </c>
      <c r="BA706" s="6">
        <f>(T706/100)*BA$41</f>
      </c>
      <c r="BB706" s="6">
        <f>(U706/100)*BB$41</f>
      </c>
      <c r="BC706" s="6"/>
      <c r="BD706" s="3"/>
      <c r="BE706" s="3"/>
      <c r="BF706" s="7">
        <f>AF706*E706</f>
      </c>
      <c r="BG706" s="6"/>
      <c r="BH706" s="3"/>
      <c r="BI706" s="6"/>
    </row>
    <row x14ac:dyDescent="0.25" r="707" customHeight="1" ht="12.75">
      <c r="A707" s="5" t="s">
        <v>308</v>
      </c>
      <c r="B707" s="3" t="s">
        <v>855</v>
      </c>
      <c r="C707" s="43" t="s">
        <v>870</v>
      </c>
      <c r="D707" s="34"/>
      <c r="E707" s="23">
        <v>2.0772</v>
      </c>
      <c r="F707" s="6">
        <v>2.9217966493356444</v>
      </c>
      <c r="G707" s="6">
        <v>6.820892547660312</v>
      </c>
      <c r="H707" s="7">
        <v>103.98903235124206</v>
      </c>
      <c r="I707" s="6">
        <v>0.47784325052955906</v>
      </c>
      <c r="J707" s="6">
        <v>1.3909137300211822</v>
      </c>
      <c r="K707" s="7"/>
      <c r="L707" s="6"/>
      <c r="M707" s="6"/>
      <c r="N707" s="23"/>
      <c r="O707" s="5"/>
      <c r="P707" s="6"/>
      <c r="Q707" s="6"/>
      <c r="R707" s="6"/>
      <c r="S707" s="6"/>
      <c r="T707" s="6"/>
      <c r="U707" s="6"/>
      <c r="V707" s="5"/>
      <c r="W707" s="6"/>
      <c r="X707" s="6">
        <f>E707*F707/100</f>
      </c>
      <c r="Y707" s="6">
        <f>E707*G707/100</f>
      </c>
      <c r="Z707" s="7">
        <f>E707*H707</f>
      </c>
      <c r="AA707" s="7">
        <f>E707*J707</f>
      </c>
      <c r="AB707" s="6">
        <f>E707*I707/100</f>
      </c>
      <c r="AC707" s="15">
        <f>X707+Y707+AB707</f>
      </c>
      <c r="AD707" s="6">
        <f>F707+G707+I707</f>
      </c>
      <c r="AE707" s="3"/>
      <c r="AF707" s="6">
        <f>SUM(AM707:BC707)</f>
      </c>
      <c r="AG707" s="5">
        <f>IF(SUM(AM707:AO707)&gt;0.7*AF707,1,0)</f>
      </c>
      <c r="AH707" s="5">
        <f>IF(AN707&gt;0.4*AF707,1,0)</f>
      </c>
      <c r="AI707" s="5">
        <f>IF(SUM(AP707:AQ707)&gt;0.3*AF707,1,0)</f>
      </c>
      <c r="AJ707" s="5">
        <f>IF(AQ707&gt;0.2*AF707,1,0)</f>
      </c>
      <c r="AK707" s="5">
        <f>IF(SUM(AR707:BC707)&gt;0.3*AF707,1,0)</f>
      </c>
      <c r="AL707" s="3"/>
      <c r="AM707" s="6">
        <f>(F707/100)*AM$41</f>
      </c>
      <c r="AN707" s="6">
        <f>(G707/100)*AN$41</f>
      </c>
      <c r="AO707" s="6">
        <f>(H707/1000000)*AO$41</f>
      </c>
      <c r="AP707" s="6">
        <f>(I707/100)*AP$41</f>
      </c>
      <c r="AQ707" s="6">
        <f>(J707/1000000)*AQ$41</f>
      </c>
      <c r="AR707" s="6">
        <f>(K707/100)*AR$41</f>
      </c>
      <c r="AS707" s="6">
        <f>(L707/100)*AS$41</f>
      </c>
      <c r="AT707" s="6">
        <f>(M707/100)*AT$41</f>
      </c>
      <c r="AU707" s="6">
        <f>(N707/100)*AU$41</f>
      </c>
      <c r="AV707" s="6">
        <f>(O707/1000000)*AV$41</f>
      </c>
      <c r="AW707" s="6">
        <f>(P707/100)*AW$41</f>
      </c>
      <c r="AX707" s="6">
        <f>(Q707/100)*AX$41</f>
      </c>
      <c r="AY707" s="6">
        <f>(R707/100)*AY$41</f>
      </c>
      <c r="AZ707" s="6">
        <f>(S707/100)*AZ$41</f>
      </c>
      <c r="BA707" s="6">
        <f>(T707/100)*BA$41</f>
      </c>
      <c r="BB707" s="6">
        <f>(U707/100)*BB$41</f>
      </c>
      <c r="BC707" s="6"/>
      <c r="BD707" s="3"/>
      <c r="BE707" s="3"/>
      <c r="BF707" s="7">
        <f>AF707*E707</f>
      </c>
      <c r="BG707" s="6"/>
      <c r="BH707" s="3"/>
      <c r="BI707" s="6"/>
    </row>
    <row x14ac:dyDescent="0.25" r="708" customHeight="1" ht="12.75">
      <c r="A708" s="5" t="s">
        <v>710</v>
      </c>
      <c r="B708" s="3" t="s">
        <v>855</v>
      </c>
      <c r="C708" s="43" t="s">
        <v>870</v>
      </c>
      <c r="D708" s="34"/>
      <c r="E708" s="6">
        <v>6.882</v>
      </c>
      <c r="F708" s="6"/>
      <c r="G708" s="6">
        <v>1.8541121766928221</v>
      </c>
      <c r="H708" s="31">
        <v>10.019761697181055</v>
      </c>
      <c r="I708" s="6">
        <v>1.136617262423714</v>
      </c>
      <c r="J708" s="7">
        <v>0.20377797151990704</v>
      </c>
      <c r="K708" s="7"/>
      <c r="L708" s="6"/>
      <c r="M708" s="6"/>
      <c r="N708" s="23"/>
      <c r="O708" s="5"/>
      <c r="P708" s="6"/>
      <c r="Q708" s="6"/>
      <c r="R708" s="6"/>
      <c r="S708" s="6"/>
      <c r="T708" s="6"/>
      <c r="U708" s="6"/>
      <c r="V708" s="5"/>
      <c r="W708" s="6"/>
      <c r="X708" s="6">
        <f>E708*F708/100</f>
      </c>
      <c r="Y708" s="6">
        <f>E708*G708/100</f>
      </c>
      <c r="Z708" s="7">
        <f>E708*H708</f>
      </c>
      <c r="AA708" s="7">
        <f>E708*J708</f>
      </c>
      <c r="AB708" s="6">
        <f>E708*I708/100</f>
      </c>
      <c r="AC708" s="15">
        <f>X708+Y708+AB708</f>
      </c>
      <c r="AD708" s="6">
        <f>F708+G708+I708</f>
      </c>
      <c r="AE708" s="3"/>
      <c r="AF708" s="6">
        <f>SUM(AM708:BC708)</f>
      </c>
      <c r="AG708" s="5">
        <f>IF(SUM(AM708:AO708)&gt;0.7*AF708,1,0)</f>
      </c>
      <c r="AH708" s="5">
        <f>IF(AN708&gt;0.4*AF708,1,0)</f>
      </c>
      <c r="AI708" s="5">
        <f>IF(SUM(AP708:AQ708)&gt;0.3*AF708,1,0)</f>
      </c>
      <c r="AJ708" s="5">
        <f>IF(AQ708&gt;0.2*AF708,1,0)</f>
      </c>
      <c r="AK708" s="5">
        <f>IF(SUM(AR708:BC708)&gt;0.3*AF708,1,0)</f>
      </c>
      <c r="AL708" s="3"/>
      <c r="AM708" s="6">
        <f>(F708/100)*AM$41</f>
      </c>
      <c r="AN708" s="6">
        <f>(G708/100)*AN$41</f>
      </c>
      <c r="AO708" s="6">
        <f>(H708/1000000)*AO$41</f>
      </c>
      <c r="AP708" s="6">
        <f>(I708/100)*AP$41</f>
      </c>
      <c r="AQ708" s="6">
        <f>(J708/1000000)*AQ$41</f>
      </c>
      <c r="AR708" s="6">
        <f>(K708/100)*AR$41</f>
      </c>
      <c r="AS708" s="6">
        <f>(L708/100)*AS$41</f>
      </c>
      <c r="AT708" s="6">
        <f>(M708/100)*AT$41</f>
      </c>
      <c r="AU708" s="6">
        <f>(N708/100)*AU$41</f>
      </c>
      <c r="AV708" s="6">
        <f>(O708/1000000)*AV$41</f>
      </c>
      <c r="AW708" s="6">
        <f>(P708/100)*AW$41</f>
      </c>
      <c r="AX708" s="6">
        <f>(Q708/100)*AX$41</f>
      </c>
      <c r="AY708" s="6">
        <f>(R708/100)*AY$41</f>
      </c>
      <c r="AZ708" s="6">
        <f>(S708/100)*AZ$41</f>
      </c>
      <c r="BA708" s="6">
        <f>(T708/100)*BA$41</f>
      </c>
      <c r="BB708" s="6">
        <f>(U708/100)*BB$41</f>
      </c>
      <c r="BC708" s="6"/>
      <c r="BD708" s="3"/>
      <c r="BE708" s="3"/>
      <c r="BF708" s="7">
        <f>AF708*E708</f>
      </c>
      <c r="BG708" s="6"/>
      <c r="BH708" s="3"/>
      <c r="BI708" s="6"/>
    </row>
    <row x14ac:dyDescent="0.25" r="709" customHeight="1" ht="12.75">
      <c r="A709" s="5" t="s">
        <v>125</v>
      </c>
      <c r="B709" s="3" t="s">
        <v>855</v>
      </c>
      <c r="C709" s="43" t="s">
        <v>870</v>
      </c>
      <c r="D709" s="34"/>
      <c r="E709" s="6">
        <v>1.287</v>
      </c>
      <c r="F709" s="6"/>
      <c r="G709" s="6">
        <v>15.06</v>
      </c>
      <c r="H709" s="6">
        <v>36.8</v>
      </c>
      <c r="I709" s="6">
        <v>0.84</v>
      </c>
      <c r="J709" s="6">
        <v>0.49</v>
      </c>
      <c r="K709" s="7"/>
      <c r="L709" s="6"/>
      <c r="M709" s="6"/>
      <c r="N709" s="23"/>
      <c r="O709" s="5"/>
      <c r="P709" s="6"/>
      <c r="Q709" s="6"/>
      <c r="R709" s="6"/>
      <c r="S709" s="6"/>
      <c r="T709" s="6"/>
      <c r="U709" s="6"/>
      <c r="V709" s="5"/>
      <c r="W709" s="6"/>
      <c r="X709" s="6">
        <f>E709*F709/100</f>
      </c>
      <c r="Y709" s="6">
        <f>E709*G709/100</f>
      </c>
      <c r="Z709" s="7">
        <f>E709*H709</f>
      </c>
      <c r="AA709" s="7">
        <f>E709*J709</f>
      </c>
      <c r="AB709" s="6">
        <f>E709*I709/100</f>
      </c>
      <c r="AC709" s="15">
        <f>X709+Y709+AB709</f>
      </c>
      <c r="AD709" s="6">
        <f>F709+G709+I709</f>
      </c>
      <c r="AE709" s="3"/>
      <c r="AF709" s="6">
        <f>SUM(AM709:BC709)</f>
      </c>
      <c r="AG709" s="5">
        <f>IF(SUM(AM709:AO709)&gt;0.7*AF709,1,0)</f>
      </c>
      <c r="AH709" s="5">
        <f>IF(AN709&gt;0.4*AF709,1,0)</f>
      </c>
      <c r="AI709" s="5">
        <f>IF(SUM(AP709:AQ709)&gt;0.3*AF709,1,0)</f>
      </c>
      <c r="AJ709" s="5">
        <f>IF(AQ709&gt;0.2*AF709,1,0)</f>
      </c>
      <c r="AK709" s="5">
        <f>IF(SUM(AR709:BC709)&gt;0.3*AF709,1,0)</f>
      </c>
      <c r="AL709" s="3"/>
      <c r="AM709" s="6">
        <f>(F709/100)*AM$41</f>
      </c>
      <c r="AN709" s="6">
        <f>(G709/100)*AN$41</f>
      </c>
      <c r="AO709" s="6">
        <f>(H709/1000000)*AO$41</f>
      </c>
      <c r="AP709" s="6">
        <f>(I709/100)*AP$41</f>
      </c>
      <c r="AQ709" s="6">
        <f>(J709/1000000)*AQ$41</f>
      </c>
      <c r="AR709" s="6">
        <f>(K709/100)*AR$41</f>
      </c>
      <c r="AS709" s="6">
        <f>(L709/100)*AS$41</f>
      </c>
      <c r="AT709" s="6">
        <f>(M709/100)*AT$41</f>
      </c>
      <c r="AU709" s="6">
        <f>(N709/100)*AU$41</f>
      </c>
      <c r="AV709" s="6">
        <f>(O709/1000000)*AV$41</f>
      </c>
      <c r="AW709" s="6">
        <f>(P709/100)*AW$41</f>
      </c>
      <c r="AX709" s="6">
        <f>(Q709/100)*AX$41</f>
      </c>
      <c r="AY709" s="6">
        <f>(R709/100)*AY$41</f>
      </c>
      <c r="AZ709" s="6">
        <f>(S709/100)*AZ$41</f>
      </c>
      <c r="BA709" s="6">
        <f>(T709/100)*BA$41</f>
      </c>
      <c r="BB709" s="6">
        <f>(U709/100)*BB$41</f>
      </c>
      <c r="BC709" s="6"/>
      <c r="BD709" s="3"/>
      <c r="BE709" s="3"/>
      <c r="BF709" s="7">
        <f>AF709*E709</f>
      </c>
      <c r="BG709" s="6"/>
      <c r="BH709" s="3"/>
      <c r="BI709" s="6"/>
    </row>
    <row x14ac:dyDescent="0.25" r="710" customHeight="1" ht="12.75">
      <c r="A710" s="5" t="s">
        <v>618</v>
      </c>
      <c r="B710" s="3" t="s">
        <v>855</v>
      </c>
      <c r="C710" s="43" t="s">
        <v>870</v>
      </c>
      <c r="D710" s="34"/>
      <c r="E710" s="6">
        <v>3.53</v>
      </c>
      <c r="F710" s="6"/>
      <c r="G710" s="6">
        <v>4.050991501416431</v>
      </c>
      <c r="H710" s="31">
        <v>19.416430594900852</v>
      </c>
      <c r="I710" s="6">
        <v>1.6297450424929176</v>
      </c>
      <c r="J710" s="6">
        <v>0.26974504249291786</v>
      </c>
      <c r="K710" s="7"/>
      <c r="L710" s="6"/>
      <c r="M710" s="6"/>
      <c r="N710" s="23"/>
      <c r="O710" s="5"/>
      <c r="P710" s="6"/>
      <c r="Q710" s="6"/>
      <c r="R710" s="6"/>
      <c r="S710" s="6"/>
      <c r="T710" s="6"/>
      <c r="U710" s="6"/>
      <c r="V710" s="5"/>
      <c r="W710" s="6"/>
      <c r="X710" s="6">
        <f>E710*F710/100</f>
      </c>
      <c r="Y710" s="6">
        <f>E710*G710/100</f>
      </c>
      <c r="Z710" s="7">
        <f>E710*H710</f>
      </c>
      <c r="AA710" s="7">
        <f>E710*J710</f>
      </c>
      <c r="AB710" s="6">
        <f>E710*I710/100</f>
      </c>
      <c r="AC710" s="15">
        <f>X710+Y710+AB710</f>
      </c>
      <c r="AD710" s="6">
        <f>F710+G710+I710</f>
      </c>
      <c r="AE710" s="3"/>
      <c r="AF710" s="6">
        <f>SUM(AM710:BC710)</f>
      </c>
      <c r="AG710" s="5">
        <f>IF(SUM(AM710:AO710)&gt;0.7*AF710,1,0)</f>
      </c>
      <c r="AH710" s="5">
        <f>IF(AN710&gt;0.4*AF710,1,0)</f>
      </c>
      <c r="AI710" s="5">
        <f>IF(SUM(AP710:AQ710)&gt;0.3*AF710,1,0)</f>
      </c>
      <c r="AJ710" s="5">
        <f>IF(AQ710&gt;0.2*AF710,1,0)</f>
      </c>
      <c r="AK710" s="5">
        <f>IF(SUM(AR710:BC710)&gt;0.3*AF710,1,0)</f>
      </c>
      <c r="AL710" s="3"/>
      <c r="AM710" s="6">
        <f>(F710/100)*AM$41</f>
      </c>
      <c r="AN710" s="6">
        <f>(G710/100)*AN$41</f>
      </c>
      <c r="AO710" s="6">
        <f>(H710/1000000)*AO$41</f>
      </c>
      <c r="AP710" s="6">
        <f>(I710/100)*AP$41</f>
      </c>
      <c r="AQ710" s="6">
        <f>(J710/1000000)*AQ$41</f>
      </c>
      <c r="AR710" s="6">
        <f>(K710/100)*AR$41</f>
      </c>
      <c r="AS710" s="6">
        <f>(L710/100)*AS$41</f>
      </c>
      <c r="AT710" s="6">
        <f>(M710/100)*AT$41</f>
      </c>
      <c r="AU710" s="6">
        <f>(N710/100)*AU$41</f>
      </c>
      <c r="AV710" s="6">
        <f>(O710/1000000)*AV$41</f>
      </c>
      <c r="AW710" s="6">
        <f>(P710/100)*AW$41</f>
      </c>
      <c r="AX710" s="6">
        <f>(Q710/100)*AX$41</f>
      </c>
      <c r="AY710" s="6">
        <f>(R710/100)*AY$41</f>
      </c>
      <c r="AZ710" s="6">
        <f>(S710/100)*AZ$41</f>
      </c>
      <c r="BA710" s="6">
        <f>(T710/100)*BA$41</f>
      </c>
      <c r="BB710" s="6">
        <f>(U710/100)*BB$41</f>
      </c>
      <c r="BC710" s="6"/>
      <c r="BD710" s="3"/>
      <c r="BE710" s="3"/>
      <c r="BF710" s="7">
        <f>AF710*E710</f>
      </c>
      <c r="BG710" s="6"/>
      <c r="BH710" s="3"/>
      <c r="BI710" s="6"/>
    </row>
    <row x14ac:dyDescent="0.25" r="711" customHeight="1" ht="12.75">
      <c r="A711" s="5" t="s">
        <v>504</v>
      </c>
      <c r="B711" s="3" t="s">
        <v>855</v>
      </c>
      <c r="C711" s="43" t="s">
        <v>870</v>
      </c>
      <c r="D711" s="34"/>
      <c r="E711" s="6">
        <v>5.136</v>
      </c>
      <c r="F711" s="6">
        <v>0.09764602803738318</v>
      </c>
      <c r="G711" s="6">
        <v>2.377295560747664</v>
      </c>
      <c r="H711" s="7">
        <v>27.799608644859816</v>
      </c>
      <c r="I711" s="6">
        <v>1.3499065420560747</v>
      </c>
      <c r="J711" s="6">
        <v>2.5332710280373827</v>
      </c>
      <c r="K711" s="7"/>
      <c r="L711" s="6"/>
      <c r="M711" s="6"/>
      <c r="N711" s="23"/>
      <c r="O711" s="5"/>
      <c r="P711" s="6"/>
      <c r="Q711" s="6"/>
      <c r="R711" s="6"/>
      <c r="S711" s="6"/>
      <c r="T711" s="6"/>
      <c r="U711" s="6"/>
      <c r="V711" s="5"/>
      <c r="W711" s="6"/>
      <c r="X711" s="6">
        <f>E711*F711/100</f>
      </c>
      <c r="Y711" s="6">
        <f>E711*G711/100</f>
      </c>
      <c r="Z711" s="7">
        <f>E711*H711</f>
      </c>
      <c r="AA711" s="7">
        <f>E711*J711</f>
      </c>
      <c r="AB711" s="6">
        <f>E711*I711/100</f>
      </c>
      <c r="AC711" s="15">
        <f>X711+Y711+AB711</f>
      </c>
      <c r="AD711" s="6">
        <f>F711+G711+I711</f>
      </c>
      <c r="AE711" s="3"/>
      <c r="AF711" s="6">
        <f>SUM(AM711:BC711)</f>
      </c>
      <c r="AG711" s="5">
        <f>IF(SUM(AM711:AO711)&gt;0.7*AF711,1,0)</f>
      </c>
      <c r="AH711" s="5">
        <f>IF(AN711&gt;0.4*AF711,1,0)</f>
      </c>
      <c r="AI711" s="5">
        <f>IF(SUM(AP711:AQ711)&gt;0.3*AF711,1,0)</f>
      </c>
      <c r="AJ711" s="5">
        <f>IF(AQ711&gt;0.2*AF711,1,0)</f>
      </c>
      <c r="AK711" s="5">
        <f>IF(SUM(AR711:BC711)&gt;0.3*AF711,1,0)</f>
      </c>
      <c r="AL711" s="3"/>
      <c r="AM711" s="6">
        <f>(F711/100)*AM$41</f>
      </c>
      <c r="AN711" s="6">
        <f>(G711/100)*AN$41</f>
      </c>
      <c r="AO711" s="6">
        <f>(H711/1000000)*AO$41</f>
      </c>
      <c r="AP711" s="6">
        <f>(I711/100)*AP$41</f>
      </c>
      <c r="AQ711" s="6">
        <f>(J711/1000000)*AQ$41</f>
      </c>
      <c r="AR711" s="6">
        <f>(K711/100)*AR$41</f>
      </c>
      <c r="AS711" s="6">
        <f>(L711/100)*AS$41</f>
      </c>
      <c r="AT711" s="6">
        <f>(M711/100)*AT$41</f>
      </c>
      <c r="AU711" s="6">
        <f>(N711/100)*AU$41</f>
      </c>
      <c r="AV711" s="6">
        <f>(O711/1000000)*AV$41</f>
      </c>
      <c r="AW711" s="6">
        <f>(P711/100)*AW$41</f>
      </c>
      <c r="AX711" s="6">
        <f>(Q711/100)*AX$41</f>
      </c>
      <c r="AY711" s="6">
        <f>(R711/100)*AY$41</f>
      </c>
      <c r="AZ711" s="6">
        <f>(S711/100)*AZ$41</f>
      </c>
      <c r="BA711" s="6">
        <f>(T711/100)*BA$41</f>
      </c>
      <c r="BB711" s="6">
        <f>(U711/100)*BB$41</f>
      </c>
      <c r="BC711" s="6"/>
      <c r="BD711" s="3"/>
      <c r="BE711" s="3"/>
      <c r="BF711" s="7">
        <f>AF711*E711</f>
      </c>
      <c r="BG711" s="6"/>
      <c r="BH711" s="3"/>
      <c r="BI711" s="6"/>
    </row>
    <row x14ac:dyDescent="0.25" r="712" customHeight="1" ht="12.75">
      <c r="A712" s="5" t="s">
        <v>704</v>
      </c>
      <c r="B712" s="3" t="s">
        <v>855</v>
      </c>
      <c r="C712" s="43" t="s">
        <v>870</v>
      </c>
      <c r="D712" s="34"/>
      <c r="E712" s="6">
        <v>3.79</v>
      </c>
      <c r="F712" s="6">
        <v>0.8723482849604222</v>
      </c>
      <c r="G712" s="6">
        <v>3.85778364116095</v>
      </c>
      <c r="H712" s="7">
        <v>42.37337730870713</v>
      </c>
      <c r="I712" s="6">
        <v>0.4241688654353562</v>
      </c>
      <c r="J712" s="6">
        <v>0.8301583113456464</v>
      </c>
      <c r="K712" s="7"/>
      <c r="L712" s="6"/>
      <c r="M712" s="6"/>
      <c r="N712" s="23"/>
      <c r="O712" s="5"/>
      <c r="P712" s="6"/>
      <c r="Q712" s="6"/>
      <c r="R712" s="6"/>
      <c r="S712" s="6"/>
      <c r="T712" s="6"/>
      <c r="U712" s="6"/>
      <c r="V712" s="5"/>
      <c r="W712" s="6"/>
      <c r="X712" s="6">
        <f>E712*F712/100</f>
      </c>
      <c r="Y712" s="6">
        <f>E712*G712/100</f>
      </c>
      <c r="Z712" s="7">
        <f>E712*H712</f>
      </c>
      <c r="AA712" s="7">
        <f>E712*J712</f>
      </c>
      <c r="AB712" s="6">
        <f>E712*I712/100</f>
      </c>
      <c r="AC712" s="15">
        <f>X712+Y712+AB712</f>
      </c>
      <c r="AD712" s="6">
        <f>F712+G712+I712</f>
      </c>
      <c r="AE712" s="3"/>
      <c r="AF712" s="6">
        <f>SUM(AM712:BC712)</f>
      </c>
      <c r="AG712" s="5">
        <f>IF(SUM(AM712:AO712)&gt;0.7*AF712,1,0)</f>
      </c>
      <c r="AH712" s="5">
        <f>IF(AN712&gt;0.4*AF712,1,0)</f>
      </c>
      <c r="AI712" s="5">
        <f>IF(SUM(AP712:AQ712)&gt;0.3*AF712,1,0)</f>
      </c>
      <c r="AJ712" s="5">
        <f>IF(AQ712&gt;0.2*AF712,1,0)</f>
      </c>
      <c r="AK712" s="5">
        <f>IF(SUM(AR712:BC712)&gt;0.3*AF712,1,0)</f>
      </c>
      <c r="AL712" s="3"/>
      <c r="AM712" s="6">
        <f>(F712/100)*AM$41</f>
      </c>
      <c r="AN712" s="6">
        <f>(G712/100)*AN$41</f>
      </c>
      <c r="AO712" s="6">
        <f>(H712/1000000)*AO$41</f>
      </c>
      <c r="AP712" s="6">
        <f>(I712/100)*AP$41</f>
      </c>
      <c r="AQ712" s="6">
        <f>(J712/1000000)*AQ$41</f>
      </c>
      <c r="AR712" s="6">
        <f>(K712/100)*AR$41</f>
      </c>
      <c r="AS712" s="6">
        <f>(L712/100)*AS$41</f>
      </c>
      <c r="AT712" s="6">
        <f>(M712/100)*AT$41</f>
      </c>
      <c r="AU712" s="6">
        <f>(N712/100)*AU$41</f>
      </c>
      <c r="AV712" s="6">
        <f>(O712/1000000)*AV$41</f>
      </c>
      <c r="AW712" s="6">
        <f>(P712/100)*AW$41</f>
      </c>
      <c r="AX712" s="6">
        <f>(Q712/100)*AX$41</f>
      </c>
      <c r="AY712" s="6">
        <f>(R712/100)*AY$41</f>
      </c>
      <c r="AZ712" s="6">
        <f>(S712/100)*AZ$41</f>
      </c>
      <c r="BA712" s="6">
        <f>(T712/100)*BA$41</f>
      </c>
      <c r="BB712" s="6">
        <f>(U712/100)*BB$41</f>
      </c>
      <c r="BC712" s="6"/>
      <c r="BD712" s="3"/>
      <c r="BE712" s="3"/>
      <c r="BF712" s="7">
        <f>AF712*E712</f>
      </c>
      <c r="BG712" s="6"/>
      <c r="BH712" s="3"/>
      <c r="BI712" s="6"/>
    </row>
    <row x14ac:dyDescent="0.25" r="713" customHeight="1" ht="12.75">
      <c r="A713" s="5" t="s">
        <v>598</v>
      </c>
      <c r="B713" s="3" t="s">
        <v>855</v>
      </c>
      <c r="C713" s="43" t="s">
        <v>870</v>
      </c>
      <c r="D713" s="34"/>
      <c r="E713" s="6">
        <v>2.98</v>
      </c>
      <c r="F713" s="6">
        <v>1.588</v>
      </c>
      <c r="G713" s="6">
        <v>4.94</v>
      </c>
      <c r="H713" s="5">
        <v>15</v>
      </c>
      <c r="I713" s="6"/>
      <c r="J713" s="6"/>
      <c r="K713" s="7"/>
      <c r="L713" s="6"/>
      <c r="M713" s="6"/>
      <c r="N713" s="23"/>
      <c r="O713" s="5"/>
      <c r="P713" s="6"/>
      <c r="Q713" s="6"/>
      <c r="R713" s="6"/>
      <c r="S713" s="6"/>
      <c r="T713" s="6"/>
      <c r="U713" s="6"/>
      <c r="V713" s="5"/>
      <c r="W713" s="6"/>
      <c r="X713" s="6">
        <f>E713*F713/100</f>
      </c>
      <c r="Y713" s="6">
        <f>E713*G713/100</f>
      </c>
      <c r="Z713" s="7">
        <f>E713*H713</f>
      </c>
      <c r="AA713" s="7">
        <f>E713*J713</f>
      </c>
      <c r="AB713" s="6">
        <f>E713*I713/100</f>
      </c>
      <c r="AC713" s="15">
        <f>X713+Y713+AB713</f>
      </c>
      <c r="AD713" s="6">
        <f>F713+G713+I713</f>
      </c>
      <c r="AE713" s="3"/>
      <c r="AF713" s="6">
        <f>SUM(AM713:BC713)</f>
      </c>
      <c r="AG713" s="5">
        <f>IF(SUM(AM713:AO713)&gt;0.7*AF713,1,0)</f>
      </c>
      <c r="AH713" s="5">
        <f>IF(AN713&gt;0.4*AF713,1,0)</f>
      </c>
      <c r="AI713" s="5">
        <f>IF(SUM(AP713:AQ713)&gt;0.3*AF713,1,0)</f>
      </c>
      <c r="AJ713" s="5">
        <f>IF(AQ713&gt;0.2*AF713,1,0)</f>
      </c>
      <c r="AK713" s="5">
        <f>IF(SUM(AR713:BC713)&gt;0.3*AF713,1,0)</f>
      </c>
      <c r="AL713" s="3"/>
      <c r="AM713" s="6">
        <f>(F713/100)*AM$41</f>
      </c>
      <c r="AN713" s="6">
        <f>(G713/100)*AN$41</f>
      </c>
      <c r="AO713" s="6">
        <f>(H713/1000000)*AO$41</f>
      </c>
      <c r="AP713" s="6">
        <f>(I713/100)*AP$41</f>
      </c>
      <c r="AQ713" s="6">
        <f>(J713/1000000)*AQ$41</f>
      </c>
      <c r="AR713" s="6">
        <f>(K713/100)*AR$41</f>
      </c>
      <c r="AS713" s="6">
        <f>(L713/100)*AS$41</f>
      </c>
      <c r="AT713" s="6">
        <f>(M713/100)*AT$41</f>
      </c>
      <c r="AU713" s="6">
        <f>(N713/100)*AU$41</f>
      </c>
      <c r="AV713" s="6">
        <f>(O713/1000000)*AV$41</f>
      </c>
      <c r="AW713" s="6">
        <f>(P713/100)*AW$41</f>
      </c>
      <c r="AX713" s="6">
        <f>(Q713/100)*AX$41</f>
      </c>
      <c r="AY713" s="6">
        <f>(R713/100)*AY$41</f>
      </c>
      <c r="AZ713" s="6">
        <f>(S713/100)*AZ$41</f>
      </c>
      <c r="BA713" s="6">
        <f>(T713/100)*BA$41</f>
      </c>
      <c r="BB713" s="6">
        <f>(U713/100)*BB$41</f>
      </c>
      <c r="BC713" s="6"/>
      <c r="BD713" s="3"/>
      <c r="BE713" s="3"/>
      <c r="BF713" s="7">
        <f>AF713*E713</f>
      </c>
      <c r="BG713" s="6"/>
      <c r="BH713" s="3"/>
      <c r="BI713" s="6"/>
    </row>
    <row x14ac:dyDescent="0.25" r="714" customHeight="1" ht="12.75">
      <c r="A714" s="5" t="s">
        <v>671</v>
      </c>
      <c r="B714" s="3" t="s">
        <v>855</v>
      </c>
      <c r="C714" s="43" t="s">
        <v>870</v>
      </c>
      <c r="D714" s="34"/>
      <c r="E714" s="23">
        <v>4.867</v>
      </c>
      <c r="F714" s="6">
        <v>1.684857201561537</v>
      </c>
      <c r="G714" s="6">
        <v>0.935196219437025</v>
      </c>
      <c r="H714" s="31">
        <v>33.25518800082186</v>
      </c>
      <c r="I714" s="6">
        <v>1.208506266694062</v>
      </c>
      <c r="J714" s="6">
        <v>1.1089089788370656</v>
      </c>
      <c r="K714" s="7"/>
      <c r="L714" s="6"/>
      <c r="M714" s="6"/>
      <c r="N714" s="23"/>
      <c r="O714" s="5"/>
      <c r="P714" s="6"/>
      <c r="Q714" s="6"/>
      <c r="R714" s="6"/>
      <c r="S714" s="6"/>
      <c r="T714" s="6"/>
      <c r="U714" s="6"/>
      <c r="V714" s="5"/>
      <c r="W714" s="6"/>
      <c r="X714" s="6">
        <f>E714*F714/100</f>
      </c>
      <c r="Y714" s="6">
        <f>E714*G714/100</f>
      </c>
      <c r="Z714" s="7">
        <f>E714*H714</f>
      </c>
      <c r="AA714" s="7">
        <f>E714*J714</f>
      </c>
      <c r="AB714" s="6">
        <f>E714*I714/100</f>
      </c>
      <c r="AC714" s="15">
        <f>X714+Y714+AB714</f>
      </c>
      <c r="AD714" s="6">
        <f>F714+G714+I714</f>
      </c>
      <c r="AE714" s="3"/>
      <c r="AF714" s="6">
        <f>SUM(AM714:BC714)</f>
      </c>
      <c r="AG714" s="5">
        <f>IF(SUM(AM714:AO714)&gt;0.7*AF714,1,0)</f>
      </c>
      <c r="AH714" s="5">
        <f>IF(AN714&gt;0.4*AF714,1,0)</f>
      </c>
      <c r="AI714" s="5">
        <f>IF(SUM(AP714:AQ714)&gt;0.3*AF714,1,0)</f>
      </c>
      <c r="AJ714" s="5">
        <f>IF(AQ714&gt;0.2*AF714,1,0)</f>
      </c>
      <c r="AK714" s="5">
        <f>IF(SUM(AR714:BC714)&gt;0.3*AF714,1,0)</f>
      </c>
      <c r="AL714" s="3"/>
      <c r="AM714" s="6">
        <f>(F714/100)*AM$41</f>
      </c>
      <c r="AN714" s="6">
        <f>(G714/100)*AN$41</f>
      </c>
      <c r="AO714" s="6">
        <f>(H714/1000000)*AO$41</f>
      </c>
      <c r="AP714" s="6">
        <f>(I714/100)*AP$41</f>
      </c>
      <c r="AQ714" s="6">
        <f>(J714/1000000)*AQ$41</f>
      </c>
      <c r="AR714" s="6">
        <f>(K714/100)*AR$41</f>
      </c>
      <c r="AS714" s="6">
        <f>(L714/100)*AS$41</f>
      </c>
      <c r="AT714" s="6">
        <f>(M714/100)*AT$41</f>
      </c>
      <c r="AU714" s="6">
        <f>(N714/100)*AU$41</f>
      </c>
      <c r="AV714" s="6">
        <f>(O714/1000000)*AV$41</f>
      </c>
      <c r="AW714" s="6">
        <f>(P714/100)*AW$41</f>
      </c>
      <c r="AX714" s="6">
        <f>(Q714/100)*AX$41</f>
      </c>
      <c r="AY714" s="6">
        <f>(R714/100)*AY$41</f>
      </c>
      <c r="AZ714" s="6">
        <f>(S714/100)*AZ$41</f>
      </c>
      <c r="BA714" s="6">
        <f>(T714/100)*BA$41</f>
      </c>
      <c r="BB714" s="6">
        <f>(U714/100)*BB$41</f>
      </c>
      <c r="BC714" s="6"/>
      <c r="BD714" s="3"/>
      <c r="BE714" s="3"/>
      <c r="BF714" s="7">
        <f>AF714*E714</f>
      </c>
      <c r="BG714" s="6"/>
      <c r="BH714" s="3"/>
      <c r="BI714" s="6"/>
    </row>
    <row x14ac:dyDescent="0.25" r="715" customHeight="1" ht="12.75">
      <c r="A715" s="5" t="s">
        <v>688</v>
      </c>
      <c r="B715" s="3" t="s">
        <v>855</v>
      </c>
      <c r="C715" s="43" t="s">
        <v>870</v>
      </c>
      <c r="D715" s="34"/>
      <c r="E715" s="6">
        <v>6.051</v>
      </c>
      <c r="F715" s="6"/>
      <c r="G715" s="6">
        <v>1.566856717897868</v>
      </c>
      <c r="H715" s="7">
        <v>17.515501569988434</v>
      </c>
      <c r="I715" s="6">
        <v>1.2531350190051231</v>
      </c>
      <c r="J715" s="6">
        <v>1.2986051892249215</v>
      </c>
      <c r="K715" s="7"/>
      <c r="L715" s="6"/>
      <c r="M715" s="6"/>
      <c r="N715" s="23"/>
      <c r="O715" s="5"/>
      <c r="P715" s="6"/>
      <c r="Q715" s="6"/>
      <c r="R715" s="6"/>
      <c r="S715" s="6"/>
      <c r="T715" s="6"/>
      <c r="U715" s="6"/>
      <c r="V715" s="5"/>
      <c r="W715" s="6"/>
      <c r="X715" s="6">
        <f>E715*F715/100</f>
      </c>
      <c r="Y715" s="6">
        <f>E715*G715/100</f>
      </c>
      <c r="Z715" s="7">
        <f>E715*H715</f>
      </c>
      <c r="AA715" s="7">
        <f>E715*J715</f>
      </c>
      <c r="AB715" s="6">
        <f>E715*I715/100</f>
      </c>
      <c r="AC715" s="15">
        <f>X715+Y715+AB715</f>
      </c>
      <c r="AD715" s="6">
        <f>F715+G715+I715</f>
      </c>
      <c r="AE715" s="3"/>
      <c r="AF715" s="6">
        <f>SUM(AM715:BC715)</f>
      </c>
      <c r="AG715" s="5">
        <f>IF(SUM(AM715:AO715)&gt;0.7*AF715,1,0)</f>
      </c>
      <c r="AH715" s="5">
        <f>IF(AN715&gt;0.4*AF715,1,0)</f>
      </c>
      <c r="AI715" s="5">
        <f>IF(SUM(AP715:AQ715)&gt;0.3*AF715,1,0)</f>
      </c>
      <c r="AJ715" s="5">
        <f>IF(AQ715&gt;0.2*AF715,1,0)</f>
      </c>
      <c r="AK715" s="5">
        <f>IF(SUM(AR715:BC715)&gt;0.3*AF715,1,0)</f>
      </c>
      <c r="AL715" s="3"/>
      <c r="AM715" s="6">
        <f>(F715/100)*AM$41</f>
      </c>
      <c r="AN715" s="6">
        <f>(G715/100)*AN$41</f>
      </c>
      <c r="AO715" s="6">
        <f>(H715/1000000)*AO$41</f>
      </c>
      <c r="AP715" s="6">
        <f>(I715/100)*AP$41</f>
      </c>
      <c r="AQ715" s="6">
        <f>(J715/1000000)*AQ$41</f>
      </c>
      <c r="AR715" s="6">
        <f>(K715/100)*AR$41</f>
      </c>
      <c r="AS715" s="6">
        <f>(L715/100)*AS$41</f>
      </c>
      <c r="AT715" s="6">
        <f>(M715/100)*AT$41</f>
      </c>
      <c r="AU715" s="6">
        <f>(N715/100)*AU$41</f>
      </c>
      <c r="AV715" s="6">
        <f>(O715/1000000)*AV$41</f>
      </c>
      <c r="AW715" s="6">
        <f>(P715/100)*AW$41</f>
      </c>
      <c r="AX715" s="6">
        <f>(Q715/100)*AX$41</f>
      </c>
      <c r="AY715" s="6">
        <f>(R715/100)*AY$41</f>
      </c>
      <c r="AZ715" s="6">
        <f>(S715/100)*AZ$41</f>
      </c>
      <c r="BA715" s="6">
        <f>(T715/100)*BA$41</f>
      </c>
      <c r="BB715" s="6">
        <f>(U715/100)*BB$41</f>
      </c>
      <c r="BC715" s="6"/>
      <c r="BD715" s="3"/>
      <c r="BE715" s="3"/>
      <c r="BF715" s="7">
        <f>AF715*E715</f>
      </c>
      <c r="BG715" s="6"/>
      <c r="BH715" s="3"/>
      <c r="BI715" s="6"/>
    </row>
    <row x14ac:dyDescent="0.25" r="716" customHeight="1" ht="12.75">
      <c r="A716" s="5" t="s">
        <v>760</v>
      </c>
      <c r="B716" s="3" t="s">
        <v>855</v>
      </c>
      <c r="C716" s="43" t="s">
        <v>870</v>
      </c>
      <c r="D716" s="34"/>
      <c r="E716" s="23">
        <v>7.560272</v>
      </c>
      <c r="F716" s="6">
        <v>0.381</v>
      </c>
      <c r="G716" s="6">
        <v>1.522</v>
      </c>
      <c r="H716" s="7">
        <v>15.311</v>
      </c>
      <c r="I716" s="6">
        <v>0.146</v>
      </c>
      <c r="J716" s="6"/>
      <c r="K716" s="7"/>
      <c r="L716" s="6"/>
      <c r="M716" s="6"/>
      <c r="N716" s="23"/>
      <c r="O716" s="5"/>
      <c r="P716" s="6"/>
      <c r="Q716" s="6"/>
      <c r="R716" s="6"/>
      <c r="S716" s="6"/>
      <c r="T716" s="6"/>
      <c r="U716" s="6"/>
      <c r="V716" s="5"/>
      <c r="W716" s="6"/>
      <c r="X716" s="6">
        <f>E716*F716/100</f>
      </c>
      <c r="Y716" s="6">
        <f>E716*G716/100</f>
      </c>
      <c r="Z716" s="7">
        <f>E716*H716</f>
      </c>
      <c r="AA716" s="7">
        <f>E716*J716</f>
      </c>
      <c r="AB716" s="6">
        <f>E716*I716/100</f>
      </c>
      <c r="AC716" s="15">
        <f>X716+Y716+AB716</f>
      </c>
      <c r="AD716" s="6">
        <f>F716+G716+I716</f>
      </c>
      <c r="AE716" s="3"/>
      <c r="AF716" s="6">
        <f>SUM(AM716:BC716)</f>
      </c>
      <c r="AG716" s="5">
        <f>IF(SUM(AM716:AO716)&gt;0.7*AF716,1,0)</f>
      </c>
      <c r="AH716" s="5">
        <f>IF(AN716&gt;0.4*AF716,1,0)</f>
      </c>
      <c r="AI716" s="5">
        <f>IF(SUM(AP716:AQ716)&gt;0.3*AF716,1,0)</f>
      </c>
      <c r="AJ716" s="5">
        <f>IF(AQ716&gt;0.2*AF716,1,0)</f>
      </c>
      <c r="AK716" s="5">
        <f>IF(SUM(AR716:BC716)&gt;0.3*AF716,1,0)</f>
      </c>
      <c r="AL716" s="3"/>
      <c r="AM716" s="6">
        <f>(F716/100)*AM$41</f>
      </c>
      <c r="AN716" s="6">
        <f>(G716/100)*AN$41</f>
      </c>
      <c r="AO716" s="6">
        <f>(H716/1000000)*AO$41</f>
      </c>
      <c r="AP716" s="6">
        <f>(I716/100)*AP$41</f>
      </c>
      <c r="AQ716" s="6">
        <f>(J716/1000000)*AQ$41</f>
      </c>
      <c r="AR716" s="6">
        <f>(K716/100)*AR$41</f>
      </c>
      <c r="AS716" s="6">
        <f>(L716/100)*AS$41</f>
      </c>
      <c r="AT716" s="6">
        <f>(M716/100)*AT$41</f>
      </c>
      <c r="AU716" s="6">
        <f>(N716/100)*AU$41</f>
      </c>
      <c r="AV716" s="6">
        <f>(O716/1000000)*AV$41</f>
      </c>
      <c r="AW716" s="6">
        <f>(P716/100)*AW$41</f>
      </c>
      <c r="AX716" s="6">
        <f>(Q716/100)*AX$41</f>
      </c>
      <c r="AY716" s="6">
        <f>(R716/100)*AY$41</f>
      </c>
      <c r="AZ716" s="6">
        <f>(S716/100)*AZ$41</f>
      </c>
      <c r="BA716" s="6">
        <f>(T716/100)*BA$41</f>
      </c>
      <c r="BB716" s="6">
        <f>(U716/100)*BB$41</f>
      </c>
      <c r="BC716" s="6"/>
      <c r="BD716" s="3"/>
      <c r="BE716" s="3"/>
      <c r="BF716" s="7">
        <f>AF716*E716</f>
      </c>
      <c r="BG716" s="6"/>
      <c r="BH716" s="3"/>
      <c r="BI716" s="6"/>
    </row>
    <row x14ac:dyDescent="0.25" r="717" customHeight="1" ht="12.75">
      <c r="A717" s="5" t="s">
        <v>750</v>
      </c>
      <c r="B717" s="3" t="s">
        <v>855</v>
      </c>
      <c r="C717" s="43" t="s">
        <v>870</v>
      </c>
      <c r="D717" s="34"/>
      <c r="E717" s="6">
        <v>3.85</v>
      </c>
      <c r="F717" s="6">
        <v>0.4426753246753247</v>
      </c>
      <c r="G717" s="6">
        <v>2.1495324675324676</v>
      </c>
      <c r="H717" s="7">
        <v>14.596623376623377</v>
      </c>
      <c r="I717" s="7">
        <v>1.2077662337662338</v>
      </c>
      <c r="J717" s="7">
        <v>0.46581818181818185</v>
      </c>
      <c r="K717" s="7"/>
      <c r="L717" s="6"/>
      <c r="M717" s="6"/>
      <c r="N717" s="23"/>
      <c r="O717" s="5"/>
      <c r="P717" s="6"/>
      <c r="Q717" s="6"/>
      <c r="R717" s="6"/>
      <c r="S717" s="6"/>
      <c r="T717" s="6"/>
      <c r="U717" s="6"/>
      <c r="V717" s="5"/>
      <c r="W717" s="6"/>
      <c r="X717" s="6">
        <f>E717*F717/100</f>
      </c>
      <c r="Y717" s="6">
        <f>E717*G717/100</f>
      </c>
      <c r="Z717" s="7">
        <f>E717*H717</f>
      </c>
      <c r="AA717" s="7">
        <f>E717*J717</f>
      </c>
      <c r="AB717" s="6">
        <f>E717*I717/100</f>
      </c>
      <c r="AC717" s="15">
        <f>X717+Y717+AB717</f>
      </c>
      <c r="AD717" s="6">
        <f>F717+G717+I717</f>
      </c>
      <c r="AE717" s="3"/>
      <c r="AF717" s="6">
        <f>SUM(AM717:BC717)</f>
      </c>
      <c r="AG717" s="5">
        <f>IF(SUM(AM717:AO717)&gt;0.7*AF717,1,0)</f>
      </c>
      <c r="AH717" s="5">
        <f>IF(AN717&gt;0.4*AF717,1,0)</f>
      </c>
      <c r="AI717" s="5">
        <f>IF(SUM(AP717:AQ717)&gt;0.3*AF717,1,0)</f>
      </c>
      <c r="AJ717" s="5">
        <f>IF(AQ717&gt;0.2*AF717,1,0)</f>
      </c>
      <c r="AK717" s="5">
        <f>IF(SUM(AR717:BC717)&gt;0.3*AF717,1,0)</f>
      </c>
      <c r="AL717" s="3"/>
      <c r="AM717" s="6">
        <f>(F717/100)*AM$41</f>
      </c>
      <c r="AN717" s="6">
        <f>(G717/100)*AN$41</f>
      </c>
      <c r="AO717" s="6">
        <f>(H717/1000000)*AO$41</f>
      </c>
      <c r="AP717" s="6">
        <f>(I717/100)*AP$41</f>
      </c>
      <c r="AQ717" s="6">
        <f>(J717/1000000)*AQ$41</f>
      </c>
      <c r="AR717" s="6">
        <f>(K717/100)*AR$41</f>
      </c>
      <c r="AS717" s="6">
        <f>(L717/100)*AS$41</f>
      </c>
      <c r="AT717" s="6">
        <f>(M717/100)*AT$41</f>
      </c>
      <c r="AU717" s="6">
        <f>(N717/100)*AU$41</f>
      </c>
      <c r="AV717" s="6">
        <f>(O717/1000000)*AV$41</f>
      </c>
      <c r="AW717" s="6">
        <f>(P717/100)*AW$41</f>
      </c>
      <c r="AX717" s="6">
        <f>(Q717/100)*AX$41</f>
      </c>
      <c r="AY717" s="6">
        <f>(R717/100)*AY$41</f>
      </c>
      <c r="AZ717" s="6">
        <f>(S717/100)*AZ$41</f>
      </c>
      <c r="BA717" s="6">
        <f>(T717/100)*BA$41</f>
      </c>
      <c r="BB717" s="6">
        <f>(U717/100)*BB$41</f>
      </c>
      <c r="BC717" s="6"/>
      <c r="BD717" s="3"/>
      <c r="BE717" s="3"/>
      <c r="BF717" s="7">
        <f>AF717*E717</f>
      </c>
      <c r="BG717" s="6"/>
      <c r="BH717" s="3"/>
      <c r="BI717" s="6"/>
    </row>
    <row x14ac:dyDescent="0.25" r="718" customHeight="1" ht="12.75">
      <c r="A718" s="5" t="s">
        <v>329</v>
      </c>
      <c r="B718" s="3" t="s">
        <v>855</v>
      </c>
      <c r="C718" s="43" t="s">
        <v>870</v>
      </c>
      <c r="D718" s="34"/>
      <c r="E718" s="6">
        <v>1.5</v>
      </c>
      <c r="F718" s="6">
        <v>3.1</v>
      </c>
      <c r="G718" s="6">
        <v>6.4</v>
      </c>
      <c r="H718" s="5">
        <v>90</v>
      </c>
      <c r="I718" s="6">
        <v>0.1</v>
      </c>
      <c r="J718" s="5">
        <v>2</v>
      </c>
      <c r="K718" s="7"/>
      <c r="L718" s="6"/>
      <c r="M718" s="6"/>
      <c r="N718" s="23"/>
      <c r="O718" s="5"/>
      <c r="P718" s="6"/>
      <c r="Q718" s="6"/>
      <c r="R718" s="6"/>
      <c r="S718" s="6"/>
      <c r="T718" s="6"/>
      <c r="U718" s="6"/>
      <c r="V718" s="5"/>
      <c r="W718" s="6"/>
      <c r="X718" s="6">
        <f>E718*F718/100</f>
      </c>
      <c r="Y718" s="6">
        <f>E718*G718/100</f>
      </c>
      <c r="Z718" s="7">
        <f>E718*H718</f>
      </c>
      <c r="AA718" s="7">
        <f>E718*J718</f>
      </c>
      <c r="AB718" s="6">
        <f>E718*I718/100</f>
      </c>
      <c r="AC718" s="15">
        <f>X718+Y718+AB718</f>
      </c>
      <c r="AD718" s="6">
        <f>F718+G718+I718</f>
      </c>
      <c r="AE718" s="3"/>
      <c r="AF718" s="6">
        <f>SUM(AM718:BC718)</f>
      </c>
      <c r="AG718" s="5">
        <f>IF(SUM(AM718:AO718)&gt;0.7*AF718,1,0)</f>
      </c>
      <c r="AH718" s="5">
        <f>IF(AN718&gt;0.4*AF718,1,0)</f>
      </c>
      <c r="AI718" s="5">
        <f>IF(SUM(AP718:AQ718)&gt;0.3*AF718,1,0)</f>
      </c>
      <c r="AJ718" s="5">
        <f>IF(AQ718&gt;0.2*AF718,1,0)</f>
      </c>
      <c r="AK718" s="5">
        <f>IF(SUM(AR718:BC718)&gt;0.3*AF718,1,0)</f>
      </c>
      <c r="AL718" s="3"/>
      <c r="AM718" s="6">
        <f>(F718/100)*AM$41</f>
      </c>
      <c r="AN718" s="6">
        <f>(G718/100)*AN$41</f>
      </c>
      <c r="AO718" s="6">
        <f>(H718/1000000)*AO$41</f>
      </c>
      <c r="AP718" s="6">
        <f>(I718/100)*AP$41</f>
      </c>
      <c r="AQ718" s="6">
        <f>(J718/1000000)*AQ$41</f>
      </c>
      <c r="AR718" s="6">
        <f>(K718/100)*AR$41</f>
      </c>
      <c r="AS718" s="6">
        <f>(L718/100)*AS$41</f>
      </c>
      <c r="AT718" s="6">
        <f>(M718/100)*AT$41</f>
      </c>
      <c r="AU718" s="6">
        <f>(N718/100)*AU$41</f>
      </c>
      <c r="AV718" s="6">
        <f>(O718/1000000)*AV$41</f>
      </c>
      <c r="AW718" s="6">
        <f>(P718/100)*AW$41</f>
      </c>
      <c r="AX718" s="6">
        <f>(Q718/100)*AX$41</f>
      </c>
      <c r="AY718" s="6">
        <f>(R718/100)*AY$41</f>
      </c>
      <c r="AZ718" s="6">
        <f>(S718/100)*AZ$41</f>
      </c>
      <c r="BA718" s="6">
        <f>(T718/100)*BA$41</f>
      </c>
      <c r="BB718" s="6">
        <f>(U718/100)*BB$41</f>
      </c>
      <c r="BC718" s="6"/>
      <c r="BD718" s="3"/>
      <c r="BE718" s="3"/>
      <c r="BF718" s="7">
        <f>AF718*E718</f>
      </c>
      <c r="BG718" s="6"/>
      <c r="BH718" s="3"/>
      <c r="BI718" s="6"/>
    </row>
    <row x14ac:dyDescent="0.25" r="719" customHeight="1" ht="12.75">
      <c r="A719" s="5" t="s">
        <v>590</v>
      </c>
      <c r="B719" s="3" t="s">
        <v>855</v>
      </c>
      <c r="C719" s="43" t="s">
        <v>870</v>
      </c>
      <c r="D719" s="34"/>
      <c r="E719" s="6">
        <v>7.7</v>
      </c>
      <c r="F719" s="6"/>
      <c r="G719" s="6">
        <v>0.52</v>
      </c>
      <c r="H719" s="7"/>
      <c r="I719" s="6">
        <v>1.31</v>
      </c>
      <c r="J719" s="6">
        <v>0.68</v>
      </c>
      <c r="K719" s="7"/>
      <c r="L719" s="6">
        <v>0.21</v>
      </c>
      <c r="M719" s="6">
        <v>0.23</v>
      </c>
      <c r="N719" s="23"/>
      <c r="O719" s="5"/>
      <c r="P719" s="6"/>
      <c r="Q719" s="6"/>
      <c r="R719" s="6"/>
      <c r="S719" s="6"/>
      <c r="T719" s="6"/>
      <c r="U719" s="6"/>
      <c r="V719" s="5"/>
      <c r="W719" s="6"/>
      <c r="X719" s="6">
        <f>E719*F719/100</f>
      </c>
      <c r="Y719" s="6">
        <f>E719*G719/100</f>
      </c>
      <c r="Z719" s="7">
        <f>E719*H719</f>
      </c>
      <c r="AA719" s="7">
        <f>E719*J719</f>
      </c>
      <c r="AB719" s="6">
        <f>E719*I719/100</f>
      </c>
      <c r="AC719" s="15">
        <f>X719+Y719+AB719</f>
      </c>
      <c r="AD719" s="6">
        <f>F719+G719+I719</f>
      </c>
      <c r="AE719" s="3"/>
      <c r="AF719" s="6">
        <f>SUM(AM719:BC719)</f>
      </c>
      <c r="AG719" s="5">
        <f>IF(SUM(AM719:AO719)&gt;0.7*AF719,1,0)</f>
      </c>
      <c r="AH719" s="5">
        <f>IF(AN719&gt;0.4*AF719,1,0)</f>
      </c>
      <c r="AI719" s="5">
        <f>IF(SUM(AP719:AQ719)&gt;0.3*AF719,1,0)</f>
      </c>
      <c r="AJ719" s="5">
        <f>IF(AQ719&gt;0.2*AF719,1,0)</f>
      </c>
      <c r="AK719" s="5">
        <f>IF(SUM(AR719:BC719)&gt;0.3*AF719,1,0)</f>
      </c>
      <c r="AL719" s="3"/>
      <c r="AM719" s="6">
        <f>(F719/100)*AM$41</f>
      </c>
      <c r="AN719" s="6">
        <f>(G719/100)*AN$41</f>
      </c>
      <c r="AO719" s="6">
        <f>(H719/1000000)*AO$41</f>
      </c>
      <c r="AP719" s="6">
        <f>(I719/100)*AP$41</f>
      </c>
      <c r="AQ719" s="6">
        <f>(J719/1000000)*AQ$41</f>
      </c>
      <c r="AR719" s="6">
        <f>(K719/100)*AR$41</f>
      </c>
      <c r="AS719" s="6">
        <f>(L719/100)*AS$41</f>
      </c>
      <c r="AT719" s="6">
        <f>(M719/100)*AT$41</f>
      </c>
      <c r="AU719" s="6">
        <f>(N719/100)*AU$41</f>
      </c>
      <c r="AV719" s="6">
        <f>(O719/1000000)*AV$41</f>
      </c>
      <c r="AW719" s="6">
        <f>(P719/100)*AW$41</f>
      </c>
      <c r="AX719" s="6">
        <f>(Q719/100)*AX$41</f>
      </c>
      <c r="AY719" s="6">
        <f>(R719/100)*AY$41</f>
      </c>
      <c r="AZ719" s="6">
        <f>(S719/100)*AZ$41</f>
      </c>
      <c r="BA719" s="6">
        <f>(T719/100)*BA$41</f>
      </c>
      <c r="BB719" s="6">
        <f>(U719/100)*BB$41</f>
      </c>
      <c r="BC719" s="6"/>
      <c r="BD719" s="3"/>
      <c r="BE719" s="3"/>
      <c r="BF719" s="7">
        <f>AF719*E719</f>
      </c>
      <c r="BG719" s="6"/>
      <c r="BH719" s="3"/>
      <c r="BI719" s="6"/>
    </row>
    <row x14ac:dyDescent="0.25" r="720" customHeight="1" ht="12.75">
      <c r="A720" s="5" t="s">
        <v>488</v>
      </c>
      <c r="B720" s="3" t="s">
        <v>855</v>
      </c>
      <c r="C720" s="43" t="s">
        <v>870</v>
      </c>
      <c r="D720" s="34"/>
      <c r="E720" s="6">
        <v>3.9929999999999994</v>
      </c>
      <c r="F720" s="6"/>
      <c r="G720" s="6">
        <v>0.9946280991735538</v>
      </c>
      <c r="H720" s="31">
        <v>26.636614074630604</v>
      </c>
      <c r="I720" s="6">
        <v>2.423979464062109</v>
      </c>
      <c r="J720" s="6">
        <v>1.6452767342849992</v>
      </c>
      <c r="K720" s="7"/>
      <c r="L720" s="6"/>
      <c r="M720" s="6"/>
      <c r="N720" s="23"/>
      <c r="O720" s="5"/>
      <c r="P720" s="6"/>
      <c r="Q720" s="6"/>
      <c r="R720" s="6"/>
      <c r="S720" s="6"/>
      <c r="T720" s="6"/>
      <c r="U720" s="6"/>
      <c r="V720" s="5"/>
      <c r="W720" s="6"/>
      <c r="X720" s="6">
        <f>E720*F720/100</f>
      </c>
      <c r="Y720" s="6">
        <f>E720*G720/100</f>
      </c>
      <c r="Z720" s="7">
        <f>E720*H720</f>
      </c>
      <c r="AA720" s="7">
        <f>E720*J720</f>
      </c>
      <c r="AB720" s="6">
        <f>E720*I720/100</f>
      </c>
      <c r="AC720" s="15">
        <f>X720+Y720+AB720</f>
      </c>
      <c r="AD720" s="6">
        <f>F720+G720+I720</f>
      </c>
      <c r="AE720" s="3"/>
      <c r="AF720" s="6">
        <f>SUM(AM720:BC720)</f>
      </c>
      <c r="AG720" s="5">
        <f>IF(SUM(AM720:AO720)&gt;0.7*AF720,1,0)</f>
      </c>
      <c r="AH720" s="5">
        <f>IF(AN720&gt;0.4*AF720,1,0)</f>
      </c>
      <c r="AI720" s="5">
        <f>IF(SUM(AP720:AQ720)&gt;0.3*AF720,1,0)</f>
      </c>
      <c r="AJ720" s="5">
        <f>IF(AQ720&gt;0.2*AF720,1,0)</f>
      </c>
      <c r="AK720" s="5">
        <f>IF(SUM(AR720:BC720)&gt;0.3*AF720,1,0)</f>
      </c>
      <c r="AL720" s="3"/>
      <c r="AM720" s="6">
        <f>(F720/100)*AM$41</f>
      </c>
      <c r="AN720" s="6">
        <f>(G720/100)*AN$41</f>
      </c>
      <c r="AO720" s="6">
        <f>(H720/1000000)*AO$41</f>
      </c>
      <c r="AP720" s="6">
        <f>(I720/100)*AP$41</f>
      </c>
      <c r="AQ720" s="6">
        <f>(J720/1000000)*AQ$41</f>
      </c>
      <c r="AR720" s="6">
        <f>(K720/100)*AR$41</f>
      </c>
      <c r="AS720" s="6">
        <f>(L720/100)*AS$41</f>
      </c>
      <c r="AT720" s="6">
        <f>(M720/100)*AT$41</f>
      </c>
      <c r="AU720" s="6">
        <f>(N720/100)*AU$41</f>
      </c>
      <c r="AV720" s="6">
        <f>(O720/1000000)*AV$41</f>
      </c>
      <c r="AW720" s="6">
        <f>(P720/100)*AW$41</f>
      </c>
      <c r="AX720" s="6">
        <f>(Q720/100)*AX$41</f>
      </c>
      <c r="AY720" s="6">
        <f>(R720/100)*AY$41</f>
      </c>
      <c r="AZ720" s="6">
        <f>(S720/100)*AZ$41</f>
      </c>
      <c r="BA720" s="6">
        <f>(T720/100)*BA$41</f>
      </c>
      <c r="BB720" s="6">
        <f>(U720/100)*BB$41</f>
      </c>
      <c r="BC720" s="6"/>
      <c r="BD720" s="3"/>
      <c r="BE720" s="3"/>
      <c r="BF720" s="7">
        <f>AF720*E720</f>
      </c>
      <c r="BG720" s="6"/>
      <c r="BH720" s="3"/>
      <c r="BI720" s="6"/>
    </row>
    <row x14ac:dyDescent="0.25" r="721" customHeight="1" ht="12.75">
      <c r="A721" s="5" t="s">
        <v>559</v>
      </c>
      <c r="B721" s="3" t="s">
        <v>855</v>
      </c>
      <c r="C721" s="43" t="s">
        <v>870</v>
      </c>
      <c r="D721" s="34"/>
      <c r="E721" s="6">
        <v>3.175</v>
      </c>
      <c r="F721" s="6">
        <v>0.76</v>
      </c>
      <c r="G721" s="6">
        <v>3.3</v>
      </c>
      <c r="H721" s="5">
        <v>101</v>
      </c>
      <c r="I721" s="6">
        <v>0.19</v>
      </c>
      <c r="J721" s="6">
        <v>2.1</v>
      </c>
      <c r="K721" s="7"/>
      <c r="L721" s="6"/>
      <c r="M721" s="6"/>
      <c r="N721" s="23"/>
      <c r="O721" s="5"/>
      <c r="P721" s="6"/>
      <c r="Q721" s="6"/>
      <c r="R721" s="6"/>
      <c r="S721" s="6"/>
      <c r="T721" s="6"/>
      <c r="U721" s="6"/>
      <c r="V721" s="5"/>
      <c r="W721" s="6"/>
      <c r="X721" s="6">
        <f>E721*F721/100</f>
      </c>
      <c r="Y721" s="6">
        <f>E721*G721/100</f>
      </c>
      <c r="Z721" s="7">
        <f>E721*H721</f>
      </c>
      <c r="AA721" s="7">
        <f>E721*J721</f>
      </c>
      <c r="AB721" s="6">
        <f>E721*I721/100</f>
      </c>
      <c r="AC721" s="15">
        <f>X721+Y721+AB721</f>
      </c>
      <c r="AD721" s="6">
        <f>F721+G721+I721</f>
      </c>
      <c r="AE721" s="3"/>
      <c r="AF721" s="6">
        <f>SUM(AM721:BC721)</f>
      </c>
      <c r="AG721" s="5">
        <f>IF(SUM(AM721:AO721)&gt;0.7*AF721,1,0)</f>
      </c>
      <c r="AH721" s="5">
        <f>IF(AN721&gt;0.4*AF721,1,0)</f>
      </c>
      <c r="AI721" s="5">
        <f>IF(SUM(AP721:AQ721)&gt;0.3*AF721,1,0)</f>
      </c>
      <c r="AJ721" s="5">
        <f>IF(AQ721&gt;0.2*AF721,1,0)</f>
      </c>
      <c r="AK721" s="5">
        <f>IF(SUM(AR721:BC721)&gt;0.3*AF721,1,0)</f>
      </c>
      <c r="AL721" s="3"/>
      <c r="AM721" s="6">
        <f>(F721/100)*AM$41</f>
      </c>
      <c r="AN721" s="6">
        <f>(G721/100)*AN$41</f>
      </c>
      <c r="AO721" s="6">
        <f>(H721/1000000)*AO$41</f>
      </c>
      <c r="AP721" s="6">
        <f>(I721/100)*AP$41</f>
      </c>
      <c r="AQ721" s="6">
        <f>(J721/1000000)*AQ$41</f>
      </c>
      <c r="AR721" s="6">
        <f>(K721/100)*AR$41</f>
      </c>
      <c r="AS721" s="6">
        <f>(L721/100)*AS$41</f>
      </c>
      <c r="AT721" s="6">
        <f>(M721/100)*AT$41</f>
      </c>
      <c r="AU721" s="6">
        <f>(N721/100)*AU$41</f>
      </c>
      <c r="AV721" s="6">
        <f>(O721/1000000)*AV$41</f>
      </c>
      <c r="AW721" s="6">
        <f>(P721/100)*AW$41</f>
      </c>
      <c r="AX721" s="6">
        <f>(Q721/100)*AX$41</f>
      </c>
      <c r="AY721" s="6">
        <f>(R721/100)*AY$41</f>
      </c>
      <c r="AZ721" s="6">
        <f>(S721/100)*AZ$41</f>
      </c>
      <c r="BA721" s="6">
        <f>(T721/100)*BA$41</f>
      </c>
      <c r="BB721" s="6">
        <f>(U721/100)*BB$41</f>
      </c>
      <c r="BC721" s="6"/>
      <c r="BD721" s="3"/>
      <c r="BE721" s="3"/>
      <c r="BF721" s="7">
        <f>AF721*E721</f>
      </c>
      <c r="BG721" s="6"/>
      <c r="BH721" s="3"/>
      <c r="BI721" s="6"/>
    </row>
    <row x14ac:dyDescent="0.25" r="722" customHeight="1" ht="12.75">
      <c r="A722" s="5" t="s">
        <v>707</v>
      </c>
      <c r="B722" s="3" t="s">
        <v>855</v>
      </c>
      <c r="C722" s="43" t="s">
        <v>870</v>
      </c>
      <c r="D722" s="34"/>
      <c r="E722" s="23">
        <v>2.545049</v>
      </c>
      <c r="F722" s="6">
        <v>1.1</v>
      </c>
      <c r="G722" s="6">
        <v>3.75</v>
      </c>
      <c r="H722" s="6">
        <v>39.61</v>
      </c>
      <c r="I722" s="6">
        <v>0.4</v>
      </c>
      <c r="J722" s="6"/>
      <c r="K722" s="7"/>
      <c r="L722" s="6"/>
      <c r="M722" s="6"/>
      <c r="N722" s="23"/>
      <c r="O722" s="5"/>
      <c r="P722" s="6"/>
      <c r="Q722" s="6"/>
      <c r="R722" s="6"/>
      <c r="S722" s="6"/>
      <c r="T722" s="6"/>
      <c r="U722" s="6"/>
      <c r="V722" s="5"/>
      <c r="W722" s="6"/>
      <c r="X722" s="6">
        <f>E722*F722/100</f>
      </c>
      <c r="Y722" s="6">
        <f>E722*G722/100</f>
      </c>
      <c r="Z722" s="7">
        <f>E722*H722</f>
      </c>
      <c r="AA722" s="7">
        <f>E722*J722</f>
      </c>
      <c r="AB722" s="6">
        <f>E722*I722/100</f>
      </c>
      <c r="AC722" s="15">
        <f>X722+Y722+AB722</f>
      </c>
      <c r="AD722" s="6">
        <f>F722+G722+I722</f>
      </c>
      <c r="AE722" s="3"/>
      <c r="AF722" s="6">
        <f>SUM(AM722:BC722)</f>
      </c>
      <c r="AG722" s="5">
        <f>IF(SUM(AM722:AO722)&gt;0.7*AF722,1,0)</f>
      </c>
      <c r="AH722" s="5">
        <f>IF(AN722&gt;0.4*AF722,1,0)</f>
      </c>
      <c r="AI722" s="5">
        <f>IF(SUM(AP722:AQ722)&gt;0.3*AF722,1,0)</f>
      </c>
      <c r="AJ722" s="5">
        <f>IF(AQ722&gt;0.2*AF722,1,0)</f>
      </c>
      <c r="AK722" s="5">
        <f>IF(SUM(AR722:BC722)&gt;0.3*AF722,1,0)</f>
      </c>
      <c r="AL722" s="3"/>
      <c r="AM722" s="6">
        <f>(F722/100)*AM$41</f>
      </c>
      <c r="AN722" s="6">
        <f>(G722/100)*AN$41</f>
      </c>
      <c r="AO722" s="6">
        <f>(H722/1000000)*AO$41</f>
      </c>
      <c r="AP722" s="6">
        <f>(I722/100)*AP$41</f>
      </c>
      <c r="AQ722" s="6">
        <f>(J722/1000000)*AQ$41</f>
      </c>
      <c r="AR722" s="6">
        <f>(K722/100)*AR$41</f>
      </c>
      <c r="AS722" s="6">
        <f>(L722/100)*AS$41</f>
      </c>
      <c r="AT722" s="6">
        <f>(M722/100)*AT$41</f>
      </c>
      <c r="AU722" s="6">
        <f>(N722/100)*AU$41</f>
      </c>
      <c r="AV722" s="6">
        <f>(O722/1000000)*AV$41</f>
      </c>
      <c r="AW722" s="6">
        <f>(P722/100)*AW$41</f>
      </c>
      <c r="AX722" s="6">
        <f>(Q722/100)*AX$41</f>
      </c>
      <c r="AY722" s="6">
        <f>(R722/100)*AY$41</f>
      </c>
      <c r="AZ722" s="6">
        <f>(S722/100)*AZ$41</f>
      </c>
      <c r="BA722" s="6">
        <f>(T722/100)*BA$41</f>
      </c>
      <c r="BB722" s="6">
        <f>(U722/100)*BB$41</f>
      </c>
      <c r="BC722" s="6"/>
      <c r="BD722" s="3"/>
      <c r="BE722" s="3"/>
      <c r="BF722" s="7">
        <f>AF722*E722</f>
      </c>
      <c r="BG722" s="6"/>
      <c r="BH722" s="3"/>
      <c r="BI722" s="6"/>
    </row>
    <row x14ac:dyDescent="0.25" r="723" customHeight="1" ht="12.75">
      <c r="A723" s="5" t="s">
        <v>369</v>
      </c>
      <c r="B723" s="3" t="s">
        <v>855</v>
      </c>
      <c r="C723" s="43" t="s">
        <v>870</v>
      </c>
      <c r="D723" s="34"/>
      <c r="E723" s="6">
        <v>1.7</v>
      </c>
      <c r="F723" s="6"/>
      <c r="G723" s="7">
        <v>4.38235294117647</v>
      </c>
      <c r="H723" s="7"/>
      <c r="I723" s="6">
        <v>3.1611764705882353</v>
      </c>
      <c r="J723" s="6"/>
      <c r="K723" s="7"/>
      <c r="L723" s="6"/>
      <c r="M723" s="6"/>
      <c r="N723" s="23"/>
      <c r="O723" s="5"/>
      <c r="P723" s="6"/>
      <c r="Q723" s="6"/>
      <c r="R723" s="6"/>
      <c r="S723" s="6"/>
      <c r="T723" s="6"/>
      <c r="U723" s="6"/>
      <c r="V723" s="5"/>
      <c r="W723" s="6"/>
      <c r="X723" s="6">
        <f>E723*F723/100</f>
      </c>
      <c r="Y723" s="6">
        <f>E723*G723/100</f>
      </c>
      <c r="Z723" s="7">
        <f>E723*H723</f>
      </c>
      <c r="AA723" s="7">
        <f>E723*J723</f>
      </c>
      <c r="AB723" s="6">
        <f>E723*I723/100</f>
      </c>
      <c r="AC723" s="15">
        <f>X723+Y723+AB723</f>
      </c>
      <c r="AD723" s="6">
        <f>F723+G723+I723</f>
      </c>
      <c r="AE723" s="3"/>
      <c r="AF723" s="6">
        <f>SUM(AM723:BC723)</f>
      </c>
      <c r="AG723" s="5">
        <f>IF(SUM(AM723:AO723)&gt;0.7*AF723,1,0)</f>
      </c>
      <c r="AH723" s="5">
        <f>IF(AN723&gt;0.4*AF723,1,0)</f>
      </c>
      <c r="AI723" s="5">
        <f>IF(SUM(AP723:AQ723)&gt;0.3*AF723,1,0)</f>
      </c>
      <c r="AJ723" s="5">
        <f>IF(AQ723&gt;0.2*AF723,1,0)</f>
      </c>
      <c r="AK723" s="5">
        <f>IF(SUM(AR723:BC723)&gt;0.3*AF723,1,0)</f>
      </c>
      <c r="AL723" s="3"/>
      <c r="AM723" s="6">
        <f>(F723/100)*AM$41</f>
      </c>
      <c r="AN723" s="6">
        <f>(G723/100)*AN$41</f>
      </c>
      <c r="AO723" s="6">
        <f>(H723/1000000)*AO$41</f>
      </c>
      <c r="AP723" s="6">
        <f>(I723/100)*AP$41</f>
      </c>
      <c r="AQ723" s="6">
        <f>(J723/1000000)*AQ$41</f>
      </c>
      <c r="AR723" s="6">
        <f>(K723/100)*AR$41</f>
      </c>
      <c r="AS723" s="6">
        <f>(L723/100)*AS$41</f>
      </c>
      <c r="AT723" s="6">
        <f>(M723/100)*AT$41</f>
      </c>
      <c r="AU723" s="6">
        <f>(N723/100)*AU$41</f>
      </c>
      <c r="AV723" s="6">
        <f>(O723/1000000)*AV$41</f>
      </c>
      <c r="AW723" s="6">
        <f>(P723/100)*AW$41</f>
      </c>
      <c r="AX723" s="6">
        <f>(Q723/100)*AX$41</f>
      </c>
      <c r="AY723" s="6">
        <f>(R723/100)*AY$41</f>
      </c>
      <c r="AZ723" s="6">
        <f>(S723/100)*AZ$41</f>
      </c>
      <c r="BA723" s="6">
        <f>(T723/100)*BA$41</f>
      </c>
      <c r="BB723" s="6">
        <f>(U723/100)*BB$41</f>
      </c>
      <c r="BC723" s="6"/>
      <c r="BD723" s="3"/>
      <c r="BE723" s="3"/>
      <c r="BF723" s="7">
        <f>AF723*E723</f>
      </c>
      <c r="BG723" s="6"/>
      <c r="BH723" s="3"/>
      <c r="BI723" s="6"/>
    </row>
    <row x14ac:dyDescent="0.25" r="724" customHeight="1" ht="12.75">
      <c r="A724" s="5" t="s">
        <v>631</v>
      </c>
      <c r="B724" s="3" t="s">
        <v>855</v>
      </c>
      <c r="C724" s="43" t="s">
        <v>870</v>
      </c>
      <c r="D724" s="34"/>
      <c r="E724" s="23">
        <v>2.5</v>
      </c>
      <c r="F724" s="6">
        <v>1.2</v>
      </c>
      <c r="G724" s="7">
        <v>2</v>
      </c>
      <c r="H724" s="31">
        <v>36</v>
      </c>
      <c r="I724" s="6">
        <v>1.8</v>
      </c>
      <c r="J724" s="6">
        <v>0.14</v>
      </c>
      <c r="K724" s="7"/>
      <c r="L724" s="6"/>
      <c r="M724" s="6"/>
      <c r="N724" s="23"/>
      <c r="O724" s="5"/>
      <c r="P724" s="6"/>
      <c r="Q724" s="6"/>
      <c r="R724" s="6"/>
      <c r="S724" s="6"/>
      <c r="T724" s="6"/>
      <c r="U724" s="6"/>
      <c r="V724" s="5"/>
      <c r="W724" s="6"/>
      <c r="X724" s="6">
        <f>E724*F724/100</f>
      </c>
      <c r="Y724" s="6">
        <f>E724*G724/100</f>
      </c>
      <c r="Z724" s="7">
        <f>E724*H724</f>
      </c>
      <c r="AA724" s="7">
        <f>E724*J724</f>
      </c>
      <c r="AB724" s="6">
        <f>E724*I724/100</f>
      </c>
      <c r="AC724" s="15">
        <f>X724+Y724+AB724</f>
      </c>
      <c r="AD724" s="6">
        <f>F724+G724+I724</f>
      </c>
      <c r="AE724" s="3"/>
      <c r="AF724" s="6">
        <f>SUM(AM724:BC724)</f>
      </c>
      <c r="AG724" s="5">
        <f>IF(SUM(AM724:AO724)&gt;0.7*AF724,1,0)</f>
      </c>
      <c r="AH724" s="5">
        <f>IF(AN724&gt;0.4*AF724,1,0)</f>
      </c>
      <c r="AI724" s="5">
        <f>IF(SUM(AP724:AQ724)&gt;0.3*AF724,1,0)</f>
      </c>
      <c r="AJ724" s="5">
        <f>IF(AQ724&gt;0.2*AF724,1,0)</f>
      </c>
      <c r="AK724" s="5">
        <f>IF(SUM(AR724:BC724)&gt;0.3*AF724,1,0)</f>
      </c>
      <c r="AL724" s="3"/>
      <c r="AM724" s="6">
        <f>(F724/100)*AM$41</f>
      </c>
      <c r="AN724" s="6">
        <f>(G724/100)*AN$41</f>
      </c>
      <c r="AO724" s="6">
        <f>(H724/1000000)*AO$41</f>
      </c>
      <c r="AP724" s="6">
        <f>(I724/100)*AP$41</f>
      </c>
      <c r="AQ724" s="6">
        <f>(J724/1000000)*AQ$41</f>
      </c>
      <c r="AR724" s="6">
        <f>(K724/100)*AR$41</f>
      </c>
      <c r="AS724" s="6">
        <f>(L724/100)*AS$41</f>
      </c>
      <c r="AT724" s="6">
        <f>(M724/100)*AT$41</f>
      </c>
      <c r="AU724" s="6">
        <f>(N724/100)*AU$41</f>
      </c>
      <c r="AV724" s="6">
        <f>(O724/1000000)*AV$41</f>
      </c>
      <c r="AW724" s="6">
        <f>(P724/100)*AW$41</f>
      </c>
      <c r="AX724" s="6">
        <f>(Q724/100)*AX$41</f>
      </c>
      <c r="AY724" s="6">
        <f>(R724/100)*AY$41</f>
      </c>
      <c r="AZ724" s="6">
        <f>(S724/100)*AZ$41</f>
      </c>
      <c r="BA724" s="6">
        <f>(T724/100)*BA$41</f>
      </c>
      <c r="BB724" s="6">
        <f>(U724/100)*BB$41</f>
      </c>
      <c r="BC724" s="6"/>
      <c r="BD724" s="3"/>
      <c r="BE724" s="3"/>
      <c r="BF724" s="7">
        <f>AF724*E724</f>
      </c>
      <c r="BG724" s="6"/>
      <c r="BH724" s="3"/>
      <c r="BI724" s="6"/>
    </row>
    <row x14ac:dyDescent="0.25" r="725" customHeight="1" ht="12.75">
      <c r="A725" s="5" t="s">
        <v>767</v>
      </c>
      <c r="B725" s="3" t="s">
        <v>855</v>
      </c>
      <c r="C725" s="43" t="s">
        <v>870</v>
      </c>
      <c r="D725" s="34"/>
      <c r="E725" s="6">
        <v>4.607</v>
      </c>
      <c r="F725" s="6">
        <v>0.5</v>
      </c>
      <c r="G725" s="6">
        <v>1.3</v>
      </c>
      <c r="H725" s="6">
        <v>24.1</v>
      </c>
      <c r="I725" s="6">
        <v>0.9</v>
      </c>
      <c r="J725" s="6">
        <v>0.1</v>
      </c>
      <c r="K725" s="7"/>
      <c r="L725" s="6"/>
      <c r="M725" s="6"/>
      <c r="N725" s="23"/>
      <c r="O725" s="5"/>
      <c r="P725" s="6"/>
      <c r="Q725" s="6"/>
      <c r="R725" s="6"/>
      <c r="S725" s="6"/>
      <c r="T725" s="6"/>
      <c r="U725" s="6"/>
      <c r="V725" s="5"/>
      <c r="W725" s="6"/>
      <c r="X725" s="6">
        <f>E725*F725/100</f>
      </c>
      <c r="Y725" s="6">
        <f>E725*G725/100</f>
      </c>
      <c r="Z725" s="7">
        <f>E725*H725</f>
      </c>
      <c r="AA725" s="7">
        <f>E725*J725</f>
      </c>
      <c r="AB725" s="6">
        <f>E725*I725/100</f>
      </c>
      <c r="AC725" s="15">
        <f>X725+Y725+AB725</f>
      </c>
      <c r="AD725" s="6">
        <f>F725+G725+I725</f>
      </c>
      <c r="AE725" s="3"/>
      <c r="AF725" s="6">
        <f>SUM(AM725:BC725)</f>
      </c>
      <c r="AG725" s="5">
        <f>IF(SUM(AM725:AO725)&gt;0.7*AF725,1,0)</f>
      </c>
      <c r="AH725" s="5">
        <f>IF(AN725&gt;0.4*AF725,1,0)</f>
      </c>
      <c r="AI725" s="5">
        <f>IF(SUM(AP725:AQ725)&gt;0.3*AF725,1,0)</f>
      </c>
      <c r="AJ725" s="5">
        <f>IF(AQ725&gt;0.2*AF725,1,0)</f>
      </c>
      <c r="AK725" s="5">
        <f>IF(SUM(AR725:BC725)&gt;0.3*AF725,1,0)</f>
      </c>
      <c r="AL725" s="3"/>
      <c r="AM725" s="6">
        <f>(F725/100)*AM$41</f>
      </c>
      <c r="AN725" s="6">
        <f>(G725/100)*AN$41</f>
      </c>
      <c r="AO725" s="6">
        <f>(H725/1000000)*AO$41</f>
      </c>
      <c r="AP725" s="6">
        <f>(I725/100)*AP$41</f>
      </c>
      <c r="AQ725" s="6">
        <f>(J725/1000000)*AQ$41</f>
      </c>
      <c r="AR725" s="6">
        <f>(K725/100)*AR$41</f>
      </c>
      <c r="AS725" s="6">
        <f>(L725/100)*AS$41</f>
      </c>
      <c r="AT725" s="6">
        <f>(M725/100)*AT$41</f>
      </c>
      <c r="AU725" s="6">
        <f>(N725/100)*AU$41</f>
      </c>
      <c r="AV725" s="6">
        <f>(O725/1000000)*AV$41</f>
      </c>
      <c r="AW725" s="6">
        <f>(P725/100)*AW$41</f>
      </c>
      <c r="AX725" s="6">
        <f>(Q725/100)*AX$41</f>
      </c>
      <c r="AY725" s="6">
        <f>(R725/100)*AY$41</f>
      </c>
      <c r="AZ725" s="6">
        <f>(S725/100)*AZ$41</f>
      </c>
      <c r="BA725" s="6">
        <f>(T725/100)*BA$41</f>
      </c>
      <c r="BB725" s="6">
        <f>(U725/100)*BB$41</f>
      </c>
      <c r="BC725" s="6"/>
      <c r="BD725" s="3"/>
      <c r="BE725" s="3"/>
      <c r="BF725" s="7">
        <f>AF725*E725</f>
      </c>
      <c r="BG725" s="6"/>
      <c r="BH725" s="3"/>
      <c r="BI725" s="6"/>
    </row>
    <row x14ac:dyDescent="0.25" r="726" customHeight="1" ht="12.75">
      <c r="A726" s="5" t="s">
        <v>696</v>
      </c>
      <c r="B726" s="3" t="s">
        <v>855</v>
      </c>
      <c r="C726" s="43" t="s">
        <v>870</v>
      </c>
      <c r="D726" s="34"/>
      <c r="E726" s="6">
        <v>2.2720000000000002</v>
      </c>
      <c r="F726" s="6">
        <v>0.3519322183098591</v>
      </c>
      <c r="G726" s="6">
        <v>4.164480633802817</v>
      </c>
      <c r="H726" s="7">
        <v>13.65376320422535</v>
      </c>
      <c r="I726" s="6">
        <v>0.9066241197183097</v>
      </c>
      <c r="J726" s="6">
        <v>0.12747359154929574</v>
      </c>
      <c r="K726" s="7"/>
      <c r="L726" s="6"/>
      <c r="M726" s="6"/>
      <c r="N726" s="23"/>
      <c r="O726" s="5"/>
      <c r="P726" s="6"/>
      <c r="Q726" s="6"/>
      <c r="R726" s="6"/>
      <c r="S726" s="6"/>
      <c r="T726" s="6"/>
      <c r="U726" s="6"/>
      <c r="V726" s="5"/>
      <c r="W726" s="6"/>
      <c r="X726" s="6">
        <f>E726*F726/100</f>
      </c>
      <c r="Y726" s="6">
        <f>E726*G726/100</f>
      </c>
      <c r="Z726" s="7">
        <f>E726*H726</f>
      </c>
      <c r="AA726" s="7">
        <f>E726*J726</f>
      </c>
      <c r="AB726" s="6">
        <f>E726*I726/100</f>
      </c>
      <c r="AC726" s="15">
        <f>X726+Y726+AB726</f>
      </c>
      <c r="AD726" s="6">
        <f>F726+G726+I726</f>
      </c>
      <c r="AE726" s="3"/>
      <c r="AF726" s="6">
        <f>SUM(AM726:BC726)</f>
      </c>
      <c r="AG726" s="5">
        <f>IF(SUM(AM726:AO726)&gt;0.7*AF726,1,0)</f>
      </c>
      <c r="AH726" s="5">
        <f>IF(AN726&gt;0.4*AF726,1,0)</f>
      </c>
      <c r="AI726" s="5">
        <f>IF(SUM(AP726:AQ726)&gt;0.3*AF726,1,0)</f>
      </c>
      <c r="AJ726" s="5">
        <f>IF(AQ726&gt;0.2*AF726,1,0)</f>
      </c>
      <c r="AK726" s="5">
        <f>IF(SUM(AR726:BC726)&gt;0.3*AF726,1,0)</f>
      </c>
      <c r="AL726" s="3"/>
      <c r="AM726" s="6">
        <f>(F726/100)*AM$41</f>
      </c>
      <c r="AN726" s="6">
        <f>(G726/100)*AN$41</f>
      </c>
      <c r="AO726" s="6">
        <f>(H726/1000000)*AO$41</f>
      </c>
      <c r="AP726" s="6">
        <f>(I726/100)*AP$41</f>
      </c>
      <c r="AQ726" s="6">
        <f>(J726/1000000)*AQ$41</f>
      </c>
      <c r="AR726" s="6">
        <f>(K726/100)*AR$41</f>
      </c>
      <c r="AS726" s="6">
        <f>(L726/100)*AS$41</f>
      </c>
      <c r="AT726" s="6">
        <f>(M726/100)*AT$41</f>
      </c>
      <c r="AU726" s="6">
        <f>(N726/100)*AU$41</f>
      </c>
      <c r="AV726" s="6">
        <f>(O726/1000000)*AV$41</f>
      </c>
      <c r="AW726" s="6">
        <f>(P726/100)*AW$41</f>
      </c>
      <c r="AX726" s="6">
        <f>(Q726/100)*AX$41</f>
      </c>
      <c r="AY726" s="6">
        <f>(R726/100)*AY$41</f>
      </c>
      <c r="AZ726" s="6">
        <f>(S726/100)*AZ$41</f>
      </c>
      <c r="BA726" s="6">
        <f>(T726/100)*BA$41</f>
      </c>
      <c r="BB726" s="6">
        <f>(U726/100)*BB$41</f>
      </c>
      <c r="BC726" s="6"/>
      <c r="BD726" s="3"/>
      <c r="BE726" s="3"/>
      <c r="BF726" s="7">
        <f>AF726*E726</f>
      </c>
      <c r="BG726" s="6"/>
      <c r="BH726" s="3"/>
      <c r="BI726" s="6"/>
    </row>
    <row x14ac:dyDescent="0.25" r="727" customHeight="1" ht="12.75">
      <c r="A727" s="5" t="s">
        <v>588</v>
      </c>
      <c r="B727" s="3" t="s">
        <v>855</v>
      </c>
      <c r="C727" s="43" t="s">
        <v>870</v>
      </c>
      <c r="D727" s="34"/>
      <c r="E727" s="6">
        <v>1.8</v>
      </c>
      <c r="F727" s="6">
        <v>1.4</v>
      </c>
      <c r="G727" s="6">
        <v>5.1</v>
      </c>
      <c r="H727" s="5">
        <v>82</v>
      </c>
      <c r="I727" s="6">
        <v>0.2</v>
      </c>
      <c r="J727" s="6">
        <v>0.26</v>
      </c>
      <c r="K727" s="7"/>
      <c r="L727" s="6"/>
      <c r="M727" s="6"/>
      <c r="N727" s="23"/>
      <c r="O727" s="5"/>
      <c r="P727" s="6"/>
      <c r="Q727" s="6"/>
      <c r="R727" s="6"/>
      <c r="S727" s="6"/>
      <c r="T727" s="6"/>
      <c r="U727" s="6"/>
      <c r="V727" s="5"/>
      <c r="W727" s="6"/>
      <c r="X727" s="6">
        <f>E727*F727/100</f>
      </c>
      <c r="Y727" s="6">
        <f>E727*G727/100</f>
      </c>
      <c r="Z727" s="7">
        <f>E727*H727</f>
      </c>
      <c r="AA727" s="7">
        <f>E727*J727</f>
      </c>
      <c r="AB727" s="6">
        <f>E727*I727/100</f>
      </c>
      <c r="AC727" s="15">
        <f>X727+Y727+AB727</f>
      </c>
      <c r="AD727" s="6">
        <f>F727+G727+I727</f>
      </c>
      <c r="AE727" s="3"/>
      <c r="AF727" s="6">
        <f>SUM(AM727:BC727)</f>
      </c>
      <c r="AG727" s="5">
        <f>IF(SUM(AM727:AO727)&gt;0.7*AF727,1,0)</f>
      </c>
      <c r="AH727" s="5">
        <f>IF(AN727&gt;0.4*AF727,1,0)</f>
      </c>
      <c r="AI727" s="5">
        <f>IF(SUM(AP727:AQ727)&gt;0.3*AF727,1,0)</f>
      </c>
      <c r="AJ727" s="5">
        <f>IF(AQ727&gt;0.2*AF727,1,0)</f>
      </c>
      <c r="AK727" s="5">
        <f>IF(SUM(AR727:BC727)&gt;0.3*AF727,1,0)</f>
      </c>
      <c r="AL727" s="3"/>
      <c r="AM727" s="6">
        <f>(F727/100)*AM$41</f>
      </c>
      <c r="AN727" s="6">
        <f>(G727/100)*AN$41</f>
      </c>
      <c r="AO727" s="6">
        <f>(H727/1000000)*AO$41</f>
      </c>
      <c r="AP727" s="6">
        <f>(I727/100)*AP$41</f>
      </c>
      <c r="AQ727" s="6">
        <f>(J727/1000000)*AQ$41</f>
      </c>
      <c r="AR727" s="6">
        <f>(K727/100)*AR$41</f>
      </c>
      <c r="AS727" s="6">
        <f>(L727/100)*AS$41</f>
      </c>
      <c r="AT727" s="6">
        <f>(M727/100)*AT$41</f>
      </c>
      <c r="AU727" s="6">
        <f>(N727/100)*AU$41</f>
      </c>
      <c r="AV727" s="6">
        <f>(O727/1000000)*AV$41</f>
      </c>
      <c r="AW727" s="6">
        <f>(P727/100)*AW$41</f>
      </c>
      <c r="AX727" s="6">
        <f>(Q727/100)*AX$41</f>
      </c>
      <c r="AY727" s="6">
        <f>(R727/100)*AY$41</f>
      </c>
      <c r="AZ727" s="6">
        <f>(S727/100)*AZ$41</f>
      </c>
      <c r="BA727" s="6">
        <f>(T727/100)*BA$41</f>
      </c>
      <c r="BB727" s="6">
        <f>(U727/100)*BB$41</f>
      </c>
      <c r="BC727" s="6"/>
      <c r="BD727" s="3"/>
      <c r="BE727" s="3"/>
      <c r="BF727" s="7">
        <f>AF727*E727</f>
      </c>
      <c r="BG727" s="6"/>
      <c r="BH727" s="3"/>
      <c r="BI727" s="6"/>
    </row>
    <row x14ac:dyDescent="0.25" r="728" customHeight="1" ht="12.75">
      <c r="A728" s="5" t="s">
        <v>690</v>
      </c>
      <c r="B728" s="3" t="s">
        <v>855</v>
      </c>
      <c r="C728" s="43" t="s">
        <v>870</v>
      </c>
      <c r="D728" s="34"/>
      <c r="E728" s="6">
        <v>2.81</v>
      </c>
      <c r="F728" s="7">
        <v>0.29964412811387897</v>
      </c>
      <c r="G728" s="7">
        <v>3.547686832740214</v>
      </c>
      <c r="H728" s="31">
        <v>48.61209964412811</v>
      </c>
      <c r="I728" s="7">
        <v>0.38861209964412813</v>
      </c>
      <c r="J728" s="7">
        <v>1.3483985765124553</v>
      </c>
      <c r="K728" s="7"/>
      <c r="L728" s="6"/>
      <c r="M728" s="6"/>
      <c r="N728" s="23"/>
      <c r="O728" s="5"/>
      <c r="P728" s="6"/>
      <c r="Q728" s="6"/>
      <c r="R728" s="6"/>
      <c r="S728" s="6"/>
      <c r="T728" s="6"/>
      <c r="U728" s="6"/>
      <c r="V728" s="5"/>
      <c r="W728" s="6"/>
      <c r="X728" s="6">
        <f>E728*F728/100</f>
      </c>
      <c r="Y728" s="6">
        <f>E728*G728/100</f>
      </c>
      <c r="Z728" s="7">
        <f>E728*H728</f>
      </c>
      <c r="AA728" s="7">
        <f>E728*J728</f>
      </c>
      <c r="AB728" s="6">
        <f>E728*I728/100</f>
      </c>
      <c r="AC728" s="15">
        <f>X728+Y728+AB728</f>
      </c>
      <c r="AD728" s="6">
        <f>F728+G728+I728</f>
      </c>
      <c r="AE728" s="3"/>
      <c r="AF728" s="6">
        <f>SUM(AM728:BC728)</f>
      </c>
      <c r="AG728" s="5">
        <f>IF(SUM(AM728:AO728)&gt;0.7*AF728,1,0)</f>
      </c>
      <c r="AH728" s="5">
        <f>IF(AN728&gt;0.4*AF728,1,0)</f>
      </c>
      <c r="AI728" s="5">
        <f>IF(SUM(AP728:AQ728)&gt;0.3*AF728,1,0)</f>
      </c>
      <c r="AJ728" s="5">
        <f>IF(AQ728&gt;0.2*AF728,1,0)</f>
      </c>
      <c r="AK728" s="5">
        <f>IF(SUM(AR728:BC728)&gt;0.3*AF728,1,0)</f>
      </c>
      <c r="AL728" s="3"/>
      <c r="AM728" s="6">
        <f>(F728/100)*AM$41</f>
      </c>
      <c r="AN728" s="6">
        <f>(G728/100)*AN$41</f>
      </c>
      <c r="AO728" s="6">
        <f>(H728/1000000)*AO$41</f>
      </c>
      <c r="AP728" s="6">
        <f>(I728/100)*AP$41</f>
      </c>
      <c r="AQ728" s="6">
        <f>(J728/1000000)*AQ$41</f>
      </c>
      <c r="AR728" s="6">
        <f>(K728/100)*AR$41</f>
      </c>
      <c r="AS728" s="6">
        <f>(L728/100)*AS$41</f>
      </c>
      <c r="AT728" s="6">
        <f>(M728/100)*AT$41</f>
      </c>
      <c r="AU728" s="6">
        <f>(N728/100)*AU$41</f>
      </c>
      <c r="AV728" s="6">
        <f>(O728/1000000)*AV$41</f>
      </c>
      <c r="AW728" s="6">
        <f>(P728/100)*AW$41</f>
      </c>
      <c r="AX728" s="6">
        <f>(Q728/100)*AX$41</f>
      </c>
      <c r="AY728" s="6">
        <f>(R728/100)*AY$41</f>
      </c>
      <c r="AZ728" s="6">
        <f>(S728/100)*AZ$41</f>
      </c>
      <c r="BA728" s="6">
        <f>(T728/100)*BA$41</f>
      </c>
      <c r="BB728" s="6">
        <f>(U728/100)*BB$41</f>
      </c>
      <c r="BC728" s="6"/>
      <c r="BD728" s="3"/>
      <c r="BE728" s="3"/>
      <c r="BF728" s="7">
        <f>AF728*E728</f>
      </c>
      <c r="BG728" s="6"/>
      <c r="BH728" s="3"/>
      <c r="BI728" s="6"/>
    </row>
    <row x14ac:dyDescent="0.25" r="729" customHeight="1" ht="12.75">
      <c r="A729" s="5" t="s">
        <v>271</v>
      </c>
      <c r="B729" s="3" t="s">
        <v>855</v>
      </c>
      <c r="C729" s="43" t="s">
        <v>870</v>
      </c>
      <c r="D729" s="34"/>
      <c r="E729" s="6">
        <v>1.003</v>
      </c>
      <c r="F729" s="6">
        <v>2.1</v>
      </c>
      <c r="G729" s="7">
        <v>7</v>
      </c>
      <c r="H729" s="7">
        <v>52</v>
      </c>
      <c r="I729" s="7">
        <v>2</v>
      </c>
      <c r="J729" s="6">
        <v>0.3</v>
      </c>
      <c r="K729" s="7"/>
      <c r="L729" s="6"/>
      <c r="M729" s="6"/>
      <c r="N729" s="23"/>
      <c r="O729" s="5"/>
      <c r="P729" s="6"/>
      <c r="Q729" s="6"/>
      <c r="R729" s="6"/>
      <c r="S729" s="6"/>
      <c r="T729" s="6"/>
      <c r="U729" s="6"/>
      <c r="V729" s="5"/>
      <c r="W729" s="6"/>
      <c r="X729" s="6">
        <f>E729*F729/100</f>
      </c>
      <c r="Y729" s="6">
        <f>E729*G729/100</f>
      </c>
      <c r="Z729" s="7">
        <f>E729*H729</f>
      </c>
      <c r="AA729" s="7">
        <f>E729*J729</f>
      </c>
      <c r="AB729" s="6">
        <f>E729*I729/100</f>
      </c>
      <c r="AC729" s="15">
        <f>X729+Y729+AB729</f>
      </c>
      <c r="AD729" s="6">
        <f>F729+G729+I729</f>
      </c>
      <c r="AE729" s="3"/>
      <c r="AF729" s="6">
        <f>SUM(AM729:BC729)</f>
      </c>
      <c r="AG729" s="5">
        <f>IF(SUM(AM729:AO729)&gt;0.7*AF729,1,0)</f>
      </c>
      <c r="AH729" s="5">
        <f>IF(AN729&gt;0.4*AF729,1,0)</f>
      </c>
      <c r="AI729" s="5">
        <f>IF(SUM(AP729:AQ729)&gt;0.3*AF729,1,0)</f>
      </c>
      <c r="AJ729" s="5">
        <f>IF(AQ729&gt;0.2*AF729,1,0)</f>
      </c>
      <c r="AK729" s="5">
        <f>IF(SUM(AR729:BC729)&gt;0.3*AF729,1,0)</f>
      </c>
      <c r="AL729" s="3"/>
      <c r="AM729" s="6">
        <f>(F729/100)*AM$41</f>
      </c>
      <c r="AN729" s="6">
        <f>(G729/100)*AN$41</f>
      </c>
      <c r="AO729" s="6">
        <f>(H729/1000000)*AO$41</f>
      </c>
      <c r="AP729" s="6">
        <f>(I729/100)*AP$41</f>
      </c>
      <c r="AQ729" s="6">
        <f>(J729/1000000)*AQ$41</f>
      </c>
      <c r="AR729" s="6">
        <f>(K729/100)*AR$41</f>
      </c>
      <c r="AS729" s="6">
        <f>(L729/100)*AS$41</f>
      </c>
      <c r="AT729" s="6">
        <f>(M729/100)*AT$41</f>
      </c>
      <c r="AU729" s="6">
        <f>(N729/100)*AU$41</f>
      </c>
      <c r="AV729" s="6">
        <f>(O729/1000000)*AV$41</f>
      </c>
      <c r="AW729" s="6">
        <f>(P729/100)*AW$41</f>
      </c>
      <c r="AX729" s="6">
        <f>(Q729/100)*AX$41</f>
      </c>
      <c r="AY729" s="6">
        <f>(R729/100)*AY$41</f>
      </c>
      <c r="AZ729" s="6">
        <f>(S729/100)*AZ$41</f>
      </c>
      <c r="BA729" s="6">
        <f>(T729/100)*BA$41</f>
      </c>
      <c r="BB729" s="6">
        <f>(U729/100)*BB$41</f>
      </c>
      <c r="BC729" s="6"/>
      <c r="BD729" s="3"/>
      <c r="BE729" s="3"/>
      <c r="BF729" s="7">
        <f>AF729*E729</f>
      </c>
      <c r="BG729" s="6"/>
      <c r="BH729" s="3"/>
      <c r="BI729" s="6"/>
    </row>
    <row x14ac:dyDescent="0.25" r="730" customHeight="1" ht="12.75">
      <c r="A730" s="5" t="s">
        <v>301</v>
      </c>
      <c r="B730" s="3" t="s">
        <v>855</v>
      </c>
      <c r="C730" s="43" t="s">
        <v>870</v>
      </c>
      <c r="D730" s="34"/>
      <c r="E730" s="6">
        <v>1.05</v>
      </c>
      <c r="F730" s="6"/>
      <c r="G730" s="6">
        <v>8.572438095238095</v>
      </c>
      <c r="H730" s="7">
        <v>12.101333333333333</v>
      </c>
      <c r="I730" s="6">
        <v>1.9188952380952384</v>
      </c>
      <c r="J730" s="6">
        <v>0.053695238095238094</v>
      </c>
      <c r="K730" s="7"/>
      <c r="L730" s="6"/>
      <c r="M730" s="6"/>
      <c r="N730" s="23"/>
      <c r="O730" s="5"/>
      <c r="P730" s="6"/>
      <c r="Q730" s="6"/>
      <c r="R730" s="6"/>
      <c r="S730" s="6"/>
      <c r="T730" s="6"/>
      <c r="U730" s="6"/>
      <c r="V730" s="5"/>
      <c r="W730" s="6"/>
      <c r="X730" s="6">
        <f>E730*F730/100</f>
      </c>
      <c r="Y730" s="6">
        <f>E730*G730/100</f>
      </c>
      <c r="Z730" s="7">
        <f>E730*H730</f>
      </c>
      <c r="AA730" s="7">
        <f>E730*J730</f>
      </c>
      <c r="AB730" s="6">
        <f>E730*I730/100</f>
      </c>
      <c r="AC730" s="15">
        <f>X730+Y730+AB730</f>
      </c>
      <c r="AD730" s="6">
        <f>F730+G730+I730</f>
      </c>
      <c r="AE730" s="3"/>
      <c r="AF730" s="6">
        <f>SUM(AM730:BC730)</f>
      </c>
      <c r="AG730" s="5">
        <f>IF(SUM(AM730:AO730)&gt;0.7*AF730,1,0)</f>
      </c>
      <c r="AH730" s="5">
        <f>IF(AN730&gt;0.4*AF730,1,0)</f>
      </c>
      <c r="AI730" s="5">
        <f>IF(SUM(AP730:AQ730)&gt;0.3*AF730,1,0)</f>
      </c>
      <c r="AJ730" s="5">
        <f>IF(AQ730&gt;0.2*AF730,1,0)</f>
      </c>
      <c r="AK730" s="5">
        <f>IF(SUM(AR730:BC730)&gt;0.3*AF730,1,0)</f>
      </c>
      <c r="AL730" s="3"/>
      <c r="AM730" s="6">
        <f>(F730/100)*AM$41</f>
      </c>
      <c r="AN730" s="6">
        <f>(G730/100)*AN$41</f>
      </c>
      <c r="AO730" s="6">
        <f>(H730/1000000)*AO$41</f>
      </c>
      <c r="AP730" s="6">
        <f>(I730/100)*AP$41</f>
      </c>
      <c r="AQ730" s="6">
        <f>(J730/1000000)*AQ$41</f>
      </c>
      <c r="AR730" s="6">
        <f>(K730/100)*AR$41</f>
      </c>
      <c r="AS730" s="6">
        <f>(L730/100)*AS$41</f>
      </c>
      <c r="AT730" s="6">
        <f>(M730/100)*AT$41</f>
      </c>
      <c r="AU730" s="6">
        <f>(N730/100)*AU$41</f>
      </c>
      <c r="AV730" s="6">
        <f>(O730/1000000)*AV$41</f>
      </c>
      <c r="AW730" s="6">
        <f>(P730/100)*AW$41</f>
      </c>
      <c r="AX730" s="6">
        <f>(Q730/100)*AX$41</f>
      </c>
      <c r="AY730" s="6">
        <f>(R730/100)*AY$41</f>
      </c>
      <c r="AZ730" s="6">
        <f>(S730/100)*AZ$41</f>
      </c>
      <c r="BA730" s="6">
        <f>(T730/100)*BA$41</f>
      </c>
      <c r="BB730" s="6">
        <f>(U730/100)*BB$41</f>
      </c>
      <c r="BC730" s="6"/>
      <c r="BD730" s="3"/>
      <c r="BE730" s="3"/>
      <c r="BF730" s="7">
        <f>AF730*E730</f>
      </c>
      <c r="BG730" s="6"/>
      <c r="BH730" s="3"/>
      <c r="BI730" s="6"/>
    </row>
    <row x14ac:dyDescent="0.25" r="731" customHeight="1" ht="12.75">
      <c r="A731" s="5" t="s">
        <v>799</v>
      </c>
      <c r="B731" s="3" t="s">
        <v>855</v>
      </c>
      <c r="C731" s="43" t="s">
        <v>870</v>
      </c>
      <c r="D731" s="34"/>
      <c r="E731" s="23">
        <v>3.061798</v>
      </c>
      <c r="F731" s="6">
        <v>2.1</v>
      </c>
      <c r="G731" s="6">
        <v>1.48</v>
      </c>
      <c r="H731" s="6">
        <v>45.7</v>
      </c>
      <c r="I731" s="6"/>
      <c r="J731" s="6"/>
      <c r="K731" s="7"/>
      <c r="L731" s="6"/>
      <c r="M731" s="6"/>
      <c r="N731" s="23"/>
      <c r="O731" s="5"/>
      <c r="P731" s="6"/>
      <c r="Q731" s="6"/>
      <c r="R731" s="6"/>
      <c r="S731" s="6"/>
      <c r="T731" s="6"/>
      <c r="U731" s="6"/>
      <c r="V731" s="5"/>
      <c r="W731" s="6"/>
      <c r="X731" s="6">
        <f>E731*F731/100</f>
      </c>
      <c r="Y731" s="6">
        <f>E731*G731/100</f>
      </c>
      <c r="Z731" s="7">
        <f>E731*H731</f>
      </c>
      <c r="AA731" s="7">
        <f>E731*J731</f>
      </c>
      <c r="AB731" s="6">
        <f>E731*I731/100</f>
      </c>
      <c r="AC731" s="15">
        <f>X731+Y731+AB731</f>
      </c>
      <c r="AD731" s="6">
        <f>F731+G731+I731</f>
      </c>
      <c r="AE731" s="3"/>
      <c r="AF731" s="6">
        <f>SUM(AM731:BC731)</f>
      </c>
      <c r="AG731" s="5">
        <f>IF(SUM(AM731:AO731)&gt;0.7*AF731,1,0)</f>
      </c>
      <c r="AH731" s="5">
        <f>IF(AN731&gt;0.4*AF731,1,0)</f>
      </c>
      <c r="AI731" s="5">
        <f>IF(SUM(AP731:AQ731)&gt;0.3*AF731,1,0)</f>
      </c>
      <c r="AJ731" s="5">
        <f>IF(AQ731&gt;0.2*AF731,1,0)</f>
      </c>
      <c r="AK731" s="5">
        <f>IF(SUM(AR731:BC731)&gt;0.3*AF731,1,0)</f>
      </c>
      <c r="AL731" s="3"/>
      <c r="AM731" s="6">
        <f>(F731/100)*AM$41</f>
      </c>
      <c r="AN731" s="6">
        <f>(G731/100)*AN$41</f>
      </c>
      <c r="AO731" s="6">
        <f>(H731/1000000)*AO$41</f>
      </c>
      <c r="AP731" s="6">
        <f>(I731/100)*AP$41</f>
      </c>
      <c r="AQ731" s="6">
        <f>(J731/1000000)*AQ$41</f>
      </c>
      <c r="AR731" s="6">
        <f>(K731/100)*AR$41</f>
      </c>
      <c r="AS731" s="6">
        <f>(L731/100)*AS$41</f>
      </c>
      <c r="AT731" s="6">
        <f>(M731/100)*AT$41</f>
      </c>
      <c r="AU731" s="6">
        <f>(N731/100)*AU$41</f>
      </c>
      <c r="AV731" s="6">
        <f>(O731/1000000)*AV$41</f>
      </c>
      <c r="AW731" s="6">
        <f>(P731/100)*AW$41</f>
      </c>
      <c r="AX731" s="6">
        <f>(Q731/100)*AX$41</f>
      </c>
      <c r="AY731" s="6">
        <f>(R731/100)*AY$41</f>
      </c>
      <c r="AZ731" s="6">
        <f>(S731/100)*AZ$41</f>
      </c>
      <c r="BA731" s="6">
        <f>(T731/100)*BA$41</f>
      </c>
      <c r="BB731" s="6">
        <f>(U731/100)*BB$41</f>
      </c>
      <c r="BC731" s="6"/>
      <c r="BD731" s="3"/>
      <c r="BE731" s="3"/>
      <c r="BF731" s="7">
        <f>AF731*E731</f>
      </c>
      <c r="BG731" s="6"/>
      <c r="BH731" s="3"/>
      <c r="BI731" s="6"/>
    </row>
    <row x14ac:dyDescent="0.25" r="732" customHeight="1" ht="12.75">
      <c r="A732" s="5" t="s">
        <v>803</v>
      </c>
      <c r="B732" s="3" t="s">
        <v>855</v>
      </c>
      <c r="C732" s="43" t="s">
        <v>870</v>
      </c>
      <c r="D732" s="34"/>
      <c r="E732" s="6">
        <v>5.1579999999999995</v>
      </c>
      <c r="F732" s="6"/>
      <c r="G732" s="6">
        <v>1.8769988367584336</v>
      </c>
      <c r="H732" s="7"/>
      <c r="I732" s="6">
        <v>0.14899961225281116</v>
      </c>
      <c r="J732" s="6"/>
      <c r="K732" s="7"/>
      <c r="L732" s="6"/>
      <c r="M732" s="6"/>
      <c r="N732" s="23"/>
      <c r="O732" s="5"/>
      <c r="P732" s="6"/>
      <c r="Q732" s="6"/>
      <c r="R732" s="6"/>
      <c r="S732" s="6"/>
      <c r="T732" s="6"/>
      <c r="U732" s="6"/>
      <c r="V732" s="5"/>
      <c r="W732" s="6"/>
      <c r="X732" s="6">
        <f>E732*F732/100</f>
      </c>
      <c r="Y732" s="6">
        <f>E732*G732/100</f>
      </c>
      <c r="Z732" s="7">
        <f>E732*H732</f>
      </c>
      <c r="AA732" s="7">
        <f>E732*J732</f>
      </c>
      <c r="AB732" s="6">
        <f>E732*I732/100</f>
      </c>
      <c r="AC732" s="15">
        <f>X732+Y732+AB732</f>
      </c>
      <c r="AD732" s="6">
        <f>F732+G732+I732</f>
      </c>
      <c r="AE732" s="3"/>
      <c r="AF732" s="6">
        <f>SUM(AM732:BC732)</f>
      </c>
      <c r="AG732" s="5">
        <f>IF(SUM(AM732:AO732)&gt;0.7*AF732,1,0)</f>
      </c>
      <c r="AH732" s="5">
        <f>IF(AN732&gt;0.4*AF732,1,0)</f>
      </c>
      <c r="AI732" s="5">
        <f>IF(SUM(AP732:AQ732)&gt;0.3*AF732,1,0)</f>
      </c>
      <c r="AJ732" s="5">
        <f>IF(AQ732&gt;0.2*AF732,1,0)</f>
      </c>
      <c r="AK732" s="5">
        <f>IF(SUM(AR732:BC732)&gt;0.3*AF732,1,0)</f>
      </c>
      <c r="AL732" s="3"/>
      <c r="AM732" s="6">
        <f>(F732/100)*AM$41</f>
      </c>
      <c r="AN732" s="6">
        <f>(G732/100)*AN$41</f>
      </c>
      <c r="AO732" s="6">
        <f>(H732/1000000)*AO$41</f>
      </c>
      <c r="AP732" s="6">
        <f>(I732/100)*AP$41</f>
      </c>
      <c r="AQ732" s="6">
        <f>(J732/1000000)*AQ$41</f>
      </c>
      <c r="AR732" s="6">
        <f>(K732/100)*AR$41</f>
      </c>
      <c r="AS732" s="6">
        <f>(L732/100)*AS$41</f>
      </c>
      <c r="AT732" s="6">
        <f>(M732/100)*AT$41</f>
      </c>
      <c r="AU732" s="6">
        <f>(N732/100)*AU$41</f>
      </c>
      <c r="AV732" s="6">
        <f>(O732/1000000)*AV$41</f>
      </c>
      <c r="AW732" s="6">
        <f>(P732/100)*AW$41</f>
      </c>
      <c r="AX732" s="6">
        <f>(Q732/100)*AX$41</f>
      </c>
      <c r="AY732" s="6">
        <f>(R732/100)*AY$41</f>
      </c>
      <c r="AZ732" s="6">
        <f>(S732/100)*AZ$41</f>
      </c>
      <c r="BA732" s="6">
        <f>(T732/100)*BA$41</f>
      </c>
      <c r="BB732" s="6">
        <f>(U732/100)*BB$41</f>
      </c>
      <c r="BC732" s="6"/>
      <c r="BD732" s="3"/>
      <c r="BE732" s="3"/>
      <c r="BF732" s="7">
        <f>AF732*E732</f>
      </c>
      <c r="BG732" s="6"/>
      <c r="BH732" s="3"/>
      <c r="BI732" s="6"/>
    </row>
    <row x14ac:dyDescent="0.25" r="733" customHeight="1" ht="12.75">
      <c r="A733" s="5" t="s">
        <v>402</v>
      </c>
      <c r="B733" s="3" t="s">
        <v>855</v>
      </c>
      <c r="C733" s="43" t="s">
        <v>870</v>
      </c>
      <c r="D733" s="34"/>
      <c r="E733" s="6">
        <v>2.354</v>
      </c>
      <c r="F733" s="6"/>
      <c r="G733" s="6">
        <v>0.5019796091758708</v>
      </c>
      <c r="H733" s="7">
        <v>5.209723874256585</v>
      </c>
      <c r="I733" s="6">
        <v>3.8504800339847063</v>
      </c>
      <c r="J733" s="6">
        <v>0.41604078164825825</v>
      </c>
      <c r="K733" s="7"/>
      <c r="L733" s="6"/>
      <c r="M733" s="6"/>
      <c r="N733" s="23"/>
      <c r="O733" s="5"/>
      <c r="P733" s="6"/>
      <c r="Q733" s="6"/>
      <c r="R733" s="6"/>
      <c r="S733" s="6"/>
      <c r="T733" s="6"/>
      <c r="U733" s="6"/>
      <c r="V733" s="5"/>
      <c r="W733" s="6"/>
      <c r="X733" s="6">
        <f>E733*F733/100</f>
      </c>
      <c r="Y733" s="6">
        <f>E733*G733/100</f>
      </c>
      <c r="Z733" s="7">
        <f>E733*H733</f>
      </c>
      <c r="AA733" s="7">
        <f>E733*J733</f>
      </c>
      <c r="AB733" s="6">
        <f>E733*I733/100</f>
      </c>
      <c r="AC733" s="15">
        <f>X733+Y733+AB733</f>
      </c>
      <c r="AD733" s="6">
        <f>F733+G733+I733</f>
      </c>
      <c r="AE733" s="3"/>
      <c r="AF733" s="6">
        <f>SUM(AM733:BC733)</f>
      </c>
      <c r="AG733" s="5">
        <f>IF(SUM(AM733:AO733)&gt;0.7*AF733,1,0)</f>
      </c>
      <c r="AH733" s="5">
        <f>IF(AN733&gt;0.4*AF733,1,0)</f>
      </c>
      <c r="AI733" s="5">
        <f>IF(SUM(AP733:AQ733)&gt;0.3*AF733,1,0)</f>
      </c>
      <c r="AJ733" s="5">
        <f>IF(AQ733&gt;0.2*AF733,1,0)</f>
      </c>
      <c r="AK733" s="5">
        <f>IF(SUM(AR733:BC733)&gt;0.3*AF733,1,0)</f>
      </c>
      <c r="AL733" s="3"/>
      <c r="AM733" s="6">
        <f>(F733/100)*AM$41</f>
      </c>
      <c r="AN733" s="6">
        <f>(G733/100)*AN$41</f>
      </c>
      <c r="AO733" s="6">
        <f>(H733/1000000)*AO$41</f>
      </c>
      <c r="AP733" s="6">
        <f>(I733/100)*AP$41</f>
      </c>
      <c r="AQ733" s="6">
        <f>(J733/1000000)*AQ$41</f>
      </c>
      <c r="AR733" s="6">
        <f>(K733/100)*AR$41</f>
      </c>
      <c r="AS733" s="6">
        <f>(L733/100)*AS$41</f>
      </c>
      <c r="AT733" s="6">
        <f>(M733/100)*AT$41</f>
      </c>
      <c r="AU733" s="6">
        <f>(N733/100)*AU$41</f>
      </c>
      <c r="AV733" s="6">
        <f>(O733/1000000)*AV$41</f>
      </c>
      <c r="AW733" s="6">
        <f>(P733/100)*AW$41</f>
      </c>
      <c r="AX733" s="6">
        <f>(Q733/100)*AX$41</f>
      </c>
      <c r="AY733" s="6">
        <f>(R733/100)*AY$41</f>
      </c>
      <c r="AZ733" s="6">
        <f>(S733/100)*AZ$41</f>
      </c>
      <c r="BA733" s="6">
        <f>(T733/100)*BA$41</f>
      </c>
      <c r="BB733" s="6">
        <f>(U733/100)*BB$41</f>
      </c>
      <c r="BC733" s="6"/>
      <c r="BD733" s="3"/>
      <c r="BE733" s="3"/>
      <c r="BF733" s="7">
        <f>AF733*E733</f>
      </c>
      <c r="BG733" s="6"/>
      <c r="BH733" s="3"/>
      <c r="BI733" s="6"/>
    </row>
    <row x14ac:dyDescent="0.25" r="734" customHeight="1" ht="12.75">
      <c r="A734" s="5" t="s">
        <v>806</v>
      </c>
      <c r="B734" s="3" t="s">
        <v>855</v>
      </c>
      <c r="C734" s="43" t="s">
        <v>870</v>
      </c>
      <c r="D734" s="34"/>
      <c r="E734" s="6">
        <v>3.4</v>
      </c>
      <c r="F734" s="6">
        <v>0.647</v>
      </c>
      <c r="G734" s="6">
        <v>1.697</v>
      </c>
      <c r="H734" s="5">
        <v>14</v>
      </c>
      <c r="I734" s="6">
        <v>0.656</v>
      </c>
      <c r="J734" s="6">
        <v>0.022</v>
      </c>
      <c r="K734" s="7"/>
      <c r="L734" s="6"/>
      <c r="M734" s="6"/>
      <c r="N734" s="23"/>
      <c r="O734" s="5"/>
      <c r="P734" s="6"/>
      <c r="Q734" s="6"/>
      <c r="R734" s="6"/>
      <c r="S734" s="6"/>
      <c r="T734" s="6"/>
      <c r="U734" s="6"/>
      <c r="V734" s="5"/>
      <c r="W734" s="6"/>
      <c r="X734" s="6">
        <f>E734*F734/100</f>
      </c>
      <c r="Y734" s="6">
        <f>E734*G734/100</f>
      </c>
      <c r="Z734" s="7">
        <f>E734*H734</f>
      </c>
      <c r="AA734" s="7">
        <f>E734*J734</f>
      </c>
      <c r="AB734" s="6">
        <f>E734*I734/100</f>
      </c>
      <c r="AC734" s="15">
        <f>X734+Y734+AB734</f>
      </c>
      <c r="AD734" s="6">
        <f>F734+G734+I734</f>
      </c>
      <c r="AE734" s="3"/>
      <c r="AF734" s="6">
        <f>SUM(AM734:BC734)</f>
      </c>
      <c r="AG734" s="5">
        <f>IF(SUM(AM734:AO734)&gt;0.7*AF734,1,0)</f>
      </c>
      <c r="AH734" s="5">
        <f>IF(AN734&gt;0.4*AF734,1,0)</f>
      </c>
      <c r="AI734" s="5">
        <f>IF(SUM(AP734:AQ734)&gt;0.3*AF734,1,0)</f>
      </c>
      <c r="AJ734" s="5">
        <f>IF(AQ734&gt;0.2*AF734,1,0)</f>
      </c>
      <c r="AK734" s="5">
        <f>IF(SUM(AR734:BC734)&gt;0.3*AF734,1,0)</f>
      </c>
      <c r="AL734" s="3"/>
      <c r="AM734" s="6">
        <f>(F734/100)*AM$41</f>
      </c>
      <c r="AN734" s="6">
        <f>(G734/100)*AN$41</f>
      </c>
      <c r="AO734" s="6">
        <f>(H734/1000000)*AO$41</f>
      </c>
      <c r="AP734" s="6">
        <f>(I734/100)*AP$41</f>
      </c>
      <c r="AQ734" s="6">
        <f>(J734/1000000)*AQ$41</f>
      </c>
      <c r="AR734" s="6">
        <f>(K734/100)*AR$41</f>
      </c>
      <c r="AS734" s="6">
        <f>(L734/100)*AS$41</f>
      </c>
      <c r="AT734" s="6">
        <f>(M734/100)*AT$41</f>
      </c>
      <c r="AU734" s="6">
        <f>(N734/100)*AU$41</f>
      </c>
      <c r="AV734" s="6">
        <f>(O734/1000000)*AV$41</f>
      </c>
      <c r="AW734" s="6">
        <f>(P734/100)*AW$41</f>
      </c>
      <c r="AX734" s="6">
        <f>(Q734/100)*AX$41</f>
      </c>
      <c r="AY734" s="6">
        <f>(R734/100)*AY$41</f>
      </c>
      <c r="AZ734" s="6">
        <f>(S734/100)*AZ$41</f>
      </c>
      <c r="BA734" s="6">
        <f>(T734/100)*BA$41</f>
      </c>
      <c r="BB734" s="6">
        <f>(U734/100)*BB$41</f>
      </c>
      <c r="BC734" s="6"/>
      <c r="BD734" s="3"/>
      <c r="BE734" s="3"/>
      <c r="BF734" s="7">
        <f>AF734*E734</f>
      </c>
      <c r="BG734" s="6"/>
      <c r="BH734" s="3"/>
      <c r="BI734" s="6"/>
    </row>
    <row x14ac:dyDescent="0.25" r="735" customHeight="1" ht="12.75">
      <c r="A735" s="5" t="s">
        <v>756</v>
      </c>
      <c r="B735" s="3" t="s">
        <v>855</v>
      </c>
      <c r="C735" s="43" t="s">
        <v>870</v>
      </c>
      <c r="D735" s="34"/>
      <c r="E735" s="6">
        <v>2.6100000000000003</v>
      </c>
      <c r="F735" s="6">
        <v>1.0699616858237548</v>
      </c>
      <c r="G735" s="6">
        <v>2.6713793103448276</v>
      </c>
      <c r="H735" s="31">
        <v>88.2911877394636</v>
      </c>
      <c r="I735" s="6">
        <v>0.09716475095785441</v>
      </c>
      <c r="J735" s="6">
        <v>0.698735632183908</v>
      </c>
      <c r="K735" s="7"/>
      <c r="L735" s="6"/>
      <c r="M735" s="6"/>
      <c r="N735" s="23"/>
      <c r="O735" s="5"/>
      <c r="P735" s="6"/>
      <c r="Q735" s="6"/>
      <c r="R735" s="6"/>
      <c r="S735" s="6"/>
      <c r="T735" s="6"/>
      <c r="U735" s="6"/>
      <c r="V735" s="5"/>
      <c r="W735" s="6"/>
      <c r="X735" s="6">
        <f>E735*F735/100</f>
      </c>
      <c r="Y735" s="6">
        <f>E735*G735/100</f>
      </c>
      <c r="Z735" s="7">
        <f>E735*H735</f>
      </c>
      <c r="AA735" s="7">
        <f>E735*J735</f>
      </c>
      <c r="AB735" s="6">
        <f>E735*I735/100</f>
      </c>
      <c r="AC735" s="15">
        <f>X735+Y735+AB735</f>
      </c>
      <c r="AD735" s="6">
        <f>F735+G735+I735</f>
      </c>
      <c r="AE735" s="3"/>
      <c r="AF735" s="6">
        <f>SUM(AM735:BC735)</f>
      </c>
      <c r="AG735" s="5">
        <f>IF(SUM(AM735:AO735)&gt;0.7*AF735,1,0)</f>
      </c>
      <c r="AH735" s="5">
        <f>IF(AN735&gt;0.4*AF735,1,0)</f>
      </c>
      <c r="AI735" s="5">
        <f>IF(SUM(AP735:AQ735)&gt;0.3*AF735,1,0)</f>
      </c>
      <c r="AJ735" s="5">
        <f>IF(AQ735&gt;0.2*AF735,1,0)</f>
      </c>
      <c r="AK735" s="5">
        <f>IF(SUM(AR735:BC735)&gt;0.3*AF735,1,0)</f>
      </c>
      <c r="AL735" s="3"/>
      <c r="AM735" s="6">
        <f>(F735/100)*AM$41</f>
      </c>
      <c r="AN735" s="6">
        <f>(G735/100)*AN$41</f>
      </c>
      <c r="AO735" s="6">
        <f>(H735/1000000)*AO$41</f>
      </c>
      <c r="AP735" s="6">
        <f>(I735/100)*AP$41</f>
      </c>
      <c r="AQ735" s="6">
        <f>(J735/1000000)*AQ$41</f>
      </c>
      <c r="AR735" s="6">
        <f>(K735/100)*AR$41</f>
      </c>
      <c r="AS735" s="6">
        <f>(L735/100)*AS$41</f>
      </c>
      <c r="AT735" s="6">
        <f>(M735/100)*AT$41</f>
      </c>
      <c r="AU735" s="6">
        <f>(N735/100)*AU$41</f>
      </c>
      <c r="AV735" s="6">
        <f>(O735/1000000)*AV$41</f>
      </c>
      <c r="AW735" s="6">
        <f>(P735/100)*AW$41</f>
      </c>
      <c r="AX735" s="6">
        <f>(Q735/100)*AX$41</f>
      </c>
      <c r="AY735" s="6">
        <f>(R735/100)*AY$41</f>
      </c>
      <c r="AZ735" s="6">
        <f>(S735/100)*AZ$41</f>
      </c>
      <c r="BA735" s="6">
        <f>(T735/100)*BA$41</f>
      </c>
      <c r="BB735" s="6">
        <f>(U735/100)*BB$41</f>
      </c>
      <c r="BC735" s="6"/>
      <c r="BD735" s="3"/>
      <c r="BE735" s="3"/>
      <c r="BF735" s="7">
        <f>AF735*E735</f>
      </c>
      <c r="BG735" s="6"/>
      <c r="BH735" s="3"/>
      <c r="BI735" s="6"/>
    </row>
    <row x14ac:dyDescent="0.25" r="736" customHeight="1" ht="12.75">
      <c r="A736" s="5" t="s">
        <v>735</v>
      </c>
      <c r="B736" s="3" t="s">
        <v>855</v>
      </c>
      <c r="C736" s="43" t="s">
        <v>870</v>
      </c>
      <c r="D736" s="34"/>
      <c r="E736" s="6">
        <v>2.24</v>
      </c>
      <c r="F736" s="6"/>
      <c r="G736" s="6">
        <v>3.7825892857142858</v>
      </c>
      <c r="H736" s="31">
        <v>23.991071428571423</v>
      </c>
      <c r="I736" s="6">
        <v>0.6395089285714286</v>
      </c>
      <c r="J736" s="7">
        <v>0.8316964285714286</v>
      </c>
      <c r="K736" s="7"/>
      <c r="L736" s="6"/>
      <c r="M736" s="6"/>
      <c r="N736" s="23"/>
      <c r="O736" s="5"/>
      <c r="P736" s="6"/>
      <c r="Q736" s="6"/>
      <c r="R736" s="6"/>
      <c r="S736" s="6"/>
      <c r="T736" s="6"/>
      <c r="U736" s="6"/>
      <c r="V736" s="5"/>
      <c r="W736" s="6"/>
      <c r="X736" s="6">
        <f>E736*F736/100</f>
      </c>
      <c r="Y736" s="6">
        <f>E736*G736/100</f>
      </c>
      <c r="Z736" s="7">
        <f>E736*H736</f>
      </c>
      <c r="AA736" s="7">
        <f>E736*J736</f>
      </c>
      <c r="AB736" s="6">
        <f>E736*I736/100</f>
      </c>
      <c r="AC736" s="15">
        <f>X736+Y736+AB736</f>
      </c>
      <c r="AD736" s="6">
        <f>F736+G736+I736</f>
      </c>
      <c r="AE736" s="3"/>
      <c r="AF736" s="6">
        <f>SUM(AM736:BC736)</f>
      </c>
      <c r="AG736" s="5">
        <f>IF(SUM(AM736:AO736)&gt;0.7*AF736,1,0)</f>
      </c>
      <c r="AH736" s="5">
        <f>IF(AN736&gt;0.4*AF736,1,0)</f>
      </c>
      <c r="AI736" s="5">
        <f>IF(SUM(AP736:AQ736)&gt;0.3*AF736,1,0)</f>
      </c>
      <c r="AJ736" s="5">
        <f>IF(AQ736&gt;0.2*AF736,1,0)</f>
      </c>
      <c r="AK736" s="5">
        <f>IF(SUM(AR736:BC736)&gt;0.3*AF736,1,0)</f>
      </c>
      <c r="AL736" s="3"/>
      <c r="AM736" s="6">
        <f>(F736/100)*AM$41</f>
      </c>
      <c r="AN736" s="6">
        <f>(G736/100)*AN$41</f>
      </c>
      <c r="AO736" s="6">
        <f>(H736/1000000)*AO$41</f>
      </c>
      <c r="AP736" s="6">
        <f>(I736/100)*AP$41</f>
      </c>
      <c r="AQ736" s="6">
        <f>(J736/1000000)*AQ$41</f>
      </c>
      <c r="AR736" s="6">
        <f>(K736/100)*AR$41</f>
      </c>
      <c r="AS736" s="6">
        <f>(L736/100)*AS$41</f>
      </c>
      <c r="AT736" s="6">
        <f>(M736/100)*AT$41</f>
      </c>
      <c r="AU736" s="6">
        <f>(N736/100)*AU$41</f>
      </c>
      <c r="AV736" s="6">
        <f>(O736/1000000)*AV$41</f>
      </c>
      <c r="AW736" s="6">
        <f>(P736/100)*AW$41</f>
      </c>
      <c r="AX736" s="6">
        <f>(Q736/100)*AX$41</f>
      </c>
      <c r="AY736" s="6">
        <f>(R736/100)*AY$41</f>
      </c>
      <c r="AZ736" s="6">
        <f>(S736/100)*AZ$41</f>
      </c>
      <c r="BA736" s="6">
        <f>(T736/100)*BA$41</f>
      </c>
      <c r="BB736" s="6">
        <f>(U736/100)*BB$41</f>
      </c>
      <c r="BC736" s="6"/>
      <c r="BD736" s="3"/>
      <c r="BE736" s="3"/>
      <c r="BF736" s="7">
        <f>AF736*E736</f>
      </c>
      <c r="BG736" s="6"/>
      <c r="BH736" s="3"/>
      <c r="BI736" s="6"/>
    </row>
    <row x14ac:dyDescent="0.25" r="737" customHeight="1" ht="12.75">
      <c r="A737" s="5" t="s">
        <v>405</v>
      </c>
      <c r="B737" s="3" t="s">
        <v>855</v>
      </c>
      <c r="C737" s="43" t="s">
        <v>870</v>
      </c>
      <c r="D737" s="34"/>
      <c r="E737" s="6">
        <v>1.664</v>
      </c>
      <c r="F737" s="6"/>
      <c r="G737" s="6">
        <v>3.324236778846154</v>
      </c>
      <c r="H737" s="7">
        <v>38.83185096153846</v>
      </c>
      <c r="I737" s="6">
        <v>2.2929447115384614</v>
      </c>
      <c r="J737" s="6">
        <v>1.0545252403846155</v>
      </c>
      <c r="K737" s="7"/>
      <c r="L737" s="6"/>
      <c r="M737" s="6"/>
      <c r="N737" s="23"/>
      <c r="O737" s="5"/>
      <c r="P737" s="6"/>
      <c r="Q737" s="6"/>
      <c r="R737" s="6"/>
      <c r="S737" s="6"/>
      <c r="T737" s="6"/>
      <c r="U737" s="6"/>
      <c r="V737" s="5"/>
      <c r="W737" s="6"/>
      <c r="X737" s="6">
        <f>E737*F737/100</f>
      </c>
      <c r="Y737" s="6">
        <f>E737*G737/100</f>
      </c>
      <c r="Z737" s="7">
        <f>E737*H737</f>
      </c>
      <c r="AA737" s="7">
        <f>E737*J737</f>
      </c>
      <c r="AB737" s="6">
        <f>E737*I737/100</f>
      </c>
      <c r="AC737" s="15">
        <f>X737+Y737+AB737</f>
      </c>
      <c r="AD737" s="6">
        <f>F737+G737+I737</f>
      </c>
      <c r="AE737" s="3"/>
      <c r="AF737" s="6">
        <f>SUM(AM737:BC737)</f>
      </c>
      <c r="AG737" s="5">
        <f>IF(SUM(AM737:AO737)&gt;0.7*AF737,1,0)</f>
      </c>
      <c r="AH737" s="5">
        <f>IF(AN737&gt;0.4*AF737,1,0)</f>
      </c>
      <c r="AI737" s="5">
        <f>IF(SUM(AP737:AQ737)&gt;0.3*AF737,1,0)</f>
      </c>
      <c r="AJ737" s="5">
        <f>IF(AQ737&gt;0.2*AF737,1,0)</f>
      </c>
      <c r="AK737" s="5">
        <f>IF(SUM(AR737:BC737)&gt;0.3*AF737,1,0)</f>
      </c>
      <c r="AL737" s="3"/>
      <c r="AM737" s="6">
        <f>(F737/100)*AM$41</f>
      </c>
      <c r="AN737" s="6">
        <f>(G737/100)*AN$41</f>
      </c>
      <c r="AO737" s="6">
        <f>(H737/1000000)*AO$41</f>
      </c>
      <c r="AP737" s="6">
        <f>(I737/100)*AP$41</f>
      </c>
      <c r="AQ737" s="6">
        <f>(J737/1000000)*AQ$41</f>
      </c>
      <c r="AR737" s="6">
        <f>(K737/100)*AR$41</f>
      </c>
      <c r="AS737" s="6">
        <f>(L737/100)*AS$41</f>
      </c>
      <c r="AT737" s="6">
        <f>(M737/100)*AT$41</f>
      </c>
      <c r="AU737" s="6">
        <f>(N737/100)*AU$41</f>
      </c>
      <c r="AV737" s="6">
        <f>(O737/1000000)*AV$41</f>
      </c>
      <c r="AW737" s="6">
        <f>(P737/100)*AW$41</f>
      </c>
      <c r="AX737" s="6">
        <f>(Q737/100)*AX$41</f>
      </c>
      <c r="AY737" s="6">
        <f>(R737/100)*AY$41</f>
      </c>
      <c r="AZ737" s="6">
        <f>(S737/100)*AZ$41</f>
      </c>
      <c r="BA737" s="6">
        <f>(T737/100)*BA$41</f>
      </c>
      <c r="BB737" s="6">
        <f>(U737/100)*BB$41</f>
      </c>
      <c r="BC737" s="6"/>
      <c r="BD737" s="3"/>
      <c r="BE737" s="3"/>
      <c r="BF737" s="7">
        <f>AF737*E737</f>
      </c>
      <c r="BG737" s="6"/>
      <c r="BH737" s="3"/>
      <c r="BI737" s="6"/>
    </row>
    <row x14ac:dyDescent="0.25" r="738" customHeight="1" ht="12.75">
      <c r="A738" s="5" t="s">
        <v>621</v>
      </c>
      <c r="B738" s="3" t="s">
        <v>855</v>
      </c>
      <c r="C738" s="43" t="s">
        <v>870</v>
      </c>
      <c r="D738" s="34"/>
      <c r="E738" s="6">
        <v>1.5</v>
      </c>
      <c r="F738" s="6">
        <v>2.1</v>
      </c>
      <c r="G738" s="6">
        <v>3.7</v>
      </c>
      <c r="H738" s="5">
        <v>24</v>
      </c>
      <c r="I738" s="6">
        <v>0.4</v>
      </c>
      <c r="J738" s="6">
        <v>0.3</v>
      </c>
      <c r="K738" s="7"/>
      <c r="L738" s="6"/>
      <c r="M738" s="6"/>
      <c r="N738" s="23"/>
      <c r="O738" s="5"/>
      <c r="P738" s="6"/>
      <c r="Q738" s="6"/>
      <c r="R738" s="6"/>
      <c r="S738" s="6"/>
      <c r="T738" s="6"/>
      <c r="U738" s="6"/>
      <c r="V738" s="5"/>
      <c r="W738" s="6"/>
      <c r="X738" s="6">
        <f>E738*F738/100</f>
      </c>
      <c r="Y738" s="6">
        <f>E738*G738/100</f>
      </c>
      <c r="Z738" s="7">
        <f>E738*H738</f>
      </c>
      <c r="AA738" s="7">
        <f>E738*J738</f>
      </c>
      <c r="AB738" s="6">
        <f>E738*I738/100</f>
      </c>
      <c r="AC738" s="15">
        <f>X738+Y738+AB738</f>
      </c>
      <c r="AD738" s="6">
        <f>F738+G738+I738</f>
      </c>
      <c r="AE738" s="3"/>
      <c r="AF738" s="6">
        <f>SUM(AM738:BC738)</f>
      </c>
      <c r="AG738" s="5">
        <f>IF(SUM(AM738:AO738)&gt;0.7*AF738,1,0)</f>
      </c>
      <c r="AH738" s="5">
        <f>IF(AN738&gt;0.4*AF738,1,0)</f>
      </c>
      <c r="AI738" s="5">
        <f>IF(SUM(AP738:AQ738)&gt;0.3*AF738,1,0)</f>
      </c>
      <c r="AJ738" s="5">
        <f>IF(AQ738&gt;0.2*AF738,1,0)</f>
      </c>
      <c r="AK738" s="5">
        <f>IF(SUM(AR738:BC738)&gt;0.3*AF738,1,0)</f>
      </c>
      <c r="AL738" s="3"/>
      <c r="AM738" s="6">
        <f>(F738/100)*AM$41</f>
      </c>
      <c r="AN738" s="6">
        <f>(G738/100)*AN$41</f>
      </c>
      <c r="AO738" s="6">
        <f>(H738/1000000)*AO$41</f>
      </c>
      <c r="AP738" s="6">
        <f>(I738/100)*AP$41</f>
      </c>
      <c r="AQ738" s="6">
        <f>(J738/1000000)*AQ$41</f>
      </c>
      <c r="AR738" s="6">
        <f>(K738/100)*AR$41</f>
      </c>
      <c r="AS738" s="6">
        <f>(L738/100)*AS$41</f>
      </c>
      <c r="AT738" s="6">
        <f>(M738/100)*AT$41</f>
      </c>
      <c r="AU738" s="6">
        <f>(N738/100)*AU$41</f>
      </c>
      <c r="AV738" s="6">
        <f>(O738/1000000)*AV$41</f>
      </c>
      <c r="AW738" s="6">
        <f>(P738/100)*AW$41</f>
      </c>
      <c r="AX738" s="6">
        <f>(Q738/100)*AX$41</f>
      </c>
      <c r="AY738" s="6">
        <f>(R738/100)*AY$41</f>
      </c>
      <c r="AZ738" s="6">
        <f>(S738/100)*AZ$41</f>
      </c>
      <c r="BA738" s="6">
        <f>(T738/100)*BA$41</f>
      </c>
      <c r="BB738" s="6">
        <f>(U738/100)*BB$41</f>
      </c>
      <c r="BC738" s="6"/>
      <c r="BD738" s="3"/>
      <c r="BE738" s="3"/>
      <c r="BF738" s="7">
        <f>AF738*E738</f>
      </c>
      <c r="BG738" s="6"/>
      <c r="BH738" s="3"/>
      <c r="BI738" s="6"/>
    </row>
    <row x14ac:dyDescent="0.25" r="739" customHeight="1" ht="12.75">
      <c r="A739" s="5" t="s">
        <v>657</v>
      </c>
      <c r="B739" s="3" t="s">
        <v>855</v>
      </c>
      <c r="C739" s="43" t="s">
        <v>870</v>
      </c>
      <c r="D739" s="34"/>
      <c r="E739" s="6">
        <v>1.55</v>
      </c>
      <c r="F739" s="6"/>
      <c r="G739" s="6">
        <v>4.723225806451612</v>
      </c>
      <c r="H739" s="31">
        <v>19.893548387096775</v>
      </c>
      <c r="I739" s="7">
        <v>1.1296774193548387</v>
      </c>
      <c r="J739" s="6">
        <v>0.04612903225806452</v>
      </c>
      <c r="K739" s="7"/>
      <c r="L739" s="6"/>
      <c r="M739" s="6"/>
      <c r="N739" s="23"/>
      <c r="O739" s="5"/>
      <c r="P739" s="6"/>
      <c r="Q739" s="6"/>
      <c r="R739" s="6"/>
      <c r="S739" s="6"/>
      <c r="T739" s="6"/>
      <c r="U739" s="6"/>
      <c r="V739" s="5"/>
      <c r="W739" s="6"/>
      <c r="X739" s="6">
        <f>E739*F739/100</f>
      </c>
      <c r="Y739" s="6">
        <f>E739*G739/100</f>
      </c>
      <c r="Z739" s="7">
        <f>E739*H739</f>
      </c>
      <c r="AA739" s="7">
        <f>E739*J739</f>
      </c>
      <c r="AB739" s="6">
        <f>E739*I739/100</f>
      </c>
      <c r="AC739" s="15">
        <f>X739+Y739+AB739</f>
      </c>
      <c r="AD739" s="6">
        <f>F739+G739+I739</f>
      </c>
      <c r="AE739" s="3"/>
      <c r="AF739" s="6">
        <f>SUM(AM739:BC739)</f>
      </c>
      <c r="AG739" s="5">
        <f>IF(SUM(AM739:AO739)&gt;0.7*AF739,1,0)</f>
      </c>
      <c r="AH739" s="5">
        <f>IF(AN739&gt;0.4*AF739,1,0)</f>
      </c>
      <c r="AI739" s="5">
        <f>IF(SUM(AP739:AQ739)&gt;0.3*AF739,1,0)</f>
      </c>
      <c r="AJ739" s="5">
        <f>IF(AQ739&gt;0.2*AF739,1,0)</f>
      </c>
      <c r="AK739" s="5">
        <f>IF(SUM(AR739:BC739)&gt;0.3*AF739,1,0)</f>
      </c>
      <c r="AL739" s="3"/>
      <c r="AM739" s="6">
        <f>(F739/100)*AM$41</f>
      </c>
      <c r="AN739" s="6">
        <f>(G739/100)*AN$41</f>
      </c>
      <c r="AO739" s="6">
        <f>(H739/1000000)*AO$41</f>
      </c>
      <c r="AP739" s="6">
        <f>(I739/100)*AP$41</f>
      </c>
      <c r="AQ739" s="6">
        <f>(J739/1000000)*AQ$41</f>
      </c>
      <c r="AR739" s="6">
        <f>(K739/100)*AR$41</f>
      </c>
      <c r="AS739" s="6">
        <f>(L739/100)*AS$41</f>
      </c>
      <c r="AT739" s="6">
        <f>(M739/100)*AT$41</f>
      </c>
      <c r="AU739" s="6">
        <f>(N739/100)*AU$41</f>
      </c>
      <c r="AV739" s="6">
        <f>(O739/1000000)*AV$41</f>
      </c>
      <c r="AW739" s="6">
        <f>(P739/100)*AW$41</f>
      </c>
      <c r="AX739" s="6">
        <f>(Q739/100)*AX$41</f>
      </c>
      <c r="AY739" s="6">
        <f>(R739/100)*AY$41</f>
      </c>
      <c r="AZ739" s="6">
        <f>(S739/100)*AZ$41</f>
      </c>
      <c r="BA739" s="6">
        <f>(T739/100)*BA$41</f>
      </c>
      <c r="BB739" s="6">
        <f>(U739/100)*BB$41</f>
      </c>
      <c r="BC739" s="6"/>
      <c r="BD739" s="3"/>
      <c r="BE739" s="3"/>
      <c r="BF739" s="7">
        <f>AF739*E739</f>
      </c>
      <c r="BG739" s="6"/>
      <c r="BH739" s="3"/>
      <c r="BI739" s="6"/>
    </row>
    <row x14ac:dyDescent="0.25" r="740" customHeight="1" ht="12.75">
      <c r="A740" s="5" t="s">
        <v>98</v>
      </c>
      <c r="B740" s="3" t="s">
        <v>855</v>
      </c>
      <c r="C740" s="43" t="s">
        <v>870</v>
      </c>
      <c r="D740" s="34"/>
      <c r="E740" s="23">
        <v>0.7907</v>
      </c>
      <c r="F740" s="6">
        <v>0.8520462880991527</v>
      </c>
      <c r="G740" s="6">
        <v>9.28828000505881</v>
      </c>
      <c r="H740" s="7">
        <v>153.07197420007589</v>
      </c>
      <c r="I740" s="6">
        <v>0.8456342481345643</v>
      </c>
      <c r="J740" s="6">
        <v>4.805333249019856</v>
      </c>
      <c r="K740" s="7"/>
      <c r="L740" s="6"/>
      <c r="M740" s="6"/>
      <c r="N740" s="23"/>
      <c r="O740" s="5"/>
      <c r="P740" s="6"/>
      <c r="Q740" s="6"/>
      <c r="R740" s="6"/>
      <c r="S740" s="6"/>
      <c r="T740" s="6"/>
      <c r="U740" s="6"/>
      <c r="V740" s="5"/>
      <c r="W740" s="6"/>
      <c r="X740" s="6">
        <f>E740*F740/100</f>
      </c>
      <c r="Y740" s="6">
        <f>E740*G740/100</f>
      </c>
      <c r="Z740" s="7">
        <f>E740*H740</f>
      </c>
      <c r="AA740" s="7">
        <f>E740*J740</f>
      </c>
      <c r="AB740" s="6">
        <f>E740*I740/100</f>
      </c>
      <c r="AC740" s="15">
        <f>X740+Y740+AB740</f>
      </c>
      <c r="AD740" s="6">
        <f>F740+G740+I740</f>
      </c>
      <c r="AE740" s="3"/>
      <c r="AF740" s="6">
        <f>SUM(AM740:BC740)</f>
      </c>
      <c r="AG740" s="5">
        <f>IF(SUM(AM740:AO740)&gt;0.7*AF740,1,0)</f>
      </c>
      <c r="AH740" s="5">
        <f>IF(AN740&gt;0.4*AF740,1,0)</f>
      </c>
      <c r="AI740" s="5">
        <f>IF(SUM(AP740:AQ740)&gt;0.3*AF740,1,0)</f>
      </c>
      <c r="AJ740" s="5">
        <f>IF(AQ740&gt;0.2*AF740,1,0)</f>
      </c>
      <c r="AK740" s="5">
        <f>IF(SUM(AR740:BC740)&gt;0.3*AF740,1,0)</f>
      </c>
      <c r="AL740" s="3"/>
      <c r="AM740" s="6">
        <f>(F740/100)*AM$41</f>
      </c>
      <c r="AN740" s="6">
        <f>(G740/100)*AN$41</f>
      </c>
      <c r="AO740" s="6">
        <f>(H740/1000000)*AO$41</f>
      </c>
      <c r="AP740" s="6">
        <f>(I740/100)*AP$41</f>
      </c>
      <c r="AQ740" s="6">
        <f>(J740/1000000)*AQ$41</f>
      </c>
      <c r="AR740" s="6">
        <f>(K740/100)*AR$41</f>
      </c>
      <c r="AS740" s="6">
        <f>(L740/100)*AS$41</f>
      </c>
      <c r="AT740" s="6">
        <f>(M740/100)*AT$41</f>
      </c>
      <c r="AU740" s="6">
        <f>(N740/100)*AU$41</f>
      </c>
      <c r="AV740" s="6">
        <f>(O740/1000000)*AV$41</f>
      </c>
      <c r="AW740" s="6">
        <f>(P740/100)*AW$41</f>
      </c>
      <c r="AX740" s="6">
        <f>(Q740/100)*AX$41</f>
      </c>
      <c r="AY740" s="6">
        <f>(R740/100)*AY$41</f>
      </c>
      <c r="AZ740" s="6">
        <f>(S740/100)*AZ$41</f>
      </c>
      <c r="BA740" s="6">
        <f>(T740/100)*BA$41</f>
      </c>
      <c r="BB740" s="6">
        <f>(U740/100)*BB$41</f>
      </c>
      <c r="BC740" s="6"/>
      <c r="BD740" s="3"/>
      <c r="BE740" s="3"/>
      <c r="BF740" s="7">
        <f>AF740*E740</f>
      </c>
      <c r="BG740" s="6"/>
      <c r="BH740" s="3"/>
      <c r="BI740" s="6"/>
    </row>
    <row x14ac:dyDescent="0.25" r="741" customHeight="1" ht="12.75">
      <c r="A741" s="5" t="s">
        <v>259</v>
      </c>
      <c r="B741" s="3" t="s">
        <v>855</v>
      </c>
      <c r="C741" s="43" t="s">
        <v>870</v>
      </c>
      <c r="D741" s="34"/>
      <c r="E741" s="6">
        <v>0.75</v>
      </c>
      <c r="F741" s="7">
        <v>4.132000000000001</v>
      </c>
      <c r="G741" s="7">
        <v>6.990666666666667</v>
      </c>
      <c r="H741" s="31">
        <v>104.06666666666668</v>
      </c>
      <c r="I741" s="7">
        <v>0.3706666666666667</v>
      </c>
      <c r="J741" s="7">
        <v>1.3293333333333335</v>
      </c>
      <c r="K741" s="7"/>
      <c r="L741" s="6"/>
      <c r="M741" s="6"/>
      <c r="N741" s="23"/>
      <c r="O741" s="5"/>
      <c r="P741" s="6"/>
      <c r="Q741" s="6"/>
      <c r="R741" s="6"/>
      <c r="S741" s="6"/>
      <c r="T741" s="6"/>
      <c r="U741" s="6"/>
      <c r="V741" s="5"/>
      <c r="W741" s="6"/>
      <c r="X741" s="6">
        <f>E741*F741/100</f>
      </c>
      <c r="Y741" s="6">
        <f>E741*G741/100</f>
      </c>
      <c r="Z741" s="7">
        <f>E741*H741</f>
      </c>
      <c r="AA741" s="7">
        <f>E741*J741</f>
      </c>
      <c r="AB741" s="6">
        <f>E741*I741/100</f>
      </c>
      <c r="AC741" s="15">
        <f>X741+Y741+AB741</f>
      </c>
      <c r="AD741" s="6">
        <f>F741+G741+I741</f>
      </c>
      <c r="AE741" s="3"/>
      <c r="AF741" s="6">
        <f>SUM(AM741:BC741)</f>
      </c>
      <c r="AG741" s="5">
        <f>IF(SUM(AM741:AO741)&gt;0.7*AF741,1,0)</f>
      </c>
      <c r="AH741" s="5">
        <f>IF(AN741&gt;0.4*AF741,1,0)</f>
      </c>
      <c r="AI741" s="5">
        <f>IF(SUM(AP741:AQ741)&gt;0.3*AF741,1,0)</f>
      </c>
      <c r="AJ741" s="5">
        <f>IF(AQ741&gt;0.2*AF741,1,0)</f>
      </c>
      <c r="AK741" s="5">
        <f>IF(SUM(AR741:BC741)&gt;0.3*AF741,1,0)</f>
      </c>
      <c r="AL741" s="3"/>
      <c r="AM741" s="6">
        <f>(F741/100)*AM$41</f>
      </c>
      <c r="AN741" s="6">
        <f>(G741/100)*AN$41</f>
      </c>
      <c r="AO741" s="6">
        <f>(H741/1000000)*AO$41</f>
      </c>
      <c r="AP741" s="6">
        <f>(I741/100)*AP$41</f>
      </c>
      <c r="AQ741" s="6">
        <f>(J741/1000000)*AQ$41</f>
      </c>
      <c r="AR741" s="6">
        <f>(K741/100)*AR$41</f>
      </c>
      <c r="AS741" s="6">
        <f>(L741/100)*AS$41</f>
      </c>
      <c r="AT741" s="6">
        <f>(M741/100)*AT$41</f>
      </c>
      <c r="AU741" s="6">
        <f>(N741/100)*AU$41</f>
      </c>
      <c r="AV741" s="6">
        <f>(O741/1000000)*AV$41</f>
      </c>
      <c r="AW741" s="6">
        <f>(P741/100)*AW$41</f>
      </c>
      <c r="AX741" s="6">
        <f>(Q741/100)*AX$41</f>
      </c>
      <c r="AY741" s="6">
        <f>(R741/100)*AY$41</f>
      </c>
      <c r="AZ741" s="6">
        <f>(S741/100)*AZ$41</f>
      </c>
      <c r="BA741" s="6">
        <f>(T741/100)*BA$41</f>
      </c>
      <c r="BB741" s="6">
        <f>(U741/100)*BB$41</f>
      </c>
      <c r="BC741" s="6"/>
      <c r="BD741" s="3"/>
      <c r="BE741" s="3"/>
      <c r="BF741" s="7">
        <f>AF741*E741</f>
      </c>
      <c r="BG741" s="6"/>
      <c r="BH741" s="3"/>
      <c r="BI741" s="6"/>
    </row>
    <row x14ac:dyDescent="0.25" r="742" customHeight="1" ht="12.75">
      <c r="A742" s="5" t="s">
        <v>619</v>
      </c>
      <c r="B742" s="3" t="s">
        <v>855</v>
      </c>
      <c r="C742" s="43" t="s">
        <v>870</v>
      </c>
      <c r="D742" s="34"/>
      <c r="E742" s="23">
        <v>1.354</v>
      </c>
      <c r="F742" s="6"/>
      <c r="G742" s="6">
        <v>6.04</v>
      </c>
      <c r="H742" s="6">
        <v>3.4</v>
      </c>
      <c r="I742" s="6">
        <v>0.25</v>
      </c>
      <c r="J742" s="6">
        <v>0.25</v>
      </c>
      <c r="K742" s="7"/>
      <c r="L742" s="6"/>
      <c r="M742" s="6"/>
      <c r="N742" s="23"/>
      <c r="O742" s="5"/>
      <c r="P742" s="6"/>
      <c r="Q742" s="6"/>
      <c r="R742" s="6"/>
      <c r="S742" s="6"/>
      <c r="T742" s="6"/>
      <c r="U742" s="6"/>
      <c r="V742" s="5"/>
      <c r="W742" s="6"/>
      <c r="X742" s="6">
        <f>E742*F742/100</f>
      </c>
      <c r="Y742" s="6">
        <f>E742*G742/100</f>
      </c>
      <c r="Z742" s="7">
        <f>E742*H742</f>
      </c>
      <c r="AA742" s="7">
        <f>E742*J742</f>
      </c>
      <c r="AB742" s="6">
        <f>E742*I742/100</f>
      </c>
      <c r="AC742" s="15">
        <f>X742+Y742+AB742</f>
      </c>
      <c r="AD742" s="6">
        <f>F742+G742+I742</f>
      </c>
      <c r="AE742" s="3"/>
      <c r="AF742" s="6">
        <f>SUM(AM742:BC742)</f>
      </c>
      <c r="AG742" s="5">
        <f>IF(SUM(AM742:AO742)&gt;0.7*AF742,1,0)</f>
      </c>
      <c r="AH742" s="5">
        <f>IF(AN742&gt;0.4*AF742,1,0)</f>
      </c>
      <c r="AI742" s="5">
        <f>IF(SUM(AP742:AQ742)&gt;0.3*AF742,1,0)</f>
      </c>
      <c r="AJ742" s="5">
        <f>IF(AQ742&gt;0.2*AF742,1,0)</f>
      </c>
      <c r="AK742" s="5">
        <f>IF(SUM(AR742:BC742)&gt;0.3*AF742,1,0)</f>
      </c>
      <c r="AL742" s="3"/>
      <c r="AM742" s="6">
        <f>(F742/100)*AM$41</f>
      </c>
      <c r="AN742" s="6">
        <f>(G742/100)*AN$41</f>
      </c>
      <c r="AO742" s="6">
        <f>(H742/1000000)*AO$41</f>
      </c>
      <c r="AP742" s="6">
        <f>(I742/100)*AP$41</f>
      </c>
      <c r="AQ742" s="6">
        <f>(J742/1000000)*AQ$41</f>
      </c>
      <c r="AR742" s="6">
        <f>(K742/100)*AR$41</f>
      </c>
      <c r="AS742" s="6">
        <f>(L742/100)*AS$41</f>
      </c>
      <c r="AT742" s="6">
        <f>(M742/100)*AT$41</f>
      </c>
      <c r="AU742" s="6">
        <f>(N742/100)*AU$41</f>
      </c>
      <c r="AV742" s="6">
        <f>(O742/1000000)*AV$41</f>
      </c>
      <c r="AW742" s="6">
        <f>(P742/100)*AW$41</f>
      </c>
      <c r="AX742" s="6">
        <f>(Q742/100)*AX$41</f>
      </c>
      <c r="AY742" s="6">
        <f>(R742/100)*AY$41</f>
      </c>
      <c r="AZ742" s="6">
        <f>(S742/100)*AZ$41</f>
      </c>
      <c r="BA742" s="6">
        <f>(T742/100)*BA$41</f>
      </c>
      <c r="BB742" s="6">
        <f>(U742/100)*BB$41</f>
      </c>
      <c r="BC742" s="6"/>
      <c r="BD742" s="3"/>
      <c r="BE742" s="3"/>
      <c r="BF742" s="7">
        <f>AF742*E742</f>
      </c>
      <c r="BG742" s="6"/>
      <c r="BH742" s="3"/>
      <c r="BI742" s="6"/>
    </row>
    <row x14ac:dyDescent="0.25" r="743" customHeight="1" ht="12.75">
      <c r="A743" s="5" t="s">
        <v>290</v>
      </c>
      <c r="B743" s="3" t="s">
        <v>855</v>
      </c>
      <c r="C743" s="43" t="s">
        <v>870</v>
      </c>
      <c r="D743" s="34"/>
      <c r="E743" s="6">
        <v>1.45</v>
      </c>
      <c r="F743" s="6"/>
      <c r="G743" s="6">
        <v>3.205793103448275</v>
      </c>
      <c r="H743" s="7">
        <v>45.74314</v>
      </c>
      <c r="I743" s="6">
        <v>2.447835862068965</v>
      </c>
      <c r="J743" s="6">
        <v>2.4678827586206893</v>
      </c>
      <c r="K743" s="7"/>
      <c r="L743" s="6"/>
      <c r="M743" s="6"/>
      <c r="N743" s="23"/>
      <c r="O743" s="5"/>
      <c r="P743" s="6"/>
      <c r="Q743" s="6"/>
      <c r="R743" s="6"/>
      <c r="S743" s="6"/>
      <c r="T743" s="6"/>
      <c r="U743" s="6"/>
      <c r="V743" s="5"/>
      <c r="W743" s="6"/>
      <c r="X743" s="6">
        <f>E743*F743/100</f>
      </c>
      <c r="Y743" s="6">
        <f>E743*G743/100</f>
      </c>
      <c r="Z743" s="7">
        <f>E743*H743</f>
      </c>
      <c r="AA743" s="7">
        <f>E743*J743</f>
      </c>
      <c r="AB743" s="6">
        <f>E743*I743/100</f>
      </c>
      <c r="AC743" s="15">
        <f>X743+Y743+AB743</f>
      </c>
      <c r="AD743" s="6">
        <f>F743+G743+I743</f>
      </c>
      <c r="AE743" s="3"/>
      <c r="AF743" s="6">
        <f>SUM(AM743:BC743)</f>
      </c>
      <c r="AG743" s="5">
        <f>IF(SUM(AM743:AO743)&gt;0.7*AF743,1,0)</f>
      </c>
      <c r="AH743" s="5">
        <f>IF(AN743&gt;0.4*AF743,1,0)</f>
      </c>
      <c r="AI743" s="5">
        <f>IF(SUM(AP743:AQ743)&gt;0.3*AF743,1,0)</f>
      </c>
      <c r="AJ743" s="5">
        <f>IF(AQ743&gt;0.2*AF743,1,0)</f>
      </c>
      <c r="AK743" s="5">
        <f>IF(SUM(AR743:BC743)&gt;0.3*AF743,1,0)</f>
      </c>
      <c r="AL743" s="3"/>
      <c r="AM743" s="6">
        <f>(F743/100)*AM$41</f>
      </c>
      <c r="AN743" s="6">
        <f>(G743/100)*AN$41</f>
      </c>
      <c r="AO743" s="6">
        <f>(H743/1000000)*AO$41</f>
      </c>
      <c r="AP743" s="6">
        <f>(I743/100)*AP$41</f>
      </c>
      <c r="AQ743" s="6">
        <f>(J743/1000000)*AQ$41</f>
      </c>
      <c r="AR743" s="6">
        <f>(K743/100)*AR$41</f>
      </c>
      <c r="AS743" s="6">
        <f>(L743/100)*AS$41</f>
      </c>
      <c r="AT743" s="6">
        <f>(M743/100)*AT$41</f>
      </c>
      <c r="AU743" s="6">
        <f>(N743/100)*AU$41</f>
      </c>
      <c r="AV743" s="6">
        <f>(O743/1000000)*AV$41</f>
      </c>
      <c r="AW743" s="6">
        <f>(P743/100)*AW$41</f>
      </c>
      <c r="AX743" s="6">
        <f>(Q743/100)*AX$41</f>
      </c>
      <c r="AY743" s="6">
        <f>(R743/100)*AY$41</f>
      </c>
      <c r="AZ743" s="6">
        <f>(S743/100)*AZ$41</f>
      </c>
      <c r="BA743" s="6">
        <f>(T743/100)*BA$41</f>
      </c>
      <c r="BB743" s="6">
        <f>(U743/100)*BB$41</f>
      </c>
      <c r="BC743" s="6"/>
      <c r="BD743" s="3"/>
      <c r="BE743" s="3"/>
      <c r="BF743" s="7">
        <f>AF743*E743</f>
      </c>
      <c r="BG743" s="6"/>
      <c r="BH743" s="3"/>
      <c r="BI743" s="6"/>
    </row>
    <row x14ac:dyDescent="0.25" r="744" customHeight="1" ht="12.75">
      <c r="A744" s="5" t="s">
        <v>786</v>
      </c>
      <c r="B744" s="3" t="s">
        <v>855</v>
      </c>
      <c r="C744" s="43" t="s">
        <v>870</v>
      </c>
      <c r="D744" s="34"/>
      <c r="E744" s="6">
        <v>5.75</v>
      </c>
      <c r="F744" s="6"/>
      <c r="G744" s="6">
        <v>0.34747826086956524</v>
      </c>
      <c r="H744" s="6">
        <v>2.3021043478260865</v>
      </c>
      <c r="I744" s="6">
        <v>1.0313043478260868</v>
      </c>
      <c r="J744" s="6">
        <v>0.050504347826086954</v>
      </c>
      <c r="K744" s="7"/>
      <c r="L744" s="6"/>
      <c r="M744" s="6"/>
      <c r="N744" s="23"/>
      <c r="O744" s="5"/>
      <c r="P744" s="6"/>
      <c r="Q744" s="6"/>
      <c r="R744" s="6"/>
      <c r="S744" s="6"/>
      <c r="T744" s="6"/>
      <c r="U744" s="6"/>
      <c r="V744" s="5"/>
      <c r="W744" s="6"/>
      <c r="X744" s="6">
        <f>E744*F744/100</f>
      </c>
      <c r="Y744" s="6">
        <f>E744*G744/100</f>
      </c>
      <c r="Z744" s="7">
        <f>E744*H744</f>
      </c>
      <c r="AA744" s="7">
        <f>E744*J744</f>
      </c>
      <c r="AB744" s="6">
        <f>E744*I744/100</f>
      </c>
      <c r="AC744" s="15">
        <f>X744+Y744+AB744</f>
      </c>
      <c r="AD744" s="6">
        <f>F744+G744+I744</f>
      </c>
      <c r="AE744" s="3"/>
      <c r="AF744" s="6">
        <f>SUM(AM744:BC744)</f>
      </c>
      <c r="AG744" s="5">
        <f>IF(SUM(AM744:AO744)&gt;0.7*AF744,1,0)</f>
      </c>
      <c r="AH744" s="5">
        <f>IF(AN744&gt;0.4*AF744,1,0)</f>
      </c>
      <c r="AI744" s="5">
        <f>IF(SUM(AP744:AQ744)&gt;0.3*AF744,1,0)</f>
      </c>
      <c r="AJ744" s="5">
        <f>IF(AQ744&gt;0.2*AF744,1,0)</f>
      </c>
      <c r="AK744" s="5">
        <f>IF(SUM(AR744:BC744)&gt;0.3*AF744,1,0)</f>
      </c>
      <c r="AL744" s="3"/>
      <c r="AM744" s="6">
        <f>(F744/100)*AM$41</f>
      </c>
      <c r="AN744" s="6">
        <f>(G744/100)*AN$41</f>
      </c>
      <c r="AO744" s="6">
        <f>(H744/1000000)*AO$41</f>
      </c>
      <c r="AP744" s="6">
        <f>(I744/100)*AP$41</f>
      </c>
      <c r="AQ744" s="6">
        <f>(J744/1000000)*AQ$41</f>
      </c>
      <c r="AR744" s="6">
        <f>(K744/100)*AR$41</f>
      </c>
      <c r="AS744" s="6">
        <f>(L744/100)*AS$41</f>
      </c>
      <c r="AT744" s="6">
        <f>(M744/100)*AT$41</f>
      </c>
      <c r="AU744" s="6">
        <f>(N744/100)*AU$41</f>
      </c>
      <c r="AV744" s="6">
        <f>(O744/1000000)*AV$41</f>
      </c>
      <c r="AW744" s="6">
        <f>(P744/100)*AW$41</f>
      </c>
      <c r="AX744" s="6">
        <f>(Q744/100)*AX$41</f>
      </c>
      <c r="AY744" s="6">
        <f>(R744/100)*AY$41</f>
      </c>
      <c r="AZ744" s="6">
        <f>(S744/100)*AZ$41</f>
      </c>
      <c r="BA744" s="6">
        <f>(T744/100)*BA$41</f>
      </c>
      <c r="BB744" s="6">
        <f>(U744/100)*BB$41</f>
      </c>
      <c r="BC744" s="6"/>
      <c r="BD744" s="3"/>
      <c r="BE744" s="3"/>
      <c r="BF744" s="7">
        <f>AF744*E744</f>
      </c>
      <c r="BG744" s="6"/>
      <c r="BH744" s="3"/>
      <c r="BI744" s="6"/>
    </row>
    <row x14ac:dyDescent="0.25" r="745" customHeight="1" ht="12.75">
      <c r="A745" s="5" t="s">
        <v>582</v>
      </c>
      <c r="B745" s="3" t="s">
        <v>855</v>
      </c>
      <c r="C745" s="43" t="s">
        <v>870</v>
      </c>
      <c r="D745" s="34"/>
      <c r="E745" s="23">
        <v>1.8163</v>
      </c>
      <c r="F745" s="6">
        <v>0.5283873809392721</v>
      </c>
      <c r="G745" s="6">
        <v>2.733503826460386</v>
      </c>
      <c r="H745" s="7">
        <v>32.97737323129439</v>
      </c>
      <c r="I745" s="6">
        <v>0.9947007652920774</v>
      </c>
      <c r="J745" s="6">
        <v>1.9441936904696362</v>
      </c>
      <c r="K745" s="7"/>
      <c r="L745" s="6"/>
      <c r="M745" s="6"/>
      <c r="N745" s="23"/>
      <c r="O745" s="5"/>
      <c r="P745" s="6"/>
      <c r="Q745" s="6"/>
      <c r="R745" s="6"/>
      <c r="S745" s="6"/>
      <c r="T745" s="6"/>
      <c r="U745" s="6"/>
      <c r="V745" s="5"/>
      <c r="W745" s="6"/>
      <c r="X745" s="6">
        <f>E745*F745/100</f>
      </c>
      <c r="Y745" s="6">
        <f>E745*G745/100</f>
      </c>
      <c r="Z745" s="7">
        <f>E745*H745</f>
      </c>
      <c r="AA745" s="7">
        <f>E745*J745</f>
      </c>
      <c r="AB745" s="6">
        <f>E745*I745/100</f>
      </c>
      <c r="AC745" s="15">
        <f>X745+Y745+AB745</f>
      </c>
      <c r="AD745" s="6">
        <f>F745+G745+I745</f>
      </c>
      <c r="AE745" s="3"/>
      <c r="AF745" s="6">
        <f>SUM(AM745:BC745)</f>
      </c>
      <c r="AG745" s="5">
        <f>IF(SUM(AM745:AO745)&gt;0.7*AF745,1,0)</f>
      </c>
      <c r="AH745" s="5">
        <f>IF(AN745&gt;0.4*AF745,1,0)</f>
      </c>
      <c r="AI745" s="5">
        <f>IF(SUM(AP745:AQ745)&gt;0.3*AF745,1,0)</f>
      </c>
      <c r="AJ745" s="5">
        <f>IF(AQ745&gt;0.2*AF745,1,0)</f>
      </c>
      <c r="AK745" s="5">
        <f>IF(SUM(AR745:BC745)&gt;0.3*AF745,1,0)</f>
      </c>
      <c r="AL745" s="3"/>
      <c r="AM745" s="6">
        <f>(F745/100)*AM$41</f>
      </c>
      <c r="AN745" s="6">
        <f>(G745/100)*AN$41</f>
      </c>
      <c r="AO745" s="6">
        <f>(H745/1000000)*AO$41</f>
      </c>
      <c r="AP745" s="6">
        <f>(I745/100)*AP$41</f>
      </c>
      <c r="AQ745" s="6">
        <f>(J745/1000000)*AQ$41</f>
      </c>
      <c r="AR745" s="6">
        <f>(K745/100)*AR$41</f>
      </c>
      <c r="AS745" s="6">
        <f>(L745/100)*AS$41</f>
      </c>
      <c r="AT745" s="6">
        <f>(M745/100)*AT$41</f>
      </c>
      <c r="AU745" s="6">
        <f>(N745/100)*AU$41</f>
      </c>
      <c r="AV745" s="6">
        <f>(O745/1000000)*AV$41</f>
      </c>
      <c r="AW745" s="6">
        <f>(P745/100)*AW$41</f>
      </c>
      <c r="AX745" s="6">
        <f>(Q745/100)*AX$41</f>
      </c>
      <c r="AY745" s="6">
        <f>(R745/100)*AY$41</f>
      </c>
      <c r="AZ745" s="6">
        <f>(S745/100)*AZ$41</f>
      </c>
      <c r="BA745" s="6">
        <f>(T745/100)*BA$41</f>
      </c>
      <c r="BB745" s="6">
        <f>(U745/100)*BB$41</f>
      </c>
      <c r="BC745" s="6"/>
      <c r="BD745" s="3"/>
      <c r="BE745" s="3"/>
      <c r="BF745" s="7">
        <f>AF745*E745</f>
      </c>
      <c r="BG745" s="6"/>
      <c r="BH745" s="3"/>
      <c r="BI745" s="6"/>
    </row>
    <row x14ac:dyDescent="0.25" r="746" customHeight="1" ht="12.75">
      <c r="A746" s="5" t="s">
        <v>80</v>
      </c>
      <c r="B746" s="3" t="s">
        <v>855</v>
      </c>
      <c r="C746" s="43" t="s">
        <v>870</v>
      </c>
      <c r="D746" s="34"/>
      <c r="E746" s="6">
        <v>0.425</v>
      </c>
      <c r="F746" s="7">
        <v>6.258823529411764</v>
      </c>
      <c r="G746" s="7">
        <v>11.352941176470589</v>
      </c>
      <c r="H746" s="31">
        <v>112.29411764705883</v>
      </c>
      <c r="I746" s="7">
        <v>0.4882352941176471</v>
      </c>
      <c r="J746" s="7">
        <v>2.2705882352941176</v>
      </c>
      <c r="K746" s="7"/>
      <c r="L746" s="6"/>
      <c r="M746" s="6"/>
      <c r="N746" s="23"/>
      <c r="O746" s="5"/>
      <c r="P746" s="6"/>
      <c r="Q746" s="6"/>
      <c r="R746" s="6"/>
      <c r="S746" s="6"/>
      <c r="T746" s="6"/>
      <c r="U746" s="6"/>
      <c r="V746" s="5"/>
      <c r="W746" s="6"/>
      <c r="X746" s="6">
        <f>E746*F746/100</f>
      </c>
      <c r="Y746" s="6">
        <f>E746*G746/100</f>
      </c>
      <c r="Z746" s="7">
        <f>E746*H746</f>
      </c>
      <c r="AA746" s="7">
        <f>E746*J746</f>
      </c>
      <c r="AB746" s="6">
        <f>E746*I746/100</f>
      </c>
      <c r="AC746" s="15">
        <f>X746+Y746+AB746</f>
      </c>
      <c r="AD746" s="6">
        <f>F746+G746+I746</f>
      </c>
      <c r="AE746" s="3"/>
      <c r="AF746" s="6">
        <f>SUM(AM746:BC746)</f>
      </c>
      <c r="AG746" s="5">
        <f>IF(SUM(AM746:AO746)&gt;0.7*AF746,1,0)</f>
      </c>
      <c r="AH746" s="5">
        <f>IF(AN746&gt;0.4*AF746,1,0)</f>
      </c>
      <c r="AI746" s="5">
        <f>IF(SUM(AP746:AQ746)&gt;0.3*AF746,1,0)</f>
      </c>
      <c r="AJ746" s="5">
        <f>IF(AQ746&gt;0.2*AF746,1,0)</f>
      </c>
      <c r="AK746" s="5">
        <f>IF(SUM(AR746:BC746)&gt;0.3*AF746,1,0)</f>
      </c>
      <c r="AL746" s="3"/>
      <c r="AM746" s="6">
        <f>(F746/100)*AM$41</f>
      </c>
      <c r="AN746" s="6">
        <f>(G746/100)*AN$41</f>
      </c>
      <c r="AO746" s="6">
        <f>(H746/1000000)*AO$41</f>
      </c>
      <c r="AP746" s="6">
        <f>(I746/100)*AP$41</f>
      </c>
      <c r="AQ746" s="6">
        <f>(J746/1000000)*AQ$41</f>
      </c>
      <c r="AR746" s="6">
        <f>(K746/100)*AR$41</f>
      </c>
      <c r="AS746" s="6">
        <f>(L746/100)*AS$41</f>
      </c>
      <c r="AT746" s="6">
        <f>(M746/100)*AT$41</f>
      </c>
      <c r="AU746" s="6">
        <f>(N746/100)*AU$41</f>
      </c>
      <c r="AV746" s="6">
        <f>(O746/1000000)*AV$41</f>
      </c>
      <c r="AW746" s="6">
        <f>(P746/100)*AW$41</f>
      </c>
      <c r="AX746" s="6">
        <f>(Q746/100)*AX$41</f>
      </c>
      <c r="AY746" s="6">
        <f>(R746/100)*AY$41</f>
      </c>
      <c r="AZ746" s="6">
        <f>(S746/100)*AZ$41</f>
      </c>
      <c r="BA746" s="6">
        <f>(T746/100)*BA$41</f>
      </c>
      <c r="BB746" s="6">
        <f>(U746/100)*BB$41</f>
      </c>
      <c r="BC746" s="6"/>
      <c r="BD746" s="3"/>
      <c r="BE746" s="3"/>
      <c r="BF746" s="7">
        <f>AF746*E746</f>
      </c>
      <c r="BG746" s="6"/>
      <c r="BH746" s="3"/>
      <c r="BI746" s="6"/>
    </row>
    <row x14ac:dyDescent="0.25" r="747" customHeight="1" ht="12.75">
      <c r="A747" s="5" t="s">
        <v>211</v>
      </c>
      <c r="B747" s="3" t="s">
        <v>855</v>
      </c>
      <c r="C747" s="43" t="s">
        <v>870</v>
      </c>
      <c r="D747" s="34"/>
      <c r="E747" s="6">
        <v>0.959</v>
      </c>
      <c r="F747" s="6">
        <v>2.1261313868613136</v>
      </c>
      <c r="G747" s="6">
        <v>5.034306569343067</v>
      </c>
      <c r="H747" s="31">
        <v>177.05109489051097</v>
      </c>
      <c r="I747" s="6">
        <v>0.3496350364963504</v>
      </c>
      <c r="J747" s="7">
        <v>3.659124087591241</v>
      </c>
      <c r="K747" s="7"/>
      <c r="L747" s="6"/>
      <c r="M747" s="6"/>
      <c r="N747" s="23"/>
      <c r="O747" s="5"/>
      <c r="P747" s="6"/>
      <c r="Q747" s="6"/>
      <c r="R747" s="6"/>
      <c r="S747" s="6"/>
      <c r="T747" s="6"/>
      <c r="U747" s="6"/>
      <c r="V747" s="5"/>
      <c r="W747" s="6"/>
      <c r="X747" s="6">
        <f>E747*F747/100</f>
      </c>
      <c r="Y747" s="6">
        <f>E747*G747/100</f>
      </c>
      <c r="Z747" s="7">
        <f>E747*H747</f>
      </c>
      <c r="AA747" s="7">
        <f>E747*J747</f>
      </c>
      <c r="AB747" s="6">
        <f>E747*I747/100</f>
      </c>
      <c r="AC747" s="15">
        <f>X747+Y747+AB747</f>
      </c>
      <c r="AD747" s="6">
        <f>F747+G747+I747</f>
      </c>
      <c r="AE747" s="3"/>
      <c r="AF747" s="6">
        <f>SUM(AM747:BC747)</f>
      </c>
      <c r="AG747" s="5">
        <f>IF(SUM(AM747:AO747)&gt;0.7*AF747,1,0)</f>
      </c>
      <c r="AH747" s="5">
        <f>IF(AN747&gt;0.4*AF747,1,0)</f>
      </c>
      <c r="AI747" s="5">
        <f>IF(SUM(AP747:AQ747)&gt;0.3*AF747,1,0)</f>
      </c>
      <c r="AJ747" s="5">
        <f>IF(AQ747&gt;0.2*AF747,1,0)</f>
      </c>
      <c r="AK747" s="5">
        <f>IF(SUM(AR747:BC747)&gt;0.3*AF747,1,0)</f>
      </c>
      <c r="AL747" s="3"/>
      <c r="AM747" s="6">
        <f>(F747/100)*AM$41</f>
      </c>
      <c r="AN747" s="6">
        <f>(G747/100)*AN$41</f>
      </c>
      <c r="AO747" s="6">
        <f>(H747/1000000)*AO$41</f>
      </c>
      <c r="AP747" s="6">
        <f>(I747/100)*AP$41</f>
      </c>
      <c r="AQ747" s="6">
        <f>(J747/1000000)*AQ$41</f>
      </c>
      <c r="AR747" s="6">
        <f>(K747/100)*AR$41</f>
      </c>
      <c r="AS747" s="6">
        <f>(L747/100)*AS$41</f>
      </c>
      <c r="AT747" s="6">
        <f>(M747/100)*AT$41</f>
      </c>
      <c r="AU747" s="6">
        <f>(N747/100)*AU$41</f>
      </c>
      <c r="AV747" s="6">
        <f>(O747/1000000)*AV$41</f>
      </c>
      <c r="AW747" s="6">
        <f>(P747/100)*AW$41</f>
      </c>
      <c r="AX747" s="6">
        <f>(Q747/100)*AX$41</f>
      </c>
      <c r="AY747" s="6">
        <f>(R747/100)*AY$41</f>
      </c>
      <c r="AZ747" s="6">
        <f>(S747/100)*AZ$41</f>
      </c>
      <c r="BA747" s="6">
        <f>(T747/100)*BA$41</f>
      </c>
      <c r="BB747" s="6">
        <f>(U747/100)*BB$41</f>
      </c>
      <c r="BC747" s="6"/>
      <c r="BD747" s="3"/>
      <c r="BE747" s="3"/>
      <c r="BF747" s="7">
        <f>AF747*E747</f>
      </c>
      <c r="BG747" s="6"/>
      <c r="BH747" s="3"/>
      <c r="BI747" s="6"/>
    </row>
    <row x14ac:dyDescent="0.25" r="748" customHeight="1" ht="12.75">
      <c r="A748" s="5" t="s">
        <v>769</v>
      </c>
      <c r="B748" s="3" t="s">
        <v>855</v>
      </c>
      <c r="C748" s="43" t="s">
        <v>870</v>
      </c>
      <c r="D748" s="34"/>
      <c r="E748" s="6">
        <v>4.249999999999999</v>
      </c>
      <c r="F748" s="6"/>
      <c r="G748" s="6">
        <v>0.664094117647059</v>
      </c>
      <c r="H748" s="31">
        <v>13.056470588235298</v>
      </c>
      <c r="I748" s="6">
        <v>1.0119058823529412</v>
      </c>
      <c r="J748" s="6">
        <v>0.8171764705882354</v>
      </c>
      <c r="K748" s="7"/>
      <c r="L748" s="6"/>
      <c r="M748" s="6"/>
      <c r="N748" s="23"/>
      <c r="O748" s="5"/>
      <c r="P748" s="6"/>
      <c r="Q748" s="6"/>
      <c r="R748" s="6"/>
      <c r="S748" s="6"/>
      <c r="T748" s="6"/>
      <c r="U748" s="6"/>
      <c r="V748" s="5"/>
      <c r="W748" s="6"/>
      <c r="X748" s="6">
        <f>E748*F748/100</f>
      </c>
      <c r="Y748" s="6">
        <f>E748*G748/100</f>
      </c>
      <c r="Z748" s="7">
        <f>E748*H748</f>
      </c>
      <c r="AA748" s="7">
        <f>E748*J748</f>
      </c>
      <c r="AB748" s="6">
        <f>E748*I748/100</f>
      </c>
      <c r="AC748" s="15">
        <f>X748+Y748+AB748</f>
      </c>
      <c r="AD748" s="6">
        <f>F748+G748+I748</f>
      </c>
      <c r="AE748" s="3"/>
      <c r="AF748" s="6">
        <f>SUM(AM748:BC748)</f>
      </c>
      <c r="AG748" s="5">
        <f>IF(SUM(AM748:AO748)&gt;0.7*AF748,1,0)</f>
      </c>
      <c r="AH748" s="5">
        <f>IF(AN748&gt;0.4*AF748,1,0)</f>
      </c>
      <c r="AI748" s="5">
        <f>IF(SUM(AP748:AQ748)&gt;0.3*AF748,1,0)</f>
      </c>
      <c r="AJ748" s="5">
        <f>IF(AQ748&gt;0.2*AF748,1,0)</f>
      </c>
      <c r="AK748" s="5">
        <f>IF(SUM(AR748:BC748)&gt;0.3*AF748,1,0)</f>
      </c>
      <c r="AL748" s="3"/>
      <c r="AM748" s="6">
        <f>(F748/100)*AM$41</f>
      </c>
      <c r="AN748" s="6">
        <f>(G748/100)*AN$41</f>
      </c>
      <c r="AO748" s="6">
        <f>(H748/1000000)*AO$41</f>
      </c>
      <c r="AP748" s="6">
        <f>(I748/100)*AP$41</f>
      </c>
      <c r="AQ748" s="6">
        <f>(J748/1000000)*AQ$41</f>
      </c>
      <c r="AR748" s="6">
        <f>(K748/100)*AR$41</f>
      </c>
      <c r="AS748" s="6">
        <f>(L748/100)*AS$41</f>
      </c>
      <c r="AT748" s="6">
        <f>(M748/100)*AT$41</f>
      </c>
      <c r="AU748" s="6">
        <f>(N748/100)*AU$41</f>
      </c>
      <c r="AV748" s="6">
        <f>(O748/1000000)*AV$41</f>
      </c>
      <c r="AW748" s="6">
        <f>(P748/100)*AW$41</f>
      </c>
      <c r="AX748" s="6">
        <f>(Q748/100)*AX$41</f>
      </c>
      <c r="AY748" s="6">
        <f>(R748/100)*AY$41</f>
      </c>
      <c r="AZ748" s="6">
        <f>(S748/100)*AZ$41</f>
      </c>
      <c r="BA748" s="6">
        <f>(T748/100)*BA$41</f>
      </c>
      <c r="BB748" s="6">
        <f>(U748/100)*BB$41</f>
      </c>
      <c r="BC748" s="6"/>
      <c r="BD748" s="3"/>
      <c r="BE748" s="3"/>
      <c r="BF748" s="7">
        <f>AF748*E748</f>
      </c>
      <c r="BG748" s="6"/>
      <c r="BH748" s="3"/>
      <c r="BI748" s="6"/>
    </row>
    <row x14ac:dyDescent="0.25" r="749" customHeight="1" ht="12.75">
      <c r="A749" s="5" t="s">
        <v>643</v>
      </c>
      <c r="B749" s="3" t="s">
        <v>855</v>
      </c>
      <c r="C749" s="43" t="s">
        <v>870</v>
      </c>
      <c r="D749" s="34"/>
      <c r="E749" s="6">
        <v>3.2230000000000003</v>
      </c>
      <c r="F749" s="6"/>
      <c r="G749" s="6">
        <v>0.3179894508222153</v>
      </c>
      <c r="H749" s="6">
        <v>7.188200434377909</v>
      </c>
      <c r="I749" s="6">
        <v>1.8265280794291034</v>
      </c>
      <c r="J749" s="6">
        <v>1.911827489916227</v>
      </c>
      <c r="K749" s="7"/>
      <c r="L749" s="6"/>
      <c r="M749" s="6"/>
      <c r="N749" s="23"/>
      <c r="O749" s="5"/>
      <c r="P749" s="6"/>
      <c r="Q749" s="6"/>
      <c r="R749" s="6"/>
      <c r="S749" s="6"/>
      <c r="T749" s="6"/>
      <c r="U749" s="6"/>
      <c r="V749" s="5"/>
      <c r="W749" s="6"/>
      <c r="X749" s="6">
        <f>E749*F749/100</f>
      </c>
      <c r="Y749" s="6">
        <f>E749*G749/100</f>
      </c>
      <c r="Z749" s="7">
        <f>E749*H749</f>
      </c>
      <c r="AA749" s="7">
        <f>E749*J749</f>
      </c>
      <c r="AB749" s="6">
        <f>E749*I749/100</f>
      </c>
      <c r="AC749" s="15">
        <f>X749+Y749+AB749</f>
      </c>
      <c r="AD749" s="6">
        <f>F749+G749+I749</f>
      </c>
      <c r="AE749" s="3"/>
      <c r="AF749" s="6">
        <f>SUM(AM749:BC749)</f>
      </c>
      <c r="AG749" s="5">
        <f>IF(SUM(AM749:AO749)&gt;0.7*AF749,1,0)</f>
      </c>
      <c r="AH749" s="5">
        <f>IF(AN749&gt;0.4*AF749,1,0)</f>
      </c>
      <c r="AI749" s="5">
        <f>IF(SUM(AP749:AQ749)&gt;0.3*AF749,1,0)</f>
      </c>
      <c r="AJ749" s="5">
        <f>IF(AQ749&gt;0.2*AF749,1,0)</f>
      </c>
      <c r="AK749" s="5">
        <f>IF(SUM(AR749:BC749)&gt;0.3*AF749,1,0)</f>
      </c>
      <c r="AL749" s="3"/>
      <c r="AM749" s="6">
        <f>(F749/100)*AM$41</f>
      </c>
      <c r="AN749" s="6">
        <f>(G749/100)*AN$41</f>
      </c>
      <c r="AO749" s="6">
        <f>(H749/1000000)*AO$41</f>
      </c>
      <c r="AP749" s="6">
        <f>(I749/100)*AP$41</f>
      </c>
      <c r="AQ749" s="6">
        <f>(J749/1000000)*AQ$41</f>
      </c>
      <c r="AR749" s="6">
        <f>(K749/100)*AR$41</f>
      </c>
      <c r="AS749" s="6">
        <f>(L749/100)*AS$41</f>
      </c>
      <c r="AT749" s="6">
        <f>(M749/100)*AT$41</f>
      </c>
      <c r="AU749" s="6">
        <f>(N749/100)*AU$41</f>
      </c>
      <c r="AV749" s="6">
        <f>(O749/1000000)*AV$41</f>
      </c>
      <c r="AW749" s="6">
        <f>(P749/100)*AW$41</f>
      </c>
      <c r="AX749" s="6">
        <f>(Q749/100)*AX$41</f>
      </c>
      <c r="AY749" s="6">
        <f>(R749/100)*AY$41</f>
      </c>
      <c r="AZ749" s="6">
        <f>(S749/100)*AZ$41</f>
      </c>
      <c r="BA749" s="6">
        <f>(T749/100)*BA$41</f>
      </c>
      <c r="BB749" s="6">
        <f>(U749/100)*BB$41</f>
      </c>
      <c r="BC749" s="6"/>
      <c r="BD749" s="3"/>
      <c r="BE749" s="3"/>
      <c r="BF749" s="7">
        <f>AF749*E749</f>
      </c>
      <c r="BG749" s="6"/>
      <c r="BH749" s="3"/>
      <c r="BI749" s="6"/>
    </row>
    <row x14ac:dyDescent="0.25" r="750" customHeight="1" ht="12.75">
      <c r="A750" s="5" t="s">
        <v>813</v>
      </c>
      <c r="B750" s="3" t="s">
        <v>855</v>
      </c>
      <c r="C750" s="43" t="s">
        <v>870</v>
      </c>
      <c r="D750" s="34"/>
      <c r="E750" s="23">
        <v>5.283312</v>
      </c>
      <c r="F750" s="6">
        <v>0.3367506442928224</v>
      </c>
      <c r="G750" s="6">
        <v>0.8700785378565568</v>
      </c>
      <c r="H750" s="7">
        <v>45.09281088832157</v>
      </c>
      <c r="I750" s="6">
        <v>0.06342077469587261</v>
      </c>
      <c r="J750" s="6">
        <v>0.19104192294530403</v>
      </c>
      <c r="K750" s="7"/>
      <c r="L750" s="6"/>
      <c r="M750" s="6"/>
      <c r="N750" s="23"/>
      <c r="O750" s="5"/>
      <c r="P750" s="6"/>
      <c r="Q750" s="6"/>
      <c r="R750" s="6"/>
      <c r="S750" s="6"/>
      <c r="T750" s="6"/>
      <c r="U750" s="6"/>
      <c r="V750" s="5"/>
      <c r="W750" s="6"/>
      <c r="X750" s="6">
        <f>E750*F750/100</f>
      </c>
      <c r="Y750" s="6">
        <f>E750*G750/100</f>
      </c>
      <c r="Z750" s="7">
        <f>E750*H750</f>
      </c>
      <c r="AA750" s="7">
        <f>E750*J750</f>
      </c>
      <c r="AB750" s="6">
        <f>E750*I750/100</f>
      </c>
      <c r="AC750" s="15">
        <f>X750+Y750+AB750</f>
      </c>
      <c r="AD750" s="6">
        <f>F750+G750+I750</f>
      </c>
      <c r="AE750" s="3"/>
      <c r="AF750" s="6">
        <f>SUM(AM750:BC750)</f>
      </c>
      <c r="AG750" s="5">
        <f>IF(SUM(AM750:AO750)&gt;0.7*AF750,1,0)</f>
      </c>
      <c r="AH750" s="5">
        <f>IF(AN750&gt;0.4*AF750,1,0)</f>
      </c>
      <c r="AI750" s="5">
        <f>IF(SUM(AP750:AQ750)&gt;0.3*AF750,1,0)</f>
      </c>
      <c r="AJ750" s="5">
        <f>IF(AQ750&gt;0.2*AF750,1,0)</f>
      </c>
      <c r="AK750" s="5">
        <f>IF(SUM(AR750:BC750)&gt;0.3*AF750,1,0)</f>
      </c>
      <c r="AL750" s="3"/>
      <c r="AM750" s="6">
        <f>(F750/100)*AM$41</f>
      </c>
      <c r="AN750" s="6">
        <f>(G750/100)*AN$41</f>
      </c>
      <c r="AO750" s="6">
        <f>(H750/1000000)*AO$41</f>
      </c>
      <c r="AP750" s="6">
        <f>(I750/100)*AP$41</f>
      </c>
      <c r="AQ750" s="6">
        <f>(J750/1000000)*AQ$41</f>
      </c>
      <c r="AR750" s="6">
        <f>(K750/100)*AR$41</f>
      </c>
      <c r="AS750" s="6">
        <f>(L750/100)*AS$41</f>
      </c>
      <c r="AT750" s="6">
        <f>(M750/100)*AT$41</f>
      </c>
      <c r="AU750" s="6">
        <f>(N750/100)*AU$41</f>
      </c>
      <c r="AV750" s="6">
        <f>(O750/1000000)*AV$41</f>
      </c>
      <c r="AW750" s="6">
        <f>(P750/100)*AW$41</f>
      </c>
      <c r="AX750" s="6">
        <f>(Q750/100)*AX$41</f>
      </c>
      <c r="AY750" s="6">
        <f>(R750/100)*AY$41</f>
      </c>
      <c r="AZ750" s="6">
        <f>(S750/100)*AZ$41</f>
      </c>
      <c r="BA750" s="6">
        <f>(T750/100)*BA$41</f>
      </c>
      <c r="BB750" s="6">
        <f>(U750/100)*BB$41</f>
      </c>
      <c r="BC750" s="6"/>
      <c r="BD750" s="3"/>
      <c r="BE750" s="3"/>
      <c r="BF750" s="7">
        <f>AF750*E750</f>
      </c>
      <c r="BG750" s="6"/>
      <c r="BH750" s="3"/>
      <c r="BI750" s="6"/>
    </row>
    <row x14ac:dyDescent="0.25" r="751" customHeight="1" ht="12.75">
      <c r="A751" s="5" t="s">
        <v>728</v>
      </c>
      <c r="B751" s="3" t="s">
        <v>855</v>
      </c>
      <c r="C751" s="43" t="s">
        <v>870</v>
      </c>
      <c r="D751" s="34"/>
      <c r="E751" s="6">
        <v>1.75</v>
      </c>
      <c r="F751" s="6"/>
      <c r="G751" s="6">
        <v>2.05</v>
      </c>
      <c r="H751" s="6">
        <v>8.5</v>
      </c>
      <c r="I751" s="6">
        <v>1.71</v>
      </c>
      <c r="J751" s="6">
        <v>0.24</v>
      </c>
      <c r="K751" s="7"/>
      <c r="L751" s="6"/>
      <c r="M751" s="6"/>
      <c r="N751" s="23"/>
      <c r="O751" s="5"/>
      <c r="P751" s="6"/>
      <c r="Q751" s="6"/>
      <c r="R751" s="6"/>
      <c r="S751" s="6"/>
      <c r="T751" s="6"/>
      <c r="U751" s="6"/>
      <c r="V751" s="5"/>
      <c r="W751" s="6"/>
      <c r="X751" s="6">
        <f>E751*F751/100</f>
      </c>
      <c r="Y751" s="6">
        <f>E751*G751/100</f>
      </c>
      <c r="Z751" s="7">
        <f>E751*H751</f>
      </c>
      <c r="AA751" s="7">
        <f>E751*J751</f>
      </c>
      <c r="AB751" s="6">
        <f>E751*I751/100</f>
      </c>
      <c r="AC751" s="15">
        <f>X751+Y751+AB751</f>
      </c>
      <c r="AD751" s="6">
        <f>F751+G751+I751</f>
      </c>
      <c r="AE751" s="3"/>
      <c r="AF751" s="6">
        <f>SUM(AM751:BC751)</f>
      </c>
      <c r="AG751" s="5">
        <f>IF(SUM(AM751:AO751)&gt;0.7*AF751,1,0)</f>
      </c>
      <c r="AH751" s="5">
        <f>IF(AN751&gt;0.4*AF751,1,0)</f>
      </c>
      <c r="AI751" s="5">
        <f>IF(SUM(AP751:AQ751)&gt;0.3*AF751,1,0)</f>
      </c>
      <c r="AJ751" s="5">
        <f>IF(AQ751&gt;0.2*AF751,1,0)</f>
      </c>
      <c r="AK751" s="5">
        <f>IF(SUM(AR751:BC751)&gt;0.3*AF751,1,0)</f>
      </c>
      <c r="AL751" s="3"/>
      <c r="AM751" s="6">
        <f>(F751/100)*AM$41</f>
      </c>
      <c r="AN751" s="6">
        <f>(G751/100)*AN$41</f>
      </c>
      <c r="AO751" s="6">
        <f>(H751/1000000)*AO$41</f>
      </c>
      <c r="AP751" s="6">
        <f>(I751/100)*AP$41</f>
      </c>
      <c r="AQ751" s="6">
        <f>(J751/1000000)*AQ$41</f>
      </c>
      <c r="AR751" s="6">
        <f>(K751/100)*AR$41</f>
      </c>
      <c r="AS751" s="6">
        <f>(L751/100)*AS$41</f>
      </c>
      <c r="AT751" s="6">
        <f>(M751/100)*AT$41</f>
      </c>
      <c r="AU751" s="6">
        <f>(N751/100)*AU$41</f>
      </c>
      <c r="AV751" s="6">
        <f>(O751/1000000)*AV$41</f>
      </c>
      <c r="AW751" s="6">
        <f>(P751/100)*AW$41</f>
      </c>
      <c r="AX751" s="6">
        <f>(Q751/100)*AX$41</f>
      </c>
      <c r="AY751" s="6">
        <f>(R751/100)*AY$41</f>
      </c>
      <c r="AZ751" s="6">
        <f>(S751/100)*AZ$41</f>
      </c>
      <c r="BA751" s="6">
        <f>(T751/100)*BA$41</f>
      </c>
      <c r="BB751" s="6">
        <f>(U751/100)*BB$41</f>
      </c>
      <c r="BC751" s="6"/>
      <c r="BD751" s="3"/>
      <c r="BE751" s="3"/>
      <c r="BF751" s="7">
        <f>AF751*E751</f>
      </c>
      <c r="BG751" s="6"/>
      <c r="BH751" s="3"/>
      <c r="BI751" s="6"/>
    </row>
    <row x14ac:dyDescent="0.25" r="752" customHeight="1" ht="12.75">
      <c r="A752" s="5" t="s">
        <v>685</v>
      </c>
      <c r="B752" s="3" t="s">
        <v>855</v>
      </c>
      <c r="C752" s="43" t="s">
        <v>870</v>
      </c>
      <c r="D752" s="34"/>
      <c r="E752" s="6">
        <v>1.554</v>
      </c>
      <c r="F752" s="6"/>
      <c r="G752" s="6">
        <v>2.5</v>
      </c>
      <c r="H752" s="5">
        <v>49</v>
      </c>
      <c r="I752" s="6">
        <v>1.6</v>
      </c>
      <c r="J752" s="6"/>
      <c r="K752" s="7"/>
      <c r="L752" s="6"/>
      <c r="M752" s="6"/>
      <c r="N752" s="23"/>
      <c r="O752" s="5"/>
      <c r="P752" s="6"/>
      <c r="Q752" s="6"/>
      <c r="R752" s="6"/>
      <c r="S752" s="6"/>
      <c r="T752" s="6"/>
      <c r="U752" s="6"/>
      <c r="V752" s="5"/>
      <c r="W752" s="6"/>
      <c r="X752" s="6">
        <f>E752*F752/100</f>
      </c>
      <c r="Y752" s="6">
        <f>E752*G752/100</f>
      </c>
      <c r="Z752" s="7">
        <f>E752*H752</f>
      </c>
      <c r="AA752" s="7">
        <f>E752*J752</f>
      </c>
      <c r="AB752" s="6">
        <f>E752*I752/100</f>
      </c>
      <c r="AC752" s="15">
        <f>X752+Y752+AB752</f>
      </c>
      <c r="AD752" s="6">
        <f>F752+G752+I752</f>
      </c>
      <c r="AE752" s="3"/>
      <c r="AF752" s="6">
        <f>SUM(AM752:BC752)</f>
      </c>
      <c r="AG752" s="5">
        <f>IF(SUM(AM752:AO752)&gt;0.7*AF752,1,0)</f>
      </c>
      <c r="AH752" s="5">
        <f>IF(AN752&gt;0.4*AF752,1,0)</f>
      </c>
      <c r="AI752" s="5">
        <f>IF(SUM(AP752:AQ752)&gt;0.3*AF752,1,0)</f>
      </c>
      <c r="AJ752" s="5">
        <f>IF(AQ752&gt;0.2*AF752,1,0)</f>
      </c>
      <c r="AK752" s="5">
        <f>IF(SUM(AR752:BC752)&gt;0.3*AF752,1,0)</f>
      </c>
      <c r="AL752" s="3"/>
      <c r="AM752" s="6">
        <f>(F752/100)*AM$41</f>
      </c>
      <c r="AN752" s="6">
        <f>(G752/100)*AN$41</f>
      </c>
      <c r="AO752" s="6">
        <f>(H752/1000000)*AO$41</f>
      </c>
      <c r="AP752" s="6">
        <f>(I752/100)*AP$41</f>
      </c>
      <c r="AQ752" s="6">
        <f>(J752/1000000)*AQ$41</f>
      </c>
      <c r="AR752" s="6">
        <f>(K752/100)*AR$41</f>
      </c>
      <c r="AS752" s="6">
        <f>(L752/100)*AS$41</f>
      </c>
      <c r="AT752" s="6">
        <f>(M752/100)*AT$41</f>
      </c>
      <c r="AU752" s="6">
        <f>(N752/100)*AU$41</f>
      </c>
      <c r="AV752" s="6">
        <f>(O752/1000000)*AV$41</f>
      </c>
      <c r="AW752" s="6">
        <f>(P752/100)*AW$41</f>
      </c>
      <c r="AX752" s="6">
        <f>(Q752/100)*AX$41</f>
      </c>
      <c r="AY752" s="6">
        <f>(R752/100)*AY$41</f>
      </c>
      <c r="AZ752" s="6">
        <f>(S752/100)*AZ$41</f>
      </c>
      <c r="BA752" s="6">
        <f>(T752/100)*BA$41</f>
      </c>
      <c r="BB752" s="6">
        <f>(U752/100)*BB$41</f>
      </c>
      <c r="BC752" s="6"/>
      <c r="BD752" s="3"/>
      <c r="BE752" s="3"/>
      <c r="BF752" s="7">
        <f>AF752*E752</f>
      </c>
      <c r="BG752" s="6"/>
      <c r="BH752" s="3"/>
      <c r="BI752" s="6"/>
    </row>
    <row x14ac:dyDescent="0.25" r="753" customHeight="1" ht="12.75">
      <c r="A753" s="5" t="s">
        <v>470</v>
      </c>
      <c r="B753" s="3" t="s">
        <v>855</v>
      </c>
      <c r="C753" s="43" t="s">
        <v>870</v>
      </c>
      <c r="D753" s="34"/>
      <c r="E753" s="6">
        <v>1.064</v>
      </c>
      <c r="F753" s="6">
        <v>2.4103759398496236</v>
      </c>
      <c r="G753" s="6">
        <v>3.386466165413534</v>
      </c>
      <c r="H753" s="31">
        <v>182.61654135338344</v>
      </c>
      <c r="I753" s="6">
        <v>0.14</v>
      </c>
      <c r="J753" s="6">
        <v>0.9198496240601504</v>
      </c>
      <c r="K753" s="7"/>
      <c r="L753" s="6"/>
      <c r="M753" s="6"/>
      <c r="N753" s="23"/>
      <c r="O753" s="5"/>
      <c r="P753" s="6"/>
      <c r="Q753" s="6"/>
      <c r="R753" s="6"/>
      <c r="S753" s="6"/>
      <c r="T753" s="6"/>
      <c r="U753" s="6"/>
      <c r="V753" s="5"/>
      <c r="W753" s="6"/>
      <c r="X753" s="6">
        <f>E753*F753/100</f>
      </c>
      <c r="Y753" s="6">
        <f>E753*G753/100</f>
      </c>
      <c r="Z753" s="7">
        <f>E753*H753</f>
      </c>
      <c r="AA753" s="7">
        <f>E753*J753</f>
      </c>
      <c r="AB753" s="6">
        <f>E753*I753/100</f>
      </c>
      <c r="AC753" s="15">
        <f>X753+Y753+AB753</f>
      </c>
      <c r="AD753" s="6">
        <f>F753+G753+I753</f>
      </c>
      <c r="AE753" s="3"/>
      <c r="AF753" s="6">
        <f>SUM(AM753:BC753)</f>
      </c>
      <c r="AG753" s="5">
        <f>IF(SUM(AM753:AO753)&gt;0.7*AF753,1,0)</f>
      </c>
      <c r="AH753" s="5">
        <f>IF(AN753&gt;0.4*AF753,1,0)</f>
      </c>
      <c r="AI753" s="5">
        <f>IF(SUM(AP753:AQ753)&gt;0.3*AF753,1,0)</f>
      </c>
      <c r="AJ753" s="5">
        <f>IF(AQ753&gt;0.2*AF753,1,0)</f>
      </c>
      <c r="AK753" s="5">
        <f>IF(SUM(AR753:BC753)&gt;0.3*AF753,1,0)</f>
      </c>
      <c r="AL753" s="3"/>
      <c r="AM753" s="6">
        <f>(F753/100)*AM$41</f>
      </c>
      <c r="AN753" s="6">
        <f>(G753/100)*AN$41</f>
      </c>
      <c r="AO753" s="6">
        <f>(H753/1000000)*AO$41</f>
      </c>
      <c r="AP753" s="6">
        <f>(I753/100)*AP$41</f>
      </c>
      <c r="AQ753" s="6">
        <f>(J753/1000000)*AQ$41</f>
      </c>
      <c r="AR753" s="6">
        <f>(K753/100)*AR$41</f>
      </c>
      <c r="AS753" s="6">
        <f>(L753/100)*AS$41</f>
      </c>
      <c r="AT753" s="6">
        <f>(M753/100)*AT$41</f>
      </c>
      <c r="AU753" s="6">
        <f>(N753/100)*AU$41</f>
      </c>
      <c r="AV753" s="6">
        <f>(O753/1000000)*AV$41</f>
      </c>
      <c r="AW753" s="6">
        <f>(P753/100)*AW$41</f>
      </c>
      <c r="AX753" s="6">
        <f>(Q753/100)*AX$41</f>
      </c>
      <c r="AY753" s="6">
        <f>(R753/100)*AY$41</f>
      </c>
      <c r="AZ753" s="6">
        <f>(S753/100)*AZ$41</f>
      </c>
      <c r="BA753" s="6">
        <f>(T753/100)*BA$41</f>
      </c>
      <c r="BB753" s="6">
        <f>(U753/100)*BB$41</f>
      </c>
      <c r="BC753" s="6"/>
      <c r="BD753" s="3"/>
      <c r="BE753" s="3"/>
      <c r="BF753" s="7">
        <f>AF753*E753</f>
      </c>
      <c r="BG753" s="6"/>
      <c r="BH753" s="3"/>
      <c r="BI753" s="6"/>
    </row>
    <row x14ac:dyDescent="0.25" r="754" customHeight="1" ht="12.75">
      <c r="A754" s="5" t="s">
        <v>762</v>
      </c>
      <c r="B754" s="3" t="s">
        <v>855</v>
      </c>
      <c r="C754" s="43" t="s">
        <v>870</v>
      </c>
      <c r="D754" s="34"/>
      <c r="E754" s="23">
        <v>2.827047</v>
      </c>
      <c r="F754" s="6"/>
      <c r="G754" s="6">
        <v>0.32</v>
      </c>
      <c r="H754" s="6">
        <v>8.96</v>
      </c>
      <c r="I754" s="6">
        <v>1.9</v>
      </c>
      <c r="J754" s="6">
        <v>0.47</v>
      </c>
      <c r="K754" s="7"/>
      <c r="L754" s="6"/>
      <c r="M754" s="6"/>
      <c r="N754" s="23"/>
      <c r="O754" s="5"/>
      <c r="P754" s="6"/>
      <c r="Q754" s="6"/>
      <c r="R754" s="6"/>
      <c r="S754" s="6"/>
      <c r="T754" s="6"/>
      <c r="U754" s="6"/>
      <c r="V754" s="5"/>
      <c r="W754" s="6"/>
      <c r="X754" s="6">
        <f>E754*F754/100</f>
      </c>
      <c r="Y754" s="6">
        <f>E754*G754/100</f>
      </c>
      <c r="Z754" s="7">
        <f>E754*H754</f>
      </c>
      <c r="AA754" s="7">
        <f>E754*J754</f>
      </c>
      <c r="AB754" s="6">
        <f>E754*I754/100</f>
      </c>
      <c r="AC754" s="15">
        <f>X754+Y754+AB754</f>
      </c>
      <c r="AD754" s="6">
        <f>F754+G754+I754</f>
      </c>
      <c r="AE754" s="3"/>
      <c r="AF754" s="6">
        <f>SUM(AM754:BC754)</f>
      </c>
      <c r="AG754" s="5">
        <f>IF(SUM(AM754:AO754)&gt;0.7*AF754,1,0)</f>
      </c>
      <c r="AH754" s="5">
        <f>IF(AN754&gt;0.4*AF754,1,0)</f>
      </c>
      <c r="AI754" s="5">
        <f>IF(SUM(AP754:AQ754)&gt;0.3*AF754,1,0)</f>
      </c>
      <c r="AJ754" s="5">
        <f>IF(AQ754&gt;0.2*AF754,1,0)</f>
      </c>
      <c r="AK754" s="5">
        <f>IF(SUM(AR754:BC754)&gt;0.3*AF754,1,0)</f>
      </c>
      <c r="AL754" s="3"/>
      <c r="AM754" s="6">
        <f>(F754/100)*AM$41</f>
      </c>
      <c r="AN754" s="6">
        <f>(G754/100)*AN$41</f>
      </c>
      <c r="AO754" s="6">
        <f>(H754/1000000)*AO$41</f>
      </c>
      <c r="AP754" s="6">
        <f>(I754/100)*AP$41</f>
      </c>
      <c r="AQ754" s="6">
        <f>(J754/1000000)*AQ$41</f>
      </c>
      <c r="AR754" s="6">
        <f>(K754/100)*AR$41</f>
      </c>
      <c r="AS754" s="6">
        <f>(L754/100)*AS$41</f>
      </c>
      <c r="AT754" s="6">
        <f>(M754/100)*AT$41</f>
      </c>
      <c r="AU754" s="6">
        <f>(N754/100)*AU$41</f>
      </c>
      <c r="AV754" s="6">
        <f>(O754/1000000)*AV$41</f>
      </c>
      <c r="AW754" s="6">
        <f>(P754/100)*AW$41</f>
      </c>
      <c r="AX754" s="6">
        <f>(Q754/100)*AX$41</f>
      </c>
      <c r="AY754" s="6">
        <f>(R754/100)*AY$41</f>
      </c>
      <c r="AZ754" s="6">
        <f>(S754/100)*AZ$41</f>
      </c>
      <c r="BA754" s="6">
        <f>(T754/100)*BA$41</f>
      </c>
      <c r="BB754" s="6">
        <f>(U754/100)*BB$41</f>
      </c>
      <c r="BC754" s="6"/>
      <c r="BD754" s="3"/>
      <c r="BE754" s="3"/>
      <c r="BF754" s="7">
        <f>AF754*E754</f>
      </c>
      <c r="BG754" s="6"/>
      <c r="BH754" s="3"/>
      <c r="BI754" s="6"/>
    </row>
    <row x14ac:dyDescent="0.25" r="755" customHeight="1" ht="12.75">
      <c r="A755" s="5" t="s">
        <v>487</v>
      </c>
      <c r="B755" s="3" t="s">
        <v>855</v>
      </c>
      <c r="C755" s="43" t="s">
        <v>870</v>
      </c>
      <c r="D755" s="34"/>
      <c r="E755" s="6">
        <v>2.23</v>
      </c>
      <c r="F755" s="7">
        <v>0.2677130044843049</v>
      </c>
      <c r="G755" s="7">
        <v>1.7869955156950672</v>
      </c>
      <c r="H755" s="31">
        <v>48.784753363228695</v>
      </c>
      <c r="I755" s="7">
        <v>0.7345291479820627</v>
      </c>
      <c r="J755" s="7">
        <v>3.64439461883408</v>
      </c>
      <c r="K755" s="7"/>
      <c r="L755" s="6"/>
      <c r="M755" s="6"/>
      <c r="N755" s="23"/>
      <c r="O755" s="5"/>
      <c r="P755" s="6"/>
      <c r="Q755" s="6"/>
      <c r="R755" s="6"/>
      <c r="S755" s="6"/>
      <c r="T755" s="6"/>
      <c r="U755" s="6"/>
      <c r="V755" s="5"/>
      <c r="W755" s="6"/>
      <c r="X755" s="6">
        <f>E755*F755/100</f>
      </c>
      <c r="Y755" s="6">
        <f>E755*G755/100</f>
      </c>
      <c r="Z755" s="7">
        <f>E755*H755</f>
      </c>
      <c r="AA755" s="7">
        <f>E755*J755</f>
      </c>
      <c r="AB755" s="6">
        <f>E755*I755/100</f>
      </c>
      <c r="AC755" s="15">
        <f>X755+Y755+AB755</f>
      </c>
      <c r="AD755" s="6">
        <f>F755+G755+I755</f>
      </c>
      <c r="AE755" s="3"/>
      <c r="AF755" s="6">
        <f>SUM(AM755:BC755)</f>
      </c>
      <c r="AG755" s="5">
        <f>IF(SUM(AM755:AO755)&gt;0.7*AF755,1,0)</f>
      </c>
      <c r="AH755" s="5">
        <f>IF(AN755&gt;0.4*AF755,1,0)</f>
      </c>
      <c r="AI755" s="5">
        <f>IF(SUM(AP755:AQ755)&gt;0.3*AF755,1,0)</f>
      </c>
      <c r="AJ755" s="5">
        <f>IF(AQ755&gt;0.2*AF755,1,0)</f>
      </c>
      <c r="AK755" s="5">
        <f>IF(SUM(AR755:BC755)&gt;0.3*AF755,1,0)</f>
      </c>
      <c r="AL755" s="3"/>
      <c r="AM755" s="6">
        <f>(F755/100)*AM$41</f>
      </c>
      <c r="AN755" s="6">
        <f>(G755/100)*AN$41</f>
      </c>
      <c r="AO755" s="6">
        <f>(H755/1000000)*AO$41</f>
      </c>
      <c r="AP755" s="6">
        <f>(I755/100)*AP$41</f>
      </c>
      <c r="AQ755" s="6">
        <f>(J755/1000000)*AQ$41</f>
      </c>
      <c r="AR755" s="6">
        <f>(K755/100)*AR$41</f>
      </c>
      <c r="AS755" s="6">
        <f>(L755/100)*AS$41</f>
      </c>
      <c r="AT755" s="6">
        <f>(M755/100)*AT$41</f>
      </c>
      <c r="AU755" s="6">
        <f>(N755/100)*AU$41</f>
      </c>
      <c r="AV755" s="6">
        <f>(O755/1000000)*AV$41</f>
      </c>
      <c r="AW755" s="6">
        <f>(P755/100)*AW$41</f>
      </c>
      <c r="AX755" s="6">
        <f>(Q755/100)*AX$41</f>
      </c>
      <c r="AY755" s="6">
        <f>(R755/100)*AY$41</f>
      </c>
      <c r="AZ755" s="6">
        <f>(S755/100)*AZ$41</f>
      </c>
      <c r="BA755" s="6">
        <f>(T755/100)*BA$41</f>
      </c>
      <c r="BB755" s="6">
        <f>(U755/100)*BB$41</f>
      </c>
      <c r="BC755" s="6"/>
      <c r="BD755" s="3"/>
      <c r="BE755" s="3"/>
      <c r="BF755" s="7">
        <f>AF755*E755</f>
      </c>
      <c r="BG755" s="6"/>
      <c r="BH755" s="3"/>
      <c r="BI755" s="6"/>
    </row>
    <row x14ac:dyDescent="0.25" r="756" customHeight="1" ht="12.75">
      <c r="A756" s="5" t="s">
        <v>829</v>
      </c>
      <c r="B756" s="3" t="s">
        <v>855</v>
      </c>
      <c r="C756" s="43" t="s">
        <v>870</v>
      </c>
      <c r="D756" s="34"/>
      <c r="E756" s="6">
        <v>2.875</v>
      </c>
      <c r="F756" s="6"/>
      <c r="G756" s="6">
        <v>1.3490852173913042</v>
      </c>
      <c r="H756" s="7"/>
      <c r="I756" s="6">
        <v>0.7598608695652175</v>
      </c>
      <c r="J756" s="6"/>
      <c r="K756" s="7"/>
      <c r="L756" s="6"/>
      <c r="M756" s="6"/>
      <c r="N756" s="23"/>
      <c r="O756" s="5"/>
      <c r="P756" s="6"/>
      <c r="Q756" s="6"/>
      <c r="R756" s="6"/>
      <c r="S756" s="6"/>
      <c r="T756" s="6"/>
      <c r="U756" s="6"/>
      <c r="V756" s="5"/>
      <c r="W756" s="6"/>
      <c r="X756" s="6">
        <f>E756*F756/100</f>
      </c>
      <c r="Y756" s="6">
        <f>E756*G756/100</f>
      </c>
      <c r="Z756" s="7">
        <f>E756*H756</f>
      </c>
      <c r="AA756" s="7">
        <f>E756*J756</f>
      </c>
      <c r="AB756" s="6">
        <f>E756*I756/100</f>
      </c>
      <c r="AC756" s="15">
        <f>X756+Y756+AB756</f>
      </c>
      <c r="AD756" s="6">
        <f>F756+G756+I756</f>
      </c>
      <c r="AE756" s="3"/>
      <c r="AF756" s="6">
        <f>SUM(AM756:BC756)</f>
      </c>
      <c r="AG756" s="5">
        <f>IF(SUM(AM756:AO756)&gt;0.7*AF756,1,0)</f>
      </c>
      <c r="AH756" s="5">
        <f>IF(AN756&gt;0.4*AF756,1,0)</f>
      </c>
      <c r="AI756" s="5">
        <f>IF(SUM(AP756:AQ756)&gt;0.3*AF756,1,0)</f>
      </c>
      <c r="AJ756" s="5">
        <f>IF(AQ756&gt;0.2*AF756,1,0)</f>
      </c>
      <c r="AK756" s="5">
        <f>IF(SUM(AR756:BC756)&gt;0.3*AF756,1,0)</f>
      </c>
      <c r="AL756" s="3"/>
      <c r="AM756" s="6">
        <f>(F756/100)*AM$41</f>
      </c>
      <c r="AN756" s="6">
        <f>(G756/100)*AN$41</f>
      </c>
      <c r="AO756" s="6">
        <f>(H756/1000000)*AO$41</f>
      </c>
      <c r="AP756" s="6">
        <f>(I756/100)*AP$41</f>
      </c>
      <c r="AQ756" s="6">
        <f>(J756/1000000)*AQ$41</f>
      </c>
      <c r="AR756" s="6">
        <f>(K756/100)*AR$41</f>
      </c>
      <c r="AS756" s="6">
        <f>(L756/100)*AS$41</f>
      </c>
      <c r="AT756" s="6">
        <f>(M756/100)*AT$41</f>
      </c>
      <c r="AU756" s="6">
        <f>(N756/100)*AU$41</f>
      </c>
      <c r="AV756" s="6">
        <f>(O756/1000000)*AV$41</f>
      </c>
      <c r="AW756" s="6">
        <f>(P756/100)*AW$41</f>
      </c>
      <c r="AX756" s="6">
        <f>(Q756/100)*AX$41</f>
      </c>
      <c r="AY756" s="6">
        <f>(R756/100)*AY$41</f>
      </c>
      <c r="AZ756" s="6">
        <f>(S756/100)*AZ$41</f>
      </c>
      <c r="BA756" s="6">
        <f>(T756/100)*BA$41</f>
      </c>
      <c r="BB756" s="6">
        <f>(U756/100)*BB$41</f>
      </c>
      <c r="BC756" s="6"/>
      <c r="BD756" s="3"/>
      <c r="BE756" s="3"/>
      <c r="BF756" s="7">
        <f>AF756*E756</f>
      </c>
      <c r="BG756" s="6"/>
      <c r="BH756" s="3"/>
      <c r="BI756" s="6"/>
    </row>
    <row x14ac:dyDescent="0.25" r="757" customHeight="1" ht="12.75">
      <c r="A757" s="5" t="s">
        <v>370</v>
      </c>
      <c r="B757" s="3" t="s">
        <v>855</v>
      </c>
      <c r="C757" s="43" t="s">
        <v>870</v>
      </c>
      <c r="D757" s="34"/>
      <c r="E757" s="6">
        <v>0.6800000000000002</v>
      </c>
      <c r="F757" s="7">
        <v>2.45</v>
      </c>
      <c r="G757" s="7">
        <v>4.935294117647058</v>
      </c>
      <c r="H757" s="31">
        <v>78.99999999999999</v>
      </c>
      <c r="I757" s="7">
        <v>1.2058823529411762</v>
      </c>
      <c r="J757" s="7">
        <v>0.688235294117647</v>
      </c>
      <c r="K757" s="7"/>
      <c r="L757" s="6"/>
      <c r="M757" s="6"/>
      <c r="N757" s="23"/>
      <c r="O757" s="5"/>
      <c r="P757" s="6"/>
      <c r="Q757" s="6"/>
      <c r="R757" s="6"/>
      <c r="S757" s="6"/>
      <c r="T757" s="6"/>
      <c r="U757" s="6"/>
      <c r="V757" s="5"/>
      <c r="W757" s="6"/>
      <c r="X757" s="6">
        <f>E757*F757/100</f>
      </c>
      <c r="Y757" s="6">
        <f>E757*G757/100</f>
      </c>
      <c r="Z757" s="7">
        <f>E757*H757</f>
      </c>
      <c r="AA757" s="7">
        <f>E757*J757</f>
      </c>
      <c r="AB757" s="6">
        <f>E757*I757/100</f>
      </c>
      <c r="AC757" s="15">
        <f>X757+Y757+AB757</f>
      </c>
      <c r="AD757" s="6">
        <f>F757+G757+I757</f>
      </c>
      <c r="AE757" s="3"/>
      <c r="AF757" s="6">
        <f>SUM(AM757:BC757)</f>
      </c>
      <c r="AG757" s="5">
        <f>IF(SUM(AM757:AO757)&gt;0.7*AF757,1,0)</f>
      </c>
      <c r="AH757" s="5">
        <f>IF(AN757&gt;0.4*AF757,1,0)</f>
      </c>
      <c r="AI757" s="5">
        <f>IF(SUM(AP757:AQ757)&gt;0.3*AF757,1,0)</f>
      </c>
      <c r="AJ757" s="5">
        <f>IF(AQ757&gt;0.2*AF757,1,0)</f>
      </c>
      <c r="AK757" s="5">
        <f>IF(SUM(AR757:BC757)&gt;0.3*AF757,1,0)</f>
      </c>
      <c r="AL757" s="3"/>
      <c r="AM757" s="6">
        <f>(F757/100)*AM$41</f>
      </c>
      <c r="AN757" s="6">
        <f>(G757/100)*AN$41</f>
      </c>
      <c r="AO757" s="6">
        <f>(H757/1000000)*AO$41</f>
      </c>
      <c r="AP757" s="6">
        <f>(I757/100)*AP$41</f>
      </c>
      <c r="AQ757" s="6">
        <f>(J757/1000000)*AQ$41</f>
      </c>
      <c r="AR757" s="6">
        <f>(K757/100)*AR$41</f>
      </c>
      <c r="AS757" s="6">
        <f>(L757/100)*AS$41</f>
      </c>
      <c r="AT757" s="6">
        <f>(M757/100)*AT$41</f>
      </c>
      <c r="AU757" s="6">
        <f>(N757/100)*AU$41</f>
      </c>
      <c r="AV757" s="6">
        <f>(O757/1000000)*AV$41</f>
      </c>
      <c r="AW757" s="6">
        <f>(P757/100)*AW$41</f>
      </c>
      <c r="AX757" s="6">
        <f>(Q757/100)*AX$41</f>
      </c>
      <c r="AY757" s="6">
        <f>(R757/100)*AY$41</f>
      </c>
      <c r="AZ757" s="6">
        <f>(S757/100)*AZ$41</f>
      </c>
      <c r="BA757" s="6">
        <f>(T757/100)*BA$41</f>
      </c>
      <c r="BB757" s="6">
        <f>(U757/100)*BB$41</f>
      </c>
      <c r="BC757" s="6"/>
      <c r="BD757" s="3"/>
      <c r="BE757" s="3"/>
      <c r="BF757" s="7">
        <f>AF757*E757</f>
      </c>
      <c r="BG757" s="6"/>
      <c r="BH757" s="3"/>
      <c r="BI757" s="6"/>
    </row>
    <row x14ac:dyDescent="0.25" r="758" customHeight="1" ht="12.75">
      <c r="A758" s="5" t="s">
        <v>670</v>
      </c>
      <c r="B758" s="3" t="s">
        <v>855</v>
      </c>
      <c r="C758" s="43" t="s">
        <v>870</v>
      </c>
      <c r="D758" s="34" t="s">
        <v>1027</v>
      </c>
      <c r="E758" s="7">
        <v>1</v>
      </c>
      <c r="F758" s="6">
        <v>2.58</v>
      </c>
      <c r="G758" s="6">
        <v>2.21</v>
      </c>
      <c r="H758" s="6">
        <v>73.2</v>
      </c>
      <c r="I758" s="6">
        <v>0.89</v>
      </c>
      <c r="J758" s="6"/>
      <c r="K758" s="7"/>
      <c r="L758" s="6"/>
      <c r="M758" s="6"/>
      <c r="N758" s="23"/>
      <c r="O758" s="5"/>
      <c r="P758" s="6"/>
      <c r="Q758" s="6"/>
      <c r="R758" s="6"/>
      <c r="S758" s="6"/>
      <c r="T758" s="6"/>
      <c r="U758" s="6"/>
      <c r="V758" s="5"/>
      <c r="W758" s="6"/>
      <c r="X758" s="6">
        <f>E758*F758/100</f>
      </c>
      <c r="Y758" s="6">
        <f>E758*G758/100</f>
      </c>
      <c r="Z758" s="7">
        <f>E758*H758</f>
      </c>
      <c r="AA758" s="7">
        <f>E758*J758</f>
      </c>
      <c r="AB758" s="6">
        <f>E758*I758/100</f>
      </c>
      <c r="AC758" s="15">
        <f>X758+Y758+AB758</f>
      </c>
      <c r="AD758" s="6">
        <f>F758+G758+I758</f>
      </c>
      <c r="AE758" s="3"/>
      <c r="AF758" s="6">
        <f>SUM(AM758:BC758)</f>
      </c>
      <c r="AG758" s="5">
        <f>IF(SUM(AM758:AO758)&gt;0.7*AF758,1,0)</f>
      </c>
      <c r="AH758" s="5">
        <f>IF(AN758&gt;0.4*AF758,1,0)</f>
      </c>
      <c r="AI758" s="5">
        <f>IF(SUM(AP758:AQ758)&gt;0.3*AF758,1,0)</f>
      </c>
      <c r="AJ758" s="5">
        <f>IF(AQ758&gt;0.2*AF758,1,0)</f>
      </c>
      <c r="AK758" s="5">
        <f>IF(SUM(AR758:BC758)&gt;0.3*AF758,1,0)</f>
      </c>
      <c r="AL758" s="3"/>
      <c r="AM758" s="6">
        <f>(F758/100)*AM$41</f>
      </c>
      <c r="AN758" s="6">
        <f>(G758/100)*AN$41</f>
      </c>
      <c r="AO758" s="6">
        <f>(H758/1000000)*AO$41</f>
      </c>
      <c r="AP758" s="6">
        <f>(I758/100)*AP$41</f>
      </c>
      <c r="AQ758" s="6">
        <f>(J758/1000000)*AQ$41</f>
      </c>
      <c r="AR758" s="6">
        <f>(K758/100)*AR$41</f>
      </c>
      <c r="AS758" s="6">
        <f>(L758/100)*AS$41</f>
      </c>
      <c r="AT758" s="6">
        <f>(M758/100)*AT$41</f>
      </c>
      <c r="AU758" s="6">
        <f>(N758/100)*AU$41</f>
      </c>
      <c r="AV758" s="6">
        <f>(O758/1000000)*AV$41</f>
      </c>
      <c r="AW758" s="6">
        <f>(P758/100)*AW$41</f>
      </c>
      <c r="AX758" s="6">
        <f>(Q758/100)*AX$41</f>
      </c>
      <c r="AY758" s="6">
        <f>(R758/100)*AY$41</f>
      </c>
      <c r="AZ758" s="6">
        <f>(S758/100)*AZ$41</f>
      </c>
      <c r="BA758" s="6">
        <f>(T758/100)*BA$41</f>
      </c>
      <c r="BB758" s="6">
        <f>(U758/100)*BB$41</f>
      </c>
      <c r="BC758" s="6"/>
      <c r="BD758" s="3"/>
      <c r="BE758" s="3"/>
      <c r="BF758" s="7">
        <f>AF758*E758</f>
      </c>
      <c r="BG758" s="6"/>
      <c r="BH758" s="3"/>
      <c r="BI758" s="6"/>
    </row>
    <row x14ac:dyDescent="0.25" r="759" customHeight="1" ht="12.75">
      <c r="A759" s="5" t="s">
        <v>463</v>
      </c>
      <c r="B759" s="3" t="s">
        <v>855</v>
      </c>
      <c r="C759" s="43" t="s">
        <v>870</v>
      </c>
      <c r="D759" s="34"/>
      <c r="E759" s="23">
        <v>0.675554</v>
      </c>
      <c r="F759" s="6"/>
      <c r="G759" s="6">
        <v>7.498456170787233</v>
      </c>
      <c r="H759" s="7">
        <v>58.50386574574348</v>
      </c>
      <c r="I759" s="6">
        <v>0.514846540765061</v>
      </c>
      <c r="J759" s="6">
        <v>1.1026981114759145</v>
      </c>
      <c r="K759" s="7"/>
      <c r="L759" s="6"/>
      <c r="M759" s="6"/>
      <c r="N759" s="23"/>
      <c r="O759" s="5"/>
      <c r="P759" s="6"/>
      <c r="Q759" s="6"/>
      <c r="R759" s="6"/>
      <c r="S759" s="6"/>
      <c r="T759" s="6"/>
      <c r="U759" s="6"/>
      <c r="V759" s="5"/>
      <c r="W759" s="6"/>
      <c r="X759" s="6">
        <f>E759*F759/100</f>
      </c>
      <c r="Y759" s="6">
        <f>E759*G759/100</f>
      </c>
      <c r="Z759" s="7">
        <f>E759*H759</f>
      </c>
      <c r="AA759" s="7">
        <f>E759*J759</f>
      </c>
      <c r="AB759" s="6">
        <f>E759*I759/100</f>
      </c>
      <c r="AC759" s="15">
        <f>X759+Y759+AB759</f>
      </c>
      <c r="AD759" s="6">
        <f>F759+G759+I759</f>
      </c>
      <c r="AE759" s="3"/>
      <c r="AF759" s="6">
        <f>SUM(AM759:BC759)</f>
      </c>
      <c r="AG759" s="5">
        <f>IF(SUM(AM759:AO759)&gt;0.7*AF759,1,0)</f>
      </c>
      <c r="AH759" s="5">
        <f>IF(AN759&gt;0.4*AF759,1,0)</f>
      </c>
      <c r="AI759" s="5">
        <f>IF(SUM(AP759:AQ759)&gt;0.3*AF759,1,0)</f>
      </c>
      <c r="AJ759" s="5">
        <f>IF(AQ759&gt;0.2*AF759,1,0)</f>
      </c>
      <c r="AK759" s="5">
        <f>IF(SUM(AR759:BC759)&gt;0.3*AF759,1,0)</f>
      </c>
      <c r="AL759" s="3"/>
      <c r="AM759" s="6">
        <f>(F759/100)*AM$41</f>
      </c>
      <c r="AN759" s="6">
        <f>(G759/100)*AN$41</f>
      </c>
      <c r="AO759" s="6">
        <f>(H759/1000000)*AO$41</f>
      </c>
      <c r="AP759" s="6">
        <f>(I759/100)*AP$41</f>
      </c>
      <c r="AQ759" s="6">
        <f>(J759/1000000)*AQ$41</f>
      </c>
      <c r="AR759" s="6">
        <f>(K759/100)*AR$41</f>
      </c>
      <c r="AS759" s="6">
        <f>(L759/100)*AS$41</f>
      </c>
      <c r="AT759" s="6">
        <f>(M759/100)*AT$41</f>
      </c>
      <c r="AU759" s="6">
        <f>(N759/100)*AU$41</f>
      </c>
      <c r="AV759" s="6">
        <f>(O759/1000000)*AV$41</f>
      </c>
      <c r="AW759" s="6">
        <f>(P759/100)*AW$41</f>
      </c>
      <c r="AX759" s="6">
        <f>(Q759/100)*AX$41</f>
      </c>
      <c r="AY759" s="6">
        <f>(R759/100)*AY$41</f>
      </c>
      <c r="AZ759" s="6">
        <f>(S759/100)*AZ$41</f>
      </c>
      <c r="BA759" s="6">
        <f>(T759/100)*BA$41</f>
      </c>
      <c r="BB759" s="6">
        <f>(U759/100)*BB$41</f>
      </c>
      <c r="BC759" s="6"/>
      <c r="BD759" s="3"/>
      <c r="BE759" s="3"/>
      <c r="BF759" s="7">
        <f>AF759*E759</f>
      </c>
      <c r="BG759" s="6"/>
      <c r="BH759" s="3"/>
      <c r="BI759" s="6"/>
    </row>
    <row x14ac:dyDescent="0.25" r="760" customHeight="1" ht="12.75">
      <c r="A760" s="5" t="s">
        <v>748</v>
      </c>
      <c r="B760" s="3" t="s">
        <v>855</v>
      </c>
      <c r="C760" s="43" t="s">
        <v>870</v>
      </c>
      <c r="D760" s="34"/>
      <c r="E760" s="6">
        <v>1.13</v>
      </c>
      <c r="F760" s="6">
        <v>3.95</v>
      </c>
      <c r="G760" s="6">
        <v>0.64</v>
      </c>
      <c r="H760" s="5">
        <v>38</v>
      </c>
      <c r="I760" s="6">
        <v>0.01</v>
      </c>
      <c r="J760" s="6"/>
      <c r="K760" s="7"/>
      <c r="L760" s="6"/>
      <c r="M760" s="6"/>
      <c r="N760" s="23"/>
      <c r="O760" s="5"/>
      <c r="P760" s="6"/>
      <c r="Q760" s="6"/>
      <c r="R760" s="6"/>
      <c r="S760" s="6"/>
      <c r="T760" s="6"/>
      <c r="U760" s="6"/>
      <c r="V760" s="5"/>
      <c r="W760" s="6"/>
      <c r="X760" s="6">
        <f>E760*F760/100</f>
      </c>
      <c r="Y760" s="6">
        <f>E760*G760/100</f>
      </c>
      <c r="Z760" s="7">
        <f>E760*H760</f>
      </c>
      <c r="AA760" s="7">
        <f>E760*J760</f>
      </c>
      <c r="AB760" s="6">
        <f>E760*I760/100</f>
      </c>
      <c r="AC760" s="15">
        <f>X760+Y760+AB760</f>
      </c>
      <c r="AD760" s="6">
        <f>F760+G760+I760</f>
      </c>
      <c r="AE760" s="3"/>
      <c r="AF760" s="6">
        <f>SUM(AM760:BC760)</f>
      </c>
      <c r="AG760" s="5">
        <f>IF(SUM(AM760:AO760)&gt;0.7*AF760,1,0)</f>
      </c>
      <c r="AH760" s="5">
        <f>IF(AN760&gt;0.4*AF760,1,0)</f>
      </c>
      <c r="AI760" s="5">
        <f>IF(SUM(AP760:AQ760)&gt;0.3*AF760,1,0)</f>
      </c>
      <c r="AJ760" s="5">
        <f>IF(AQ760&gt;0.2*AF760,1,0)</f>
      </c>
      <c r="AK760" s="5">
        <f>IF(SUM(AR760:BC760)&gt;0.3*AF760,1,0)</f>
      </c>
      <c r="AL760" s="3"/>
      <c r="AM760" s="6">
        <f>(F760/100)*AM$41</f>
      </c>
      <c r="AN760" s="6">
        <f>(G760/100)*AN$41</f>
      </c>
      <c r="AO760" s="6">
        <f>(H760/1000000)*AO$41</f>
      </c>
      <c r="AP760" s="6">
        <f>(I760/100)*AP$41</f>
      </c>
      <c r="AQ760" s="6">
        <f>(J760/1000000)*AQ$41</f>
      </c>
      <c r="AR760" s="6">
        <f>(K760/100)*AR$41</f>
      </c>
      <c r="AS760" s="6">
        <f>(L760/100)*AS$41</f>
      </c>
      <c r="AT760" s="6">
        <f>(M760/100)*AT$41</f>
      </c>
      <c r="AU760" s="6">
        <f>(N760/100)*AU$41</f>
      </c>
      <c r="AV760" s="6">
        <f>(O760/1000000)*AV$41</f>
      </c>
      <c r="AW760" s="6">
        <f>(P760/100)*AW$41</f>
      </c>
      <c r="AX760" s="6">
        <f>(Q760/100)*AX$41</f>
      </c>
      <c r="AY760" s="6">
        <f>(R760/100)*AY$41</f>
      </c>
      <c r="AZ760" s="6">
        <f>(S760/100)*AZ$41</f>
      </c>
      <c r="BA760" s="6">
        <f>(T760/100)*BA$41</f>
      </c>
      <c r="BB760" s="6">
        <f>(U760/100)*BB$41</f>
      </c>
      <c r="BC760" s="6"/>
      <c r="BD760" s="3"/>
      <c r="BE760" s="3"/>
      <c r="BF760" s="7">
        <f>AF760*E760</f>
      </c>
      <c r="BG760" s="6"/>
      <c r="BH760" s="3"/>
      <c r="BI760" s="6"/>
    </row>
    <row x14ac:dyDescent="0.25" r="761" customHeight="1" ht="12.75">
      <c r="A761" s="5" t="s">
        <v>814</v>
      </c>
      <c r="B761" s="3" t="s">
        <v>855</v>
      </c>
      <c r="C761" s="43" t="s">
        <v>870</v>
      </c>
      <c r="D761" s="34"/>
      <c r="E761" s="23">
        <v>4.014</v>
      </c>
      <c r="F761" s="6"/>
      <c r="G761" s="6">
        <v>0.0215146985550573</v>
      </c>
      <c r="H761" s="7">
        <v>1.2535625311410066</v>
      </c>
      <c r="I761" s="6">
        <v>1.2128649725959142</v>
      </c>
      <c r="J761" s="6"/>
      <c r="K761" s="7"/>
      <c r="L761" s="6"/>
      <c r="M761" s="6"/>
      <c r="N761" s="23"/>
      <c r="O761" s="5"/>
      <c r="P761" s="6"/>
      <c r="Q761" s="6"/>
      <c r="R761" s="6"/>
      <c r="S761" s="6"/>
      <c r="T761" s="6"/>
      <c r="U761" s="6"/>
      <c r="V761" s="5"/>
      <c r="W761" s="6"/>
      <c r="X761" s="6">
        <f>E761*F761/100</f>
      </c>
      <c r="Y761" s="6">
        <f>E761*G761/100</f>
      </c>
      <c r="Z761" s="7">
        <f>E761*H761</f>
      </c>
      <c r="AA761" s="7">
        <f>E761*J761</f>
      </c>
      <c r="AB761" s="6">
        <f>E761*I761/100</f>
      </c>
      <c r="AC761" s="15">
        <f>X761+Y761+AB761</f>
      </c>
      <c r="AD761" s="6">
        <f>F761+G761+I761</f>
      </c>
      <c r="AE761" s="3"/>
      <c r="AF761" s="6">
        <f>SUM(AM761:BC761)</f>
      </c>
      <c r="AG761" s="5">
        <f>IF(SUM(AM761:AO761)&gt;0.7*AF761,1,0)</f>
      </c>
      <c r="AH761" s="5">
        <f>IF(AN761&gt;0.4*AF761,1,0)</f>
      </c>
      <c r="AI761" s="5">
        <f>IF(SUM(AP761:AQ761)&gt;0.3*AF761,1,0)</f>
      </c>
      <c r="AJ761" s="5">
        <f>IF(AQ761&gt;0.2*AF761,1,0)</f>
      </c>
      <c r="AK761" s="5">
        <f>IF(SUM(AR761:BC761)&gt;0.3*AF761,1,0)</f>
      </c>
      <c r="AL761" s="3"/>
      <c r="AM761" s="6">
        <f>(F761/100)*AM$41</f>
      </c>
      <c r="AN761" s="6">
        <f>(G761/100)*AN$41</f>
      </c>
      <c r="AO761" s="6">
        <f>(H761/1000000)*AO$41</f>
      </c>
      <c r="AP761" s="6">
        <f>(I761/100)*AP$41</f>
      </c>
      <c r="AQ761" s="6">
        <f>(J761/1000000)*AQ$41</f>
      </c>
      <c r="AR761" s="6">
        <f>(K761/100)*AR$41</f>
      </c>
      <c r="AS761" s="6">
        <f>(L761/100)*AS$41</f>
      </c>
      <c r="AT761" s="6">
        <f>(M761/100)*AT$41</f>
      </c>
      <c r="AU761" s="6">
        <f>(N761/100)*AU$41</f>
      </c>
      <c r="AV761" s="6">
        <f>(O761/1000000)*AV$41</f>
      </c>
      <c r="AW761" s="6">
        <f>(P761/100)*AW$41</f>
      </c>
      <c r="AX761" s="6">
        <f>(Q761/100)*AX$41</f>
      </c>
      <c r="AY761" s="6">
        <f>(R761/100)*AY$41</f>
      </c>
      <c r="AZ761" s="6">
        <f>(S761/100)*AZ$41</f>
      </c>
      <c r="BA761" s="6">
        <f>(T761/100)*BA$41</f>
      </c>
      <c r="BB761" s="6">
        <f>(U761/100)*BB$41</f>
      </c>
      <c r="BC761" s="6"/>
      <c r="BD761" s="3"/>
      <c r="BE761" s="3"/>
      <c r="BF761" s="7">
        <f>AF761*E761</f>
      </c>
      <c r="BG761" s="6"/>
      <c r="BH761" s="3"/>
      <c r="BI761" s="6"/>
    </row>
    <row x14ac:dyDescent="0.25" r="762" customHeight="1" ht="12.75">
      <c r="A762" s="5" t="s">
        <v>686</v>
      </c>
      <c r="B762" s="3" t="s">
        <v>855</v>
      </c>
      <c r="C762" s="43" t="s">
        <v>870</v>
      </c>
      <c r="D762" s="34"/>
      <c r="E762" s="6">
        <v>0.895</v>
      </c>
      <c r="F762" s="7">
        <v>0.7257206703910616</v>
      </c>
      <c r="G762" s="7">
        <v>3.9948603351955314</v>
      </c>
      <c r="H762" s="7">
        <v>11.315083798882682</v>
      </c>
      <c r="I762" s="7">
        <v>0.7974301675977653</v>
      </c>
      <c r="J762" s="6"/>
      <c r="K762" s="7"/>
      <c r="L762" s="6"/>
      <c r="M762" s="6"/>
      <c r="N762" s="23"/>
      <c r="O762" s="5"/>
      <c r="P762" s="6"/>
      <c r="Q762" s="6"/>
      <c r="R762" s="6"/>
      <c r="S762" s="6"/>
      <c r="T762" s="6"/>
      <c r="U762" s="6"/>
      <c r="V762" s="5"/>
      <c r="W762" s="6"/>
      <c r="X762" s="6">
        <f>E762*F762/100</f>
      </c>
      <c r="Y762" s="6">
        <f>E762*G762/100</f>
      </c>
      <c r="Z762" s="7">
        <f>E762*H762</f>
      </c>
      <c r="AA762" s="7">
        <f>E762*J762</f>
      </c>
      <c r="AB762" s="6">
        <f>E762*I762/100</f>
      </c>
      <c r="AC762" s="15">
        <f>X762+Y762+AB762</f>
      </c>
      <c r="AD762" s="6">
        <f>F762+G762+I762</f>
      </c>
      <c r="AE762" s="3"/>
      <c r="AF762" s="6">
        <f>SUM(AM762:BC762)</f>
      </c>
      <c r="AG762" s="5">
        <f>IF(SUM(AM762:AO762)&gt;0.7*AF762,1,0)</f>
      </c>
      <c r="AH762" s="5">
        <f>IF(AN762&gt;0.4*AF762,1,0)</f>
      </c>
      <c r="AI762" s="5">
        <f>IF(SUM(AP762:AQ762)&gt;0.3*AF762,1,0)</f>
      </c>
      <c r="AJ762" s="5">
        <f>IF(AQ762&gt;0.2*AF762,1,0)</f>
      </c>
      <c r="AK762" s="5">
        <f>IF(SUM(AR762:BC762)&gt;0.3*AF762,1,0)</f>
      </c>
      <c r="AL762" s="3"/>
      <c r="AM762" s="6">
        <f>(F762/100)*AM$41</f>
      </c>
      <c r="AN762" s="6">
        <f>(G762/100)*AN$41</f>
      </c>
      <c r="AO762" s="6">
        <f>(H762/1000000)*AO$41</f>
      </c>
      <c r="AP762" s="6">
        <f>(I762/100)*AP$41</f>
      </c>
      <c r="AQ762" s="6">
        <f>(J762/1000000)*AQ$41</f>
      </c>
      <c r="AR762" s="6">
        <f>(K762/100)*AR$41</f>
      </c>
      <c r="AS762" s="6">
        <f>(L762/100)*AS$41</f>
      </c>
      <c r="AT762" s="6">
        <f>(M762/100)*AT$41</f>
      </c>
      <c r="AU762" s="6">
        <f>(N762/100)*AU$41</f>
      </c>
      <c r="AV762" s="6">
        <f>(O762/1000000)*AV$41</f>
      </c>
      <c r="AW762" s="6">
        <f>(P762/100)*AW$41</f>
      </c>
      <c r="AX762" s="6">
        <f>(Q762/100)*AX$41</f>
      </c>
      <c r="AY762" s="6">
        <f>(R762/100)*AY$41</f>
      </c>
      <c r="AZ762" s="6">
        <f>(S762/100)*AZ$41</f>
      </c>
      <c r="BA762" s="6">
        <f>(T762/100)*BA$41</f>
      </c>
      <c r="BB762" s="6">
        <f>(U762/100)*BB$41</f>
      </c>
      <c r="BC762" s="6"/>
      <c r="BD762" s="3"/>
      <c r="BE762" s="3"/>
      <c r="BF762" s="7">
        <f>AF762*E762</f>
      </c>
      <c r="BG762" s="6"/>
      <c r="BH762" s="3"/>
      <c r="BI762" s="6"/>
    </row>
    <row x14ac:dyDescent="0.25" r="763" customHeight="1" ht="12.75">
      <c r="A763" s="5" t="s">
        <v>478</v>
      </c>
      <c r="B763" s="3" t="s">
        <v>855</v>
      </c>
      <c r="C763" s="43" t="s">
        <v>870</v>
      </c>
      <c r="D763" s="34"/>
      <c r="E763" s="23">
        <v>0.587961</v>
      </c>
      <c r="F763" s="6"/>
      <c r="G763" s="6">
        <v>7.63</v>
      </c>
      <c r="H763" s="7"/>
      <c r="I763" s="6">
        <v>0.35</v>
      </c>
      <c r="J763" s="6"/>
      <c r="K763" s="7"/>
      <c r="L763" s="6"/>
      <c r="M763" s="6"/>
      <c r="N763" s="23"/>
      <c r="O763" s="5"/>
      <c r="P763" s="6"/>
      <c r="Q763" s="6"/>
      <c r="R763" s="6"/>
      <c r="S763" s="6"/>
      <c r="T763" s="6"/>
      <c r="U763" s="6"/>
      <c r="V763" s="5"/>
      <c r="W763" s="6"/>
      <c r="X763" s="6">
        <f>E763*F763/100</f>
      </c>
      <c r="Y763" s="6">
        <f>E763*G763/100</f>
      </c>
      <c r="Z763" s="7">
        <f>E763*H763</f>
      </c>
      <c r="AA763" s="7">
        <f>E763*J763</f>
      </c>
      <c r="AB763" s="6">
        <f>E763*I763/100</f>
      </c>
      <c r="AC763" s="15">
        <f>X763+Y763+AB763</f>
      </c>
      <c r="AD763" s="6">
        <f>F763+G763+I763</f>
      </c>
      <c r="AE763" s="3"/>
      <c r="AF763" s="6">
        <f>SUM(AM763:BC763)</f>
      </c>
      <c r="AG763" s="5">
        <f>IF(SUM(AM763:AO763)&gt;0.7*AF763,1,0)</f>
      </c>
      <c r="AH763" s="5">
        <f>IF(AN763&gt;0.4*AF763,1,0)</f>
      </c>
      <c r="AI763" s="5">
        <f>IF(SUM(AP763:AQ763)&gt;0.3*AF763,1,0)</f>
      </c>
      <c r="AJ763" s="5">
        <f>IF(AQ763&gt;0.2*AF763,1,0)</f>
      </c>
      <c r="AK763" s="5">
        <f>IF(SUM(AR763:BC763)&gt;0.3*AF763,1,0)</f>
      </c>
      <c r="AL763" s="3"/>
      <c r="AM763" s="6">
        <f>(F763/100)*AM$41</f>
      </c>
      <c r="AN763" s="6">
        <f>(G763/100)*AN$41</f>
      </c>
      <c r="AO763" s="6">
        <f>(H763/1000000)*AO$41</f>
      </c>
      <c r="AP763" s="6">
        <f>(I763/100)*AP$41</f>
      </c>
      <c r="AQ763" s="6">
        <f>(J763/1000000)*AQ$41</f>
      </c>
      <c r="AR763" s="6">
        <f>(K763/100)*AR$41</f>
      </c>
      <c r="AS763" s="6">
        <f>(L763/100)*AS$41</f>
      </c>
      <c r="AT763" s="6">
        <f>(M763/100)*AT$41</f>
      </c>
      <c r="AU763" s="6">
        <f>(N763/100)*AU$41</f>
      </c>
      <c r="AV763" s="6">
        <f>(O763/1000000)*AV$41</f>
      </c>
      <c r="AW763" s="6">
        <f>(P763/100)*AW$41</f>
      </c>
      <c r="AX763" s="6">
        <f>(Q763/100)*AX$41</f>
      </c>
      <c r="AY763" s="6">
        <f>(R763/100)*AY$41</f>
      </c>
      <c r="AZ763" s="6">
        <f>(S763/100)*AZ$41</f>
      </c>
      <c r="BA763" s="6">
        <f>(T763/100)*BA$41</f>
      </c>
      <c r="BB763" s="6">
        <f>(U763/100)*BB$41</f>
      </c>
      <c r="BC763" s="6"/>
      <c r="BD763" s="3"/>
      <c r="BE763" s="3"/>
      <c r="BF763" s="7">
        <f>AF763*E763</f>
      </c>
      <c r="BG763" s="6"/>
      <c r="BH763" s="3"/>
      <c r="BI763" s="6"/>
    </row>
    <row x14ac:dyDescent="0.25" r="764" customHeight="1" ht="12.75">
      <c r="A764" s="5" t="s">
        <v>815</v>
      </c>
      <c r="B764" s="3" t="s">
        <v>855</v>
      </c>
      <c r="C764" s="43" t="s">
        <v>870</v>
      </c>
      <c r="D764" s="34"/>
      <c r="E764" s="6">
        <v>3.4</v>
      </c>
      <c r="F764" s="6"/>
      <c r="G764" s="6">
        <v>0.63</v>
      </c>
      <c r="H764" s="7"/>
      <c r="I764" s="6">
        <v>0.71</v>
      </c>
      <c r="J764" s="6"/>
      <c r="K764" s="7"/>
      <c r="L764" s="6">
        <v>0.05</v>
      </c>
      <c r="M764" s="6">
        <v>0.09</v>
      </c>
      <c r="N764" s="23"/>
      <c r="O764" s="5"/>
      <c r="P764" s="6"/>
      <c r="Q764" s="6"/>
      <c r="R764" s="6"/>
      <c r="S764" s="6"/>
      <c r="T764" s="6"/>
      <c r="U764" s="6"/>
      <c r="V764" s="5"/>
      <c r="W764" s="6"/>
      <c r="X764" s="6">
        <f>E764*F764/100</f>
      </c>
      <c r="Y764" s="6">
        <f>E764*G764/100</f>
      </c>
      <c r="Z764" s="7">
        <f>E764*H764</f>
      </c>
      <c r="AA764" s="7">
        <f>E764*J764</f>
      </c>
      <c r="AB764" s="6">
        <f>E764*I764/100</f>
      </c>
      <c r="AC764" s="15">
        <f>X764+Y764+AB764</f>
      </c>
      <c r="AD764" s="6">
        <f>F764+G764+I764</f>
      </c>
      <c r="AE764" s="3"/>
      <c r="AF764" s="6">
        <f>SUM(AM764:BC764)</f>
      </c>
      <c r="AG764" s="5">
        <f>IF(SUM(AM764:AO764)&gt;0.7*AF764,1,0)</f>
      </c>
      <c r="AH764" s="5">
        <f>IF(AN764&gt;0.4*AF764,1,0)</f>
      </c>
      <c r="AI764" s="5">
        <f>IF(SUM(AP764:AQ764)&gt;0.3*AF764,1,0)</f>
      </c>
      <c r="AJ764" s="5">
        <f>IF(AQ764&gt;0.2*AF764,1,0)</f>
      </c>
      <c r="AK764" s="5">
        <f>IF(SUM(AR764:BC764)&gt;0.3*AF764,1,0)</f>
      </c>
      <c r="AL764" s="3"/>
      <c r="AM764" s="6">
        <f>(F764/100)*AM$41</f>
      </c>
      <c r="AN764" s="6">
        <f>(G764/100)*AN$41</f>
      </c>
      <c r="AO764" s="6">
        <f>(H764/1000000)*AO$41</f>
      </c>
      <c r="AP764" s="6">
        <f>(I764/100)*AP$41</f>
      </c>
      <c r="AQ764" s="6">
        <f>(J764/1000000)*AQ$41</f>
      </c>
      <c r="AR764" s="6">
        <f>(K764/100)*AR$41</f>
      </c>
      <c r="AS764" s="6">
        <f>(L764/100)*AS$41</f>
      </c>
      <c r="AT764" s="6">
        <f>(M764/100)*AT$41</f>
      </c>
      <c r="AU764" s="6">
        <f>(N764/100)*AU$41</f>
      </c>
      <c r="AV764" s="6">
        <f>(O764/1000000)*AV$41</f>
      </c>
      <c r="AW764" s="6">
        <f>(P764/100)*AW$41</f>
      </c>
      <c r="AX764" s="6">
        <f>(Q764/100)*AX$41</f>
      </c>
      <c r="AY764" s="6">
        <f>(R764/100)*AY$41</f>
      </c>
      <c r="AZ764" s="6">
        <f>(S764/100)*AZ$41</f>
      </c>
      <c r="BA764" s="6">
        <f>(T764/100)*BA$41</f>
      </c>
      <c r="BB764" s="6">
        <f>(U764/100)*BB$41</f>
      </c>
      <c r="BC764" s="6"/>
      <c r="BD764" s="3"/>
      <c r="BE764" s="3"/>
      <c r="BF764" s="7">
        <f>AF764*E764</f>
      </c>
      <c r="BG764" s="6"/>
      <c r="BH764" s="3"/>
      <c r="BI764" s="6"/>
    </row>
    <row x14ac:dyDescent="0.25" r="765" customHeight="1" ht="12.75">
      <c r="A765" s="5" t="s">
        <v>557</v>
      </c>
      <c r="B765" s="3" t="s">
        <v>855</v>
      </c>
      <c r="C765" s="43" t="s">
        <v>870</v>
      </c>
      <c r="D765" s="34"/>
      <c r="E765" s="6">
        <v>0.574</v>
      </c>
      <c r="F765" s="6">
        <v>5.1</v>
      </c>
      <c r="G765" s="6">
        <v>1.9</v>
      </c>
      <c r="H765" s="7">
        <v>60</v>
      </c>
      <c r="I765" s="6"/>
      <c r="J765" s="6"/>
      <c r="K765" s="7"/>
      <c r="L765" s="6"/>
      <c r="M765" s="6"/>
      <c r="N765" s="23"/>
      <c r="O765" s="5"/>
      <c r="P765" s="6"/>
      <c r="Q765" s="6"/>
      <c r="R765" s="6"/>
      <c r="S765" s="6"/>
      <c r="T765" s="6"/>
      <c r="U765" s="6"/>
      <c r="V765" s="5"/>
      <c r="W765" s="6"/>
      <c r="X765" s="6">
        <f>E765*F765/100</f>
      </c>
      <c r="Y765" s="6">
        <f>E765*G765/100</f>
      </c>
      <c r="Z765" s="7">
        <f>E765*H765</f>
      </c>
      <c r="AA765" s="7">
        <f>E765*J765</f>
      </c>
      <c r="AB765" s="6">
        <f>E765*I765/100</f>
      </c>
      <c r="AC765" s="15">
        <f>X765+Y765+AB765</f>
      </c>
      <c r="AD765" s="6">
        <f>F765+G765+I765</f>
      </c>
      <c r="AE765" s="3"/>
      <c r="AF765" s="6">
        <f>SUM(AM765:BC765)</f>
      </c>
      <c r="AG765" s="5">
        <f>IF(SUM(AM765:AO765)&gt;0.7*AF765,1,0)</f>
      </c>
      <c r="AH765" s="5">
        <f>IF(AN765&gt;0.4*AF765,1,0)</f>
      </c>
      <c r="AI765" s="5">
        <f>IF(SUM(AP765:AQ765)&gt;0.3*AF765,1,0)</f>
      </c>
      <c r="AJ765" s="5">
        <f>IF(AQ765&gt;0.2*AF765,1,0)</f>
      </c>
      <c r="AK765" s="5">
        <f>IF(SUM(AR765:BC765)&gt;0.3*AF765,1,0)</f>
      </c>
      <c r="AL765" s="3"/>
      <c r="AM765" s="6">
        <f>(F765/100)*AM$41</f>
      </c>
      <c r="AN765" s="6">
        <f>(G765/100)*AN$41</f>
      </c>
      <c r="AO765" s="6">
        <f>(H765/1000000)*AO$41</f>
      </c>
      <c r="AP765" s="6">
        <f>(I765/100)*AP$41</f>
      </c>
      <c r="AQ765" s="6">
        <f>(J765/1000000)*AQ$41</f>
      </c>
      <c r="AR765" s="6">
        <f>(K765/100)*AR$41</f>
      </c>
      <c r="AS765" s="6">
        <f>(L765/100)*AS$41</f>
      </c>
      <c r="AT765" s="6">
        <f>(M765/100)*AT$41</f>
      </c>
      <c r="AU765" s="6">
        <f>(N765/100)*AU$41</f>
      </c>
      <c r="AV765" s="6">
        <f>(O765/1000000)*AV$41</f>
      </c>
      <c r="AW765" s="6">
        <f>(P765/100)*AW$41</f>
      </c>
      <c r="AX765" s="6">
        <f>(Q765/100)*AX$41</f>
      </c>
      <c r="AY765" s="6">
        <f>(R765/100)*AY$41</f>
      </c>
      <c r="AZ765" s="6">
        <f>(S765/100)*AZ$41</f>
      </c>
      <c r="BA765" s="6">
        <f>(T765/100)*BA$41</f>
      </c>
      <c r="BB765" s="6">
        <f>(U765/100)*BB$41</f>
      </c>
      <c r="BC765" s="6"/>
      <c r="BD765" s="3"/>
      <c r="BE765" s="3"/>
      <c r="BF765" s="7">
        <f>AF765*E765</f>
      </c>
      <c r="BG765" s="6"/>
      <c r="BH765" s="3"/>
      <c r="BI765" s="6"/>
    </row>
    <row x14ac:dyDescent="0.25" r="766" customHeight="1" ht="12.75">
      <c r="A766" s="5" t="s">
        <v>511</v>
      </c>
      <c r="B766" s="3" t="s">
        <v>855</v>
      </c>
      <c r="C766" s="43" t="s">
        <v>870</v>
      </c>
      <c r="D766" s="34"/>
      <c r="E766" s="6">
        <v>0.74</v>
      </c>
      <c r="F766" s="6"/>
      <c r="G766" s="6">
        <v>3.5</v>
      </c>
      <c r="H766" s="6">
        <v>38.62</v>
      </c>
      <c r="I766" s="6">
        <v>1.88</v>
      </c>
      <c r="J766" s="6">
        <v>0.84</v>
      </c>
      <c r="K766" s="7"/>
      <c r="L766" s="6"/>
      <c r="M766" s="6"/>
      <c r="N766" s="23"/>
      <c r="O766" s="5"/>
      <c r="P766" s="6"/>
      <c r="Q766" s="6"/>
      <c r="R766" s="6"/>
      <c r="S766" s="6"/>
      <c r="T766" s="6"/>
      <c r="U766" s="6"/>
      <c r="V766" s="5"/>
      <c r="W766" s="6"/>
      <c r="X766" s="6">
        <f>E766*F766/100</f>
      </c>
      <c r="Y766" s="6">
        <f>E766*G766/100</f>
      </c>
      <c r="Z766" s="7">
        <f>E766*H766</f>
      </c>
      <c r="AA766" s="7">
        <f>E766*J766</f>
      </c>
      <c r="AB766" s="6">
        <f>E766*I766/100</f>
      </c>
      <c r="AC766" s="15">
        <f>X766+Y766+AB766</f>
      </c>
      <c r="AD766" s="6">
        <f>F766+G766+I766</f>
      </c>
      <c r="AE766" s="3"/>
      <c r="AF766" s="6">
        <f>SUM(AM766:BC766)</f>
      </c>
      <c r="AG766" s="5">
        <f>IF(SUM(AM766:AO766)&gt;0.7*AF766,1,0)</f>
      </c>
      <c r="AH766" s="5">
        <f>IF(AN766&gt;0.4*AF766,1,0)</f>
      </c>
      <c r="AI766" s="5">
        <f>IF(SUM(AP766:AQ766)&gt;0.3*AF766,1,0)</f>
      </c>
      <c r="AJ766" s="5">
        <f>IF(AQ766&gt;0.2*AF766,1,0)</f>
      </c>
      <c r="AK766" s="5">
        <f>IF(SUM(AR766:BC766)&gt;0.3*AF766,1,0)</f>
      </c>
      <c r="AL766" s="3"/>
      <c r="AM766" s="6">
        <f>(F766/100)*AM$41</f>
      </c>
      <c r="AN766" s="6">
        <f>(G766/100)*AN$41</f>
      </c>
      <c r="AO766" s="6">
        <f>(H766/1000000)*AO$41</f>
      </c>
      <c r="AP766" s="6">
        <f>(I766/100)*AP$41</f>
      </c>
      <c r="AQ766" s="6">
        <f>(J766/1000000)*AQ$41</f>
      </c>
      <c r="AR766" s="6">
        <f>(K766/100)*AR$41</f>
      </c>
      <c r="AS766" s="6">
        <f>(L766/100)*AS$41</f>
      </c>
      <c r="AT766" s="6">
        <f>(M766/100)*AT$41</f>
      </c>
      <c r="AU766" s="6">
        <f>(N766/100)*AU$41</f>
      </c>
      <c r="AV766" s="6">
        <f>(O766/1000000)*AV$41</f>
      </c>
      <c r="AW766" s="6">
        <f>(P766/100)*AW$41</f>
      </c>
      <c r="AX766" s="6">
        <f>(Q766/100)*AX$41</f>
      </c>
      <c r="AY766" s="6">
        <f>(R766/100)*AY$41</f>
      </c>
      <c r="AZ766" s="6">
        <f>(S766/100)*AZ$41</f>
      </c>
      <c r="BA766" s="6">
        <f>(T766/100)*BA$41</f>
      </c>
      <c r="BB766" s="6">
        <f>(U766/100)*BB$41</f>
      </c>
      <c r="BC766" s="6"/>
      <c r="BD766" s="3"/>
      <c r="BE766" s="3"/>
      <c r="BF766" s="7">
        <f>AF766*E766</f>
      </c>
      <c r="BG766" s="6"/>
      <c r="BH766" s="3"/>
      <c r="BI766" s="6"/>
    </row>
    <row x14ac:dyDescent="0.25" r="767" customHeight="1" ht="12.75">
      <c r="A767" s="5" t="s">
        <v>507</v>
      </c>
      <c r="B767" s="3" t="s">
        <v>855</v>
      </c>
      <c r="C767" s="43" t="s">
        <v>870</v>
      </c>
      <c r="D767" s="34"/>
      <c r="E767" s="6">
        <v>0.657</v>
      </c>
      <c r="F767" s="6">
        <v>0.3</v>
      </c>
      <c r="G767" s="6">
        <v>3.7</v>
      </c>
      <c r="H767" s="6">
        <v>35.9</v>
      </c>
      <c r="I767" s="6">
        <v>1.8</v>
      </c>
      <c r="J767" s="6">
        <v>0.8</v>
      </c>
      <c r="K767" s="7"/>
      <c r="L767" s="6"/>
      <c r="M767" s="6"/>
      <c r="N767" s="23"/>
      <c r="O767" s="5"/>
      <c r="P767" s="6"/>
      <c r="Q767" s="6"/>
      <c r="R767" s="6"/>
      <c r="S767" s="6"/>
      <c r="T767" s="6"/>
      <c r="U767" s="6"/>
      <c r="V767" s="5"/>
      <c r="W767" s="6"/>
      <c r="X767" s="6">
        <f>E767*F767/100</f>
      </c>
      <c r="Y767" s="6">
        <f>E767*G767/100</f>
      </c>
      <c r="Z767" s="7">
        <f>E767*H767</f>
      </c>
      <c r="AA767" s="7">
        <f>E767*J767</f>
      </c>
      <c r="AB767" s="6">
        <f>E767*I767/100</f>
      </c>
      <c r="AC767" s="15">
        <f>X767+Y767+AB767</f>
      </c>
      <c r="AD767" s="6">
        <f>F767+G767+I767</f>
      </c>
      <c r="AE767" s="3"/>
      <c r="AF767" s="6">
        <f>SUM(AM767:BC767)</f>
      </c>
      <c r="AG767" s="5">
        <f>IF(SUM(AM767:AO767)&gt;0.7*AF767,1,0)</f>
      </c>
      <c r="AH767" s="5">
        <f>IF(AN767&gt;0.4*AF767,1,0)</f>
      </c>
      <c r="AI767" s="5">
        <f>IF(SUM(AP767:AQ767)&gt;0.3*AF767,1,0)</f>
      </c>
      <c r="AJ767" s="5">
        <f>IF(AQ767&gt;0.2*AF767,1,0)</f>
      </c>
      <c r="AK767" s="5">
        <f>IF(SUM(AR767:BC767)&gt;0.3*AF767,1,0)</f>
      </c>
      <c r="AL767" s="3"/>
      <c r="AM767" s="6">
        <f>(F767/100)*AM$41</f>
      </c>
      <c r="AN767" s="6">
        <f>(G767/100)*AN$41</f>
      </c>
      <c r="AO767" s="6">
        <f>(H767/1000000)*AO$41</f>
      </c>
      <c r="AP767" s="6">
        <f>(I767/100)*AP$41</f>
      </c>
      <c r="AQ767" s="6">
        <f>(J767/1000000)*AQ$41</f>
      </c>
      <c r="AR767" s="6">
        <f>(K767/100)*AR$41</f>
      </c>
      <c r="AS767" s="6">
        <f>(L767/100)*AS$41</f>
      </c>
      <c r="AT767" s="6">
        <f>(M767/100)*AT$41</f>
      </c>
      <c r="AU767" s="6">
        <f>(N767/100)*AU$41</f>
      </c>
      <c r="AV767" s="6">
        <f>(O767/1000000)*AV$41</f>
      </c>
      <c r="AW767" s="6">
        <f>(P767/100)*AW$41</f>
      </c>
      <c r="AX767" s="6">
        <f>(Q767/100)*AX$41</f>
      </c>
      <c r="AY767" s="6">
        <f>(R767/100)*AY$41</f>
      </c>
      <c r="AZ767" s="6">
        <f>(S767/100)*AZ$41</f>
      </c>
      <c r="BA767" s="6">
        <f>(T767/100)*BA$41</f>
      </c>
      <c r="BB767" s="6">
        <f>(U767/100)*BB$41</f>
      </c>
      <c r="BC767" s="6"/>
      <c r="BD767" s="3"/>
      <c r="BE767" s="3"/>
      <c r="BF767" s="7">
        <f>AF767*E767</f>
      </c>
      <c r="BG767" s="6"/>
      <c r="BH767" s="3"/>
      <c r="BI767" s="6"/>
    </row>
    <row x14ac:dyDescent="0.25" r="768" customHeight="1" ht="12.75">
      <c r="A768" s="5" t="s">
        <v>518</v>
      </c>
      <c r="B768" s="3" t="s">
        <v>855</v>
      </c>
      <c r="C768" s="43" t="s">
        <v>870</v>
      </c>
      <c r="D768" s="34"/>
      <c r="E768" s="6">
        <v>1.357</v>
      </c>
      <c r="F768" s="6"/>
      <c r="G768" s="6">
        <v>1.6131982313927782</v>
      </c>
      <c r="H768" s="6">
        <v>11.28978629329403</v>
      </c>
      <c r="I768" s="6">
        <v>1.060611643330877</v>
      </c>
      <c r="J768" s="6">
        <v>3.6087177597641853</v>
      </c>
      <c r="K768" s="7"/>
      <c r="L768" s="6"/>
      <c r="M768" s="6"/>
      <c r="N768" s="23"/>
      <c r="O768" s="5"/>
      <c r="P768" s="6"/>
      <c r="Q768" s="6"/>
      <c r="R768" s="6"/>
      <c r="S768" s="6"/>
      <c r="T768" s="6"/>
      <c r="U768" s="6"/>
      <c r="V768" s="5"/>
      <c r="W768" s="6"/>
      <c r="X768" s="6">
        <f>E768*F768/100</f>
      </c>
      <c r="Y768" s="6">
        <f>E768*G768/100</f>
      </c>
      <c r="Z768" s="7">
        <f>E768*H768</f>
      </c>
      <c r="AA768" s="7">
        <f>E768*J768</f>
      </c>
      <c r="AB768" s="6">
        <f>E768*I768/100</f>
      </c>
      <c r="AC768" s="15">
        <f>X768+Y768+AB768</f>
      </c>
      <c r="AD768" s="6">
        <f>F768+G768+I768</f>
      </c>
      <c r="AE768" s="3"/>
      <c r="AF768" s="6">
        <f>SUM(AM768:BC768)</f>
      </c>
      <c r="AG768" s="5">
        <f>IF(SUM(AM768:AO768)&gt;0.7*AF768,1,0)</f>
      </c>
      <c r="AH768" s="5">
        <f>IF(AN768&gt;0.4*AF768,1,0)</f>
      </c>
      <c r="AI768" s="5">
        <f>IF(SUM(AP768:AQ768)&gt;0.3*AF768,1,0)</f>
      </c>
      <c r="AJ768" s="5">
        <f>IF(AQ768&gt;0.2*AF768,1,0)</f>
      </c>
      <c r="AK768" s="5">
        <f>IF(SUM(AR768:BC768)&gt;0.3*AF768,1,0)</f>
      </c>
      <c r="AL768" s="3"/>
      <c r="AM768" s="6">
        <f>(F768/100)*AM$41</f>
      </c>
      <c r="AN768" s="6">
        <f>(G768/100)*AN$41</f>
      </c>
      <c r="AO768" s="6">
        <f>(H768/1000000)*AO$41</f>
      </c>
      <c r="AP768" s="6">
        <f>(I768/100)*AP$41</f>
      </c>
      <c r="AQ768" s="6">
        <f>(J768/1000000)*AQ$41</f>
      </c>
      <c r="AR768" s="6">
        <f>(K768/100)*AR$41</f>
      </c>
      <c r="AS768" s="6">
        <f>(L768/100)*AS$41</f>
      </c>
      <c r="AT768" s="6">
        <f>(M768/100)*AT$41</f>
      </c>
      <c r="AU768" s="6">
        <f>(N768/100)*AU$41</f>
      </c>
      <c r="AV768" s="6">
        <f>(O768/1000000)*AV$41</f>
      </c>
      <c r="AW768" s="6">
        <f>(P768/100)*AW$41</f>
      </c>
      <c r="AX768" s="6">
        <f>(Q768/100)*AX$41</f>
      </c>
      <c r="AY768" s="6">
        <f>(R768/100)*AY$41</f>
      </c>
      <c r="AZ768" s="6">
        <f>(S768/100)*AZ$41</f>
      </c>
      <c r="BA768" s="6">
        <f>(T768/100)*BA$41</f>
      </c>
      <c r="BB768" s="6">
        <f>(U768/100)*BB$41</f>
      </c>
      <c r="BC768" s="6"/>
      <c r="BD768" s="3"/>
      <c r="BE768" s="3"/>
      <c r="BF768" s="7">
        <f>AF768*E768</f>
      </c>
      <c r="BG768" s="6"/>
      <c r="BH768" s="3"/>
      <c r="BI768" s="6"/>
    </row>
    <row x14ac:dyDescent="0.25" r="769" customHeight="1" ht="12.75">
      <c r="A769" s="5" t="s">
        <v>825</v>
      </c>
      <c r="B769" s="3" t="s">
        <v>855</v>
      </c>
      <c r="C769" s="43" t="s">
        <v>870</v>
      </c>
      <c r="D769" s="34"/>
      <c r="E769" s="6">
        <v>1.48</v>
      </c>
      <c r="F769" s="6"/>
      <c r="G769" s="6">
        <v>1.39</v>
      </c>
      <c r="H769" s="6">
        <v>3.31</v>
      </c>
      <c r="I769" s="6">
        <v>1.02</v>
      </c>
      <c r="J769" s="6">
        <v>0.24</v>
      </c>
      <c r="K769" s="7"/>
      <c r="L769" s="6"/>
      <c r="M769" s="6"/>
      <c r="N769" s="23"/>
      <c r="O769" s="5"/>
      <c r="P769" s="6"/>
      <c r="Q769" s="6"/>
      <c r="R769" s="6"/>
      <c r="S769" s="6"/>
      <c r="T769" s="6"/>
      <c r="U769" s="6"/>
      <c r="V769" s="5"/>
      <c r="W769" s="6"/>
      <c r="X769" s="6">
        <f>E769*F769/100</f>
      </c>
      <c r="Y769" s="6">
        <f>E769*G769/100</f>
      </c>
      <c r="Z769" s="7">
        <f>E769*H769</f>
      </c>
      <c r="AA769" s="7">
        <f>E769*J769</f>
      </c>
      <c r="AB769" s="6">
        <f>E769*I769/100</f>
      </c>
      <c r="AC769" s="15">
        <f>X769+Y769+AB769</f>
      </c>
      <c r="AD769" s="6">
        <f>F769+G769+I769</f>
      </c>
      <c r="AE769" s="3"/>
      <c r="AF769" s="6">
        <f>SUM(AM769:BC769)</f>
      </c>
      <c r="AG769" s="5">
        <f>IF(SUM(AM769:AO769)&gt;0.7*AF769,1,0)</f>
      </c>
      <c r="AH769" s="5">
        <f>IF(AN769&gt;0.4*AF769,1,0)</f>
      </c>
      <c r="AI769" s="5">
        <f>IF(SUM(AP769:AQ769)&gt;0.3*AF769,1,0)</f>
      </c>
      <c r="AJ769" s="5">
        <f>IF(AQ769&gt;0.2*AF769,1,0)</f>
      </c>
      <c r="AK769" s="5">
        <f>IF(SUM(AR769:BC769)&gt;0.3*AF769,1,0)</f>
      </c>
      <c r="AL769" s="3"/>
      <c r="AM769" s="6">
        <f>(F769/100)*AM$41</f>
      </c>
      <c r="AN769" s="6">
        <f>(G769/100)*AN$41</f>
      </c>
      <c r="AO769" s="6">
        <f>(H769/1000000)*AO$41</f>
      </c>
      <c r="AP769" s="6">
        <f>(I769/100)*AP$41</f>
      </c>
      <c r="AQ769" s="6">
        <f>(J769/1000000)*AQ$41</f>
      </c>
      <c r="AR769" s="6">
        <f>(K769/100)*AR$41</f>
      </c>
      <c r="AS769" s="6">
        <f>(L769/100)*AS$41</f>
      </c>
      <c r="AT769" s="6">
        <f>(M769/100)*AT$41</f>
      </c>
      <c r="AU769" s="6">
        <f>(N769/100)*AU$41</f>
      </c>
      <c r="AV769" s="6">
        <f>(O769/1000000)*AV$41</f>
      </c>
      <c r="AW769" s="6">
        <f>(P769/100)*AW$41</f>
      </c>
      <c r="AX769" s="6">
        <f>(Q769/100)*AX$41</f>
      </c>
      <c r="AY769" s="6">
        <f>(R769/100)*AY$41</f>
      </c>
      <c r="AZ769" s="6">
        <f>(S769/100)*AZ$41</f>
      </c>
      <c r="BA769" s="6">
        <f>(T769/100)*BA$41</f>
      </c>
      <c r="BB769" s="6">
        <f>(U769/100)*BB$41</f>
      </c>
      <c r="BC769" s="6"/>
      <c r="BD769" s="3"/>
      <c r="BE769" s="3"/>
      <c r="BF769" s="7">
        <f>AF769*E769</f>
      </c>
      <c r="BG769" s="6"/>
      <c r="BH769" s="3"/>
      <c r="BI769" s="6"/>
    </row>
    <row x14ac:dyDescent="0.25" r="770" customHeight="1" ht="12.75">
      <c r="A770" s="5" t="s">
        <v>709</v>
      </c>
      <c r="B770" s="3" t="s">
        <v>855</v>
      </c>
      <c r="C770" s="43" t="s">
        <v>870</v>
      </c>
      <c r="D770" s="34"/>
      <c r="E770" s="6">
        <v>0.972</v>
      </c>
      <c r="F770" s="6">
        <v>0.2</v>
      </c>
      <c r="G770" s="6">
        <v>1.1</v>
      </c>
      <c r="H770" s="6">
        <v>10.3</v>
      </c>
      <c r="I770" s="6">
        <v>2.1</v>
      </c>
      <c r="J770" s="6">
        <v>0.1</v>
      </c>
      <c r="K770" s="7"/>
      <c r="L770" s="6"/>
      <c r="M770" s="6"/>
      <c r="N770" s="23"/>
      <c r="O770" s="5"/>
      <c r="P770" s="6"/>
      <c r="Q770" s="6"/>
      <c r="R770" s="6"/>
      <c r="S770" s="6"/>
      <c r="T770" s="6"/>
      <c r="U770" s="6"/>
      <c r="V770" s="5"/>
      <c r="W770" s="6"/>
      <c r="X770" s="6">
        <f>E770*F770/100</f>
      </c>
      <c r="Y770" s="6">
        <f>E770*G770/100</f>
      </c>
      <c r="Z770" s="7">
        <f>E770*H770</f>
      </c>
      <c r="AA770" s="7">
        <f>E770*J770</f>
      </c>
      <c r="AB770" s="6">
        <f>E770*I770/100</f>
      </c>
      <c r="AC770" s="15">
        <f>X770+Y770+AB770</f>
      </c>
      <c r="AD770" s="6">
        <f>F770+G770+I770</f>
      </c>
      <c r="AE770" s="3"/>
      <c r="AF770" s="6">
        <f>SUM(AM770:BC770)</f>
      </c>
      <c r="AG770" s="5">
        <f>IF(SUM(AM770:AO770)&gt;0.7*AF770,1,0)</f>
      </c>
      <c r="AH770" s="5">
        <f>IF(AN770&gt;0.4*AF770,1,0)</f>
      </c>
      <c r="AI770" s="5">
        <f>IF(SUM(AP770:AQ770)&gt;0.3*AF770,1,0)</f>
      </c>
      <c r="AJ770" s="5">
        <f>IF(AQ770&gt;0.2*AF770,1,0)</f>
      </c>
      <c r="AK770" s="5">
        <f>IF(SUM(AR770:BC770)&gt;0.3*AF770,1,0)</f>
      </c>
      <c r="AL770" s="3"/>
      <c r="AM770" s="6">
        <f>(F770/100)*AM$41</f>
      </c>
      <c r="AN770" s="6">
        <f>(G770/100)*AN$41</f>
      </c>
      <c r="AO770" s="6">
        <f>(H770/1000000)*AO$41</f>
      </c>
      <c r="AP770" s="6">
        <f>(I770/100)*AP$41</f>
      </c>
      <c r="AQ770" s="6">
        <f>(J770/1000000)*AQ$41</f>
      </c>
      <c r="AR770" s="6">
        <f>(K770/100)*AR$41</f>
      </c>
      <c r="AS770" s="6">
        <f>(L770/100)*AS$41</f>
      </c>
      <c r="AT770" s="6">
        <f>(M770/100)*AT$41</f>
      </c>
      <c r="AU770" s="6">
        <f>(N770/100)*AU$41</f>
      </c>
      <c r="AV770" s="6">
        <f>(O770/1000000)*AV$41</f>
      </c>
      <c r="AW770" s="6">
        <f>(P770/100)*AW$41</f>
      </c>
      <c r="AX770" s="6">
        <f>(Q770/100)*AX$41</f>
      </c>
      <c r="AY770" s="6">
        <f>(R770/100)*AY$41</f>
      </c>
      <c r="AZ770" s="6">
        <f>(S770/100)*AZ$41</f>
      </c>
      <c r="BA770" s="6">
        <f>(T770/100)*BA$41</f>
      </c>
      <c r="BB770" s="6">
        <f>(U770/100)*BB$41</f>
      </c>
      <c r="BC770" s="6"/>
      <c r="BD770" s="3"/>
      <c r="BE770" s="3"/>
      <c r="BF770" s="7">
        <f>AF770*E770</f>
      </c>
      <c r="BG770" s="6"/>
      <c r="BH770" s="3"/>
      <c r="BI770" s="6"/>
    </row>
    <row x14ac:dyDescent="0.25" r="771" customHeight="1" ht="12.75">
      <c r="A771" s="5" t="s">
        <v>749</v>
      </c>
      <c r="B771" s="3" t="s">
        <v>855</v>
      </c>
      <c r="C771" s="43" t="s">
        <v>870</v>
      </c>
      <c r="D771" s="34"/>
      <c r="E771" s="6">
        <v>1.3</v>
      </c>
      <c r="F771" s="6"/>
      <c r="G771" s="6">
        <v>0.4</v>
      </c>
      <c r="H771" s="5">
        <v>6</v>
      </c>
      <c r="I771" s="7">
        <v>2</v>
      </c>
      <c r="J771" s="6">
        <v>0.5</v>
      </c>
      <c r="K771" s="7"/>
      <c r="L771" s="6"/>
      <c r="M771" s="6"/>
      <c r="N771" s="23"/>
      <c r="O771" s="5"/>
      <c r="P771" s="6"/>
      <c r="Q771" s="6"/>
      <c r="R771" s="6"/>
      <c r="S771" s="6"/>
      <c r="T771" s="6"/>
      <c r="U771" s="6"/>
      <c r="V771" s="5"/>
      <c r="W771" s="6"/>
      <c r="X771" s="6">
        <f>E771*F771/100</f>
      </c>
      <c r="Y771" s="6">
        <f>E771*G771/100</f>
      </c>
      <c r="Z771" s="7">
        <f>E771*H771</f>
      </c>
      <c r="AA771" s="7">
        <f>E771*J771</f>
      </c>
      <c r="AB771" s="6">
        <f>E771*I771/100</f>
      </c>
      <c r="AC771" s="15">
        <f>X771+Y771+AB771</f>
      </c>
      <c r="AD771" s="6">
        <f>F771+G771+I771</f>
      </c>
      <c r="AE771" s="3"/>
      <c r="AF771" s="6">
        <f>SUM(AM771:BC771)</f>
      </c>
      <c r="AG771" s="5">
        <f>IF(SUM(AM771:AO771)&gt;0.7*AF771,1,0)</f>
      </c>
      <c r="AH771" s="5">
        <f>IF(AN771&gt;0.4*AF771,1,0)</f>
      </c>
      <c r="AI771" s="5">
        <f>IF(SUM(AP771:AQ771)&gt;0.3*AF771,1,0)</f>
      </c>
      <c r="AJ771" s="5">
        <f>IF(AQ771&gt;0.2*AF771,1,0)</f>
      </c>
      <c r="AK771" s="5">
        <f>IF(SUM(AR771:BC771)&gt;0.3*AF771,1,0)</f>
      </c>
      <c r="AL771" s="3"/>
      <c r="AM771" s="6">
        <f>(F771/100)*AM$41</f>
      </c>
      <c r="AN771" s="6">
        <f>(G771/100)*AN$41</f>
      </c>
      <c r="AO771" s="6">
        <f>(H771/1000000)*AO$41</f>
      </c>
      <c r="AP771" s="6">
        <f>(I771/100)*AP$41</f>
      </c>
      <c r="AQ771" s="6">
        <f>(J771/1000000)*AQ$41</f>
      </c>
      <c r="AR771" s="6">
        <f>(K771/100)*AR$41</f>
      </c>
      <c r="AS771" s="6">
        <f>(L771/100)*AS$41</f>
      </c>
      <c r="AT771" s="6">
        <f>(M771/100)*AT$41</f>
      </c>
      <c r="AU771" s="6">
        <f>(N771/100)*AU$41</f>
      </c>
      <c r="AV771" s="6">
        <f>(O771/1000000)*AV$41</f>
      </c>
      <c r="AW771" s="6">
        <f>(P771/100)*AW$41</f>
      </c>
      <c r="AX771" s="6">
        <f>(Q771/100)*AX$41</f>
      </c>
      <c r="AY771" s="6">
        <f>(R771/100)*AY$41</f>
      </c>
      <c r="AZ771" s="6">
        <f>(S771/100)*AZ$41</f>
      </c>
      <c r="BA771" s="6">
        <f>(T771/100)*BA$41</f>
      </c>
      <c r="BB771" s="6">
        <f>(U771/100)*BB$41</f>
      </c>
      <c r="BC771" s="6"/>
      <c r="BD771" s="3"/>
      <c r="BE771" s="3"/>
      <c r="BF771" s="7">
        <f>AF771*E771</f>
      </c>
      <c r="BG771" s="6"/>
      <c r="BH771" s="3"/>
      <c r="BI771" s="6"/>
    </row>
    <row x14ac:dyDescent="0.25" r="772" customHeight="1" ht="12.75">
      <c r="A772" s="5" t="s">
        <v>780</v>
      </c>
      <c r="B772" s="3" t="s">
        <v>855</v>
      </c>
      <c r="C772" s="43" t="s">
        <v>870</v>
      </c>
      <c r="D772" s="34"/>
      <c r="E772" s="6">
        <v>6.1</v>
      </c>
      <c r="F772" s="6"/>
      <c r="G772" s="6">
        <v>0.5</v>
      </c>
      <c r="H772" s="5">
        <v>36</v>
      </c>
      <c r="I772" s="6"/>
      <c r="J772" s="6">
        <v>1.2</v>
      </c>
      <c r="K772" s="7"/>
      <c r="L772" s="6"/>
      <c r="M772" s="6"/>
      <c r="N772" s="23"/>
      <c r="O772" s="5"/>
      <c r="P772" s="6"/>
      <c r="Q772" s="6"/>
      <c r="R772" s="6"/>
      <c r="S772" s="6"/>
      <c r="T772" s="6"/>
      <c r="U772" s="6"/>
      <c r="V772" s="5"/>
      <c r="W772" s="6"/>
      <c r="X772" s="6">
        <f>E772*F772/100</f>
      </c>
      <c r="Y772" s="6">
        <f>E772*G772/100</f>
      </c>
      <c r="Z772" s="7">
        <f>E772*H772</f>
      </c>
      <c r="AA772" s="7">
        <f>E772*J772</f>
      </c>
      <c r="AB772" s="6">
        <f>E772*I772/100</f>
      </c>
      <c r="AC772" s="15">
        <f>X772+Y772+AB772</f>
      </c>
      <c r="AD772" s="6">
        <f>F772+G772+I772</f>
      </c>
      <c r="AE772" s="3"/>
      <c r="AF772" s="6">
        <f>SUM(AM772:BC772)</f>
      </c>
      <c r="AG772" s="5">
        <f>IF(SUM(AM772:AO772)&gt;0.7*AF772,1,0)</f>
      </c>
      <c r="AH772" s="5">
        <f>IF(AN772&gt;0.4*AF772,1,0)</f>
      </c>
      <c r="AI772" s="5">
        <f>IF(SUM(AP772:AQ772)&gt;0.3*AF772,1,0)</f>
      </c>
      <c r="AJ772" s="5">
        <f>IF(AQ772&gt;0.2*AF772,1,0)</f>
      </c>
      <c r="AK772" s="5">
        <f>IF(SUM(AR772:BC772)&gt;0.3*AF772,1,0)</f>
      </c>
      <c r="AL772" s="3"/>
      <c r="AM772" s="6">
        <f>(F772/100)*AM$41</f>
      </c>
      <c r="AN772" s="6">
        <f>(G772/100)*AN$41</f>
      </c>
      <c r="AO772" s="6">
        <f>(H772/1000000)*AO$41</f>
      </c>
      <c r="AP772" s="6">
        <f>(I772/100)*AP$41</f>
      </c>
      <c r="AQ772" s="6">
        <f>(J772/1000000)*AQ$41</f>
      </c>
      <c r="AR772" s="6">
        <f>(K772/100)*AR$41</f>
      </c>
      <c r="AS772" s="6">
        <f>(L772/100)*AS$41</f>
      </c>
      <c r="AT772" s="6">
        <f>(M772/100)*AT$41</f>
      </c>
      <c r="AU772" s="6">
        <f>(N772/100)*AU$41</f>
      </c>
      <c r="AV772" s="6">
        <f>(O772/1000000)*AV$41</f>
      </c>
      <c r="AW772" s="6">
        <f>(P772/100)*AW$41</f>
      </c>
      <c r="AX772" s="6">
        <f>(Q772/100)*AX$41</f>
      </c>
      <c r="AY772" s="6">
        <f>(R772/100)*AY$41</f>
      </c>
      <c r="AZ772" s="6">
        <f>(S772/100)*AZ$41</f>
      </c>
      <c r="BA772" s="6">
        <f>(T772/100)*BA$41</f>
      </c>
      <c r="BB772" s="6">
        <f>(U772/100)*BB$41</f>
      </c>
      <c r="BC772" s="6"/>
      <c r="BD772" s="3"/>
      <c r="BE772" s="3"/>
      <c r="BF772" s="7">
        <f>AF772*E772</f>
      </c>
      <c r="BG772" s="6"/>
      <c r="BH772" s="3"/>
      <c r="BI772" s="6"/>
    </row>
    <row x14ac:dyDescent="0.25" r="773" customHeight="1" ht="12.75">
      <c r="A773" s="5" t="s">
        <v>828</v>
      </c>
      <c r="B773" s="3" t="s">
        <v>855</v>
      </c>
      <c r="C773" s="43" t="s">
        <v>870</v>
      </c>
      <c r="D773" s="34"/>
      <c r="E773" s="23">
        <v>2.313918</v>
      </c>
      <c r="F773" s="6">
        <v>0.21</v>
      </c>
      <c r="G773" s="6">
        <v>0.88</v>
      </c>
      <c r="H773" s="6">
        <v>77.6</v>
      </c>
      <c r="I773" s="6">
        <v>0.21</v>
      </c>
      <c r="J773" s="6">
        <v>0.64</v>
      </c>
      <c r="K773" s="7"/>
      <c r="L773" s="6"/>
      <c r="M773" s="6"/>
      <c r="N773" s="23"/>
      <c r="O773" s="5"/>
      <c r="P773" s="6"/>
      <c r="Q773" s="6"/>
      <c r="R773" s="6"/>
      <c r="S773" s="6"/>
      <c r="T773" s="6"/>
      <c r="U773" s="6"/>
      <c r="V773" s="5"/>
      <c r="W773" s="6"/>
      <c r="X773" s="6">
        <f>E773*F773/100</f>
      </c>
      <c r="Y773" s="6">
        <f>E773*G773/100</f>
      </c>
      <c r="Z773" s="7">
        <f>E773*H773</f>
      </c>
      <c r="AA773" s="7">
        <f>E773*J773</f>
      </c>
      <c r="AB773" s="6">
        <f>E773*I773/100</f>
      </c>
      <c r="AC773" s="15">
        <f>X773+Y773+AB773</f>
      </c>
      <c r="AD773" s="6">
        <f>F773+G773+I773</f>
      </c>
      <c r="AE773" s="3"/>
      <c r="AF773" s="6">
        <f>SUM(AM773:BC773)</f>
      </c>
      <c r="AG773" s="5">
        <f>IF(SUM(AM773:AO773)&gt;0.7*AF773,1,0)</f>
      </c>
      <c r="AH773" s="5">
        <f>IF(AN773&gt;0.4*AF773,1,0)</f>
      </c>
      <c r="AI773" s="5">
        <f>IF(SUM(AP773:AQ773)&gt;0.3*AF773,1,0)</f>
      </c>
      <c r="AJ773" s="5">
        <f>IF(AQ773&gt;0.2*AF773,1,0)</f>
      </c>
      <c r="AK773" s="5">
        <f>IF(SUM(AR773:BC773)&gt;0.3*AF773,1,0)</f>
      </c>
      <c r="AL773" s="3"/>
      <c r="AM773" s="6">
        <f>(F773/100)*AM$41</f>
      </c>
      <c r="AN773" s="6">
        <f>(G773/100)*AN$41</f>
      </c>
      <c r="AO773" s="6">
        <f>(H773/1000000)*AO$41</f>
      </c>
      <c r="AP773" s="6">
        <f>(I773/100)*AP$41</f>
      </c>
      <c r="AQ773" s="6">
        <f>(J773/1000000)*AQ$41</f>
      </c>
      <c r="AR773" s="6">
        <f>(K773/100)*AR$41</f>
      </c>
      <c r="AS773" s="6">
        <f>(L773/100)*AS$41</f>
      </c>
      <c r="AT773" s="6">
        <f>(M773/100)*AT$41</f>
      </c>
      <c r="AU773" s="6">
        <f>(N773/100)*AU$41</f>
      </c>
      <c r="AV773" s="6">
        <f>(O773/1000000)*AV$41</f>
      </c>
      <c r="AW773" s="6">
        <f>(P773/100)*AW$41</f>
      </c>
      <c r="AX773" s="6">
        <f>(Q773/100)*AX$41</f>
      </c>
      <c r="AY773" s="6">
        <f>(R773/100)*AY$41</f>
      </c>
      <c r="AZ773" s="6">
        <f>(S773/100)*AZ$41</f>
      </c>
      <c r="BA773" s="6">
        <f>(T773/100)*BA$41</f>
      </c>
      <c r="BB773" s="6">
        <f>(U773/100)*BB$41</f>
      </c>
      <c r="BC773" s="6"/>
      <c r="BD773" s="3"/>
      <c r="BE773" s="3"/>
      <c r="BF773" s="7">
        <f>AF773*E773</f>
      </c>
      <c r="BG773" s="6"/>
      <c r="BH773" s="3"/>
      <c r="BI773" s="6"/>
    </row>
    <row x14ac:dyDescent="0.25" r="774" customHeight="1" ht="12.75">
      <c r="A774" s="5" t="s">
        <v>822</v>
      </c>
      <c r="B774" s="3" t="s">
        <v>855</v>
      </c>
      <c r="C774" s="43" t="s">
        <v>870</v>
      </c>
      <c r="D774" s="34"/>
      <c r="E774" s="23">
        <v>0.876831</v>
      </c>
      <c r="F774" s="6"/>
      <c r="G774" s="6">
        <v>1.97</v>
      </c>
      <c r="H774" s="5">
        <v>6</v>
      </c>
      <c r="I774" s="6">
        <v>0.96</v>
      </c>
      <c r="J774" s="6"/>
      <c r="K774" s="7"/>
      <c r="L774" s="6"/>
      <c r="M774" s="6"/>
      <c r="N774" s="23"/>
      <c r="O774" s="5"/>
      <c r="P774" s="6"/>
      <c r="Q774" s="6"/>
      <c r="R774" s="6"/>
      <c r="S774" s="6"/>
      <c r="T774" s="6"/>
      <c r="U774" s="6"/>
      <c r="V774" s="5"/>
      <c r="W774" s="6"/>
      <c r="X774" s="6">
        <f>E774*F774/100</f>
      </c>
      <c r="Y774" s="6">
        <f>E774*G774/100</f>
      </c>
      <c r="Z774" s="7">
        <f>E774*H774</f>
      </c>
      <c r="AA774" s="7">
        <f>E774*J774</f>
      </c>
      <c r="AB774" s="6">
        <f>E774*I774/100</f>
      </c>
      <c r="AC774" s="15">
        <f>X774+Y774+AB774</f>
      </c>
      <c r="AD774" s="6">
        <f>F774+G774+I774</f>
      </c>
      <c r="AE774" s="3"/>
      <c r="AF774" s="6">
        <f>SUM(AM774:BC774)</f>
      </c>
      <c r="AG774" s="5">
        <f>IF(SUM(AM774:AO774)&gt;0.7*AF774,1,0)</f>
      </c>
      <c r="AH774" s="5">
        <f>IF(AN774&gt;0.4*AF774,1,0)</f>
      </c>
      <c r="AI774" s="5">
        <f>IF(SUM(AP774:AQ774)&gt;0.3*AF774,1,0)</f>
      </c>
      <c r="AJ774" s="5">
        <f>IF(AQ774&gt;0.2*AF774,1,0)</f>
      </c>
      <c r="AK774" s="5">
        <f>IF(SUM(AR774:BC774)&gt;0.3*AF774,1,0)</f>
      </c>
      <c r="AL774" s="3"/>
      <c r="AM774" s="6">
        <f>(F774/100)*AM$41</f>
      </c>
      <c r="AN774" s="6">
        <f>(G774/100)*AN$41</f>
      </c>
      <c r="AO774" s="6">
        <f>(H774/1000000)*AO$41</f>
      </c>
      <c r="AP774" s="6">
        <f>(I774/100)*AP$41</f>
      </c>
      <c r="AQ774" s="6">
        <f>(J774/1000000)*AQ$41</f>
      </c>
      <c r="AR774" s="6">
        <f>(K774/100)*AR$41</f>
      </c>
      <c r="AS774" s="6">
        <f>(L774/100)*AS$41</f>
      </c>
      <c r="AT774" s="6">
        <f>(M774/100)*AT$41</f>
      </c>
      <c r="AU774" s="6">
        <f>(N774/100)*AU$41</f>
      </c>
      <c r="AV774" s="6">
        <f>(O774/1000000)*AV$41</f>
      </c>
      <c r="AW774" s="6">
        <f>(P774/100)*AW$41</f>
      </c>
      <c r="AX774" s="6">
        <f>(Q774/100)*AX$41</f>
      </c>
      <c r="AY774" s="6">
        <f>(R774/100)*AY$41</f>
      </c>
      <c r="AZ774" s="6">
        <f>(S774/100)*AZ$41</f>
      </c>
      <c r="BA774" s="6">
        <f>(T774/100)*BA$41</f>
      </c>
      <c r="BB774" s="6">
        <f>(U774/100)*BB$41</f>
      </c>
      <c r="BC774" s="6"/>
      <c r="BD774" s="3"/>
      <c r="BE774" s="3"/>
      <c r="BF774" s="7">
        <f>AF774*E774</f>
      </c>
      <c r="BG774" s="6"/>
      <c r="BH774" s="3"/>
      <c r="BI774" s="6"/>
    </row>
    <row x14ac:dyDescent="0.25" r="775" customHeight="1" ht="12.75">
      <c r="A775" s="5" t="s">
        <v>44</v>
      </c>
      <c r="B775" s="3" t="s">
        <v>855</v>
      </c>
      <c r="C775" s="43" t="s">
        <v>870</v>
      </c>
      <c r="D775" s="34" t="s">
        <v>1028</v>
      </c>
      <c r="E775" s="6">
        <v>0.23</v>
      </c>
      <c r="F775" s="6"/>
      <c r="G775" s="6">
        <v>3.6</v>
      </c>
      <c r="H775" s="5">
        <v>56</v>
      </c>
      <c r="I775" s="6">
        <v>7.3</v>
      </c>
      <c r="J775" s="6">
        <v>3.6</v>
      </c>
      <c r="K775" s="7"/>
      <c r="L775" s="6"/>
      <c r="M775" s="6"/>
      <c r="N775" s="23"/>
      <c r="O775" s="5"/>
      <c r="P775" s="6"/>
      <c r="Q775" s="6"/>
      <c r="R775" s="6"/>
      <c r="S775" s="6"/>
      <c r="T775" s="6"/>
      <c r="U775" s="6"/>
      <c r="V775" s="5"/>
      <c r="W775" s="6"/>
      <c r="X775" s="6">
        <f>E775*F775/100</f>
      </c>
      <c r="Y775" s="6">
        <f>E775*G775/100</f>
      </c>
      <c r="Z775" s="7">
        <f>E775*H775</f>
      </c>
      <c r="AA775" s="7">
        <f>E775*J775</f>
      </c>
      <c r="AB775" s="6">
        <f>E775*I775/100</f>
      </c>
      <c r="AC775" s="15">
        <f>X775+Y775+AB775</f>
      </c>
      <c r="AD775" s="6">
        <f>F775+G775+I775</f>
      </c>
      <c r="AE775" s="3"/>
      <c r="AF775" s="6">
        <f>SUM(AM775:BC775)</f>
      </c>
      <c r="AG775" s="5">
        <f>IF(SUM(AM775:AO775)&gt;0.7*AF775,1,0)</f>
      </c>
      <c r="AH775" s="5">
        <f>IF(AN775&gt;0.4*AF775,1,0)</f>
      </c>
      <c r="AI775" s="5">
        <f>IF(SUM(AP775:AQ775)&gt;0.3*AF775,1,0)</f>
      </c>
      <c r="AJ775" s="5">
        <f>IF(AQ775&gt;0.2*AF775,1,0)</f>
      </c>
      <c r="AK775" s="5">
        <f>IF(SUM(AR775:BC775)&gt;0.3*AF775,1,0)</f>
      </c>
      <c r="AL775" s="3"/>
      <c r="AM775" s="6">
        <f>(F775/100)*AM$41</f>
      </c>
      <c r="AN775" s="6">
        <f>(G775/100)*AN$41</f>
      </c>
      <c r="AO775" s="6">
        <f>(H775/1000000)*AO$41</f>
      </c>
      <c r="AP775" s="6">
        <f>(I775/100)*AP$41</f>
      </c>
      <c r="AQ775" s="6">
        <f>(J775/1000000)*AQ$41</f>
      </c>
      <c r="AR775" s="6">
        <f>(K775/100)*AR$41</f>
      </c>
      <c r="AS775" s="6">
        <f>(L775/100)*AS$41</f>
      </c>
      <c r="AT775" s="6">
        <f>(M775/100)*AT$41</f>
      </c>
      <c r="AU775" s="6">
        <f>(N775/100)*AU$41</f>
      </c>
      <c r="AV775" s="6">
        <f>(O775/1000000)*AV$41</f>
      </c>
      <c r="AW775" s="6">
        <f>(P775/100)*AW$41</f>
      </c>
      <c r="AX775" s="6">
        <f>(Q775/100)*AX$41</f>
      </c>
      <c r="AY775" s="6">
        <f>(R775/100)*AY$41</f>
      </c>
      <c r="AZ775" s="6">
        <f>(S775/100)*AZ$41</f>
      </c>
      <c r="BA775" s="6">
        <f>(T775/100)*BA$41</f>
      </c>
      <c r="BB775" s="6">
        <f>(U775/100)*BB$41</f>
      </c>
      <c r="BC775" s="6"/>
      <c r="BD775" s="3"/>
      <c r="BE775" s="3"/>
      <c r="BF775" s="7">
        <f>AF775*E775</f>
      </c>
      <c r="BG775" s="6"/>
      <c r="BH775" s="3"/>
      <c r="BI775" s="6"/>
    </row>
    <row x14ac:dyDescent="0.25" r="776" customHeight="1" ht="12.75">
      <c r="A776" s="5" t="s">
        <v>585</v>
      </c>
      <c r="B776" s="3" t="s">
        <v>855</v>
      </c>
      <c r="C776" s="43" t="s">
        <v>870</v>
      </c>
      <c r="D776" s="34"/>
      <c r="E776" s="6">
        <v>0.475</v>
      </c>
      <c r="F776" s="6"/>
      <c r="G776" s="6">
        <v>2.8</v>
      </c>
      <c r="H776" s="5">
        <v>39</v>
      </c>
      <c r="I776" s="6">
        <v>2.2</v>
      </c>
      <c r="J776" s="6"/>
      <c r="K776" s="7"/>
      <c r="L776" s="6"/>
      <c r="M776" s="6"/>
      <c r="N776" s="23"/>
      <c r="O776" s="5"/>
      <c r="P776" s="6"/>
      <c r="Q776" s="6"/>
      <c r="R776" s="6"/>
      <c r="S776" s="6"/>
      <c r="T776" s="6"/>
      <c r="U776" s="6"/>
      <c r="V776" s="5"/>
      <c r="W776" s="6"/>
      <c r="X776" s="6">
        <f>E776*F776/100</f>
      </c>
      <c r="Y776" s="6">
        <f>E776*G776/100</f>
      </c>
      <c r="Z776" s="7">
        <f>E776*H776</f>
      </c>
      <c r="AA776" s="7">
        <f>E776*J776</f>
      </c>
      <c r="AB776" s="6">
        <f>E776*I776/100</f>
      </c>
      <c r="AC776" s="15">
        <f>X776+Y776+AB776</f>
      </c>
      <c r="AD776" s="6">
        <f>F776+G776+I776</f>
      </c>
      <c r="AE776" s="3"/>
      <c r="AF776" s="6">
        <f>SUM(AM776:BC776)</f>
      </c>
      <c r="AG776" s="5">
        <f>IF(SUM(AM776:AO776)&gt;0.7*AF776,1,0)</f>
      </c>
      <c r="AH776" s="5">
        <f>IF(AN776&gt;0.4*AF776,1,0)</f>
      </c>
      <c r="AI776" s="5">
        <f>IF(SUM(AP776:AQ776)&gt;0.3*AF776,1,0)</f>
      </c>
      <c r="AJ776" s="5">
        <f>IF(AQ776&gt;0.2*AF776,1,0)</f>
      </c>
      <c r="AK776" s="5">
        <f>IF(SUM(AR776:BC776)&gt;0.3*AF776,1,0)</f>
      </c>
      <c r="AL776" s="3"/>
      <c r="AM776" s="6">
        <f>(F776/100)*AM$41</f>
      </c>
      <c r="AN776" s="6">
        <f>(G776/100)*AN$41</f>
      </c>
      <c r="AO776" s="6">
        <f>(H776/1000000)*AO$41</f>
      </c>
      <c r="AP776" s="6">
        <f>(I776/100)*AP$41</f>
      </c>
      <c r="AQ776" s="6">
        <f>(J776/1000000)*AQ$41</f>
      </c>
      <c r="AR776" s="6">
        <f>(K776/100)*AR$41</f>
      </c>
      <c r="AS776" s="6">
        <f>(L776/100)*AS$41</f>
      </c>
      <c r="AT776" s="6">
        <f>(M776/100)*AT$41</f>
      </c>
      <c r="AU776" s="6">
        <f>(N776/100)*AU$41</f>
      </c>
      <c r="AV776" s="6">
        <f>(O776/1000000)*AV$41</f>
      </c>
      <c r="AW776" s="6">
        <f>(P776/100)*AW$41</f>
      </c>
      <c r="AX776" s="6">
        <f>(Q776/100)*AX$41</f>
      </c>
      <c r="AY776" s="6">
        <f>(R776/100)*AY$41</f>
      </c>
      <c r="AZ776" s="6">
        <f>(S776/100)*AZ$41</f>
      </c>
      <c r="BA776" s="6">
        <f>(T776/100)*BA$41</f>
      </c>
      <c r="BB776" s="6">
        <f>(U776/100)*BB$41</f>
      </c>
      <c r="BC776" s="6"/>
      <c r="BD776" s="3"/>
      <c r="BE776" s="3"/>
      <c r="BF776" s="7">
        <f>AF776*E776</f>
      </c>
      <c r="BG776" s="6"/>
      <c r="BH776" s="3"/>
      <c r="BI776" s="6"/>
    </row>
    <row x14ac:dyDescent="0.25" r="777" customHeight="1" ht="12.75">
      <c r="A777" s="5" t="s">
        <v>693</v>
      </c>
      <c r="B777" s="3" t="s">
        <v>855</v>
      </c>
      <c r="C777" s="43" t="s">
        <v>870</v>
      </c>
      <c r="D777" s="34"/>
      <c r="E777" s="6">
        <v>0.76</v>
      </c>
      <c r="F777" s="6"/>
      <c r="G777" s="6">
        <v>1.33</v>
      </c>
      <c r="H777" s="7"/>
      <c r="I777" s="6">
        <v>1.76</v>
      </c>
      <c r="J777" s="6"/>
      <c r="K777" s="7"/>
      <c r="L777" s="6"/>
      <c r="M777" s="6">
        <v>0.14</v>
      </c>
      <c r="N777" s="23"/>
      <c r="O777" s="5"/>
      <c r="P777" s="6"/>
      <c r="Q777" s="6"/>
      <c r="R777" s="6"/>
      <c r="S777" s="6"/>
      <c r="T777" s="6"/>
      <c r="U777" s="6"/>
      <c r="V777" s="5"/>
      <c r="W777" s="6"/>
      <c r="X777" s="6">
        <f>E777*F777/100</f>
      </c>
      <c r="Y777" s="6">
        <f>E777*G777/100</f>
      </c>
      <c r="Z777" s="7">
        <f>E777*H777</f>
      </c>
      <c r="AA777" s="7">
        <f>E777*J777</f>
      </c>
      <c r="AB777" s="6">
        <f>E777*I777/100</f>
      </c>
      <c r="AC777" s="15">
        <f>X777+Y777+AB777</f>
      </c>
      <c r="AD777" s="6">
        <f>F777+G777+I777</f>
      </c>
      <c r="AE777" s="3"/>
      <c r="AF777" s="6">
        <f>SUM(AM777:BC777)</f>
      </c>
      <c r="AG777" s="5">
        <f>IF(SUM(AM777:AO777)&gt;0.7*AF777,1,0)</f>
      </c>
      <c r="AH777" s="5">
        <f>IF(AN777&gt;0.4*AF777,1,0)</f>
      </c>
      <c r="AI777" s="5">
        <f>IF(SUM(AP777:AQ777)&gt;0.3*AF777,1,0)</f>
      </c>
      <c r="AJ777" s="5">
        <f>IF(AQ777&gt;0.2*AF777,1,0)</f>
      </c>
      <c r="AK777" s="5">
        <f>IF(SUM(AR777:BC777)&gt;0.3*AF777,1,0)</f>
      </c>
      <c r="AL777" s="3"/>
      <c r="AM777" s="6">
        <f>(F777/100)*AM$41</f>
      </c>
      <c r="AN777" s="6">
        <f>(G777/100)*AN$41</f>
      </c>
      <c r="AO777" s="6">
        <f>(H777/1000000)*AO$41</f>
      </c>
      <c r="AP777" s="6">
        <f>(I777/100)*AP$41</f>
      </c>
      <c r="AQ777" s="6">
        <f>(J777/1000000)*AQ$41</f>
      </c>
      <c r="AR777" s="6">
        <f>(K777/100)*AR$41</f>
      </c>
      <c r="AS777" s="6">
        <f>(L777/100)*AS$41</f>
      </c>
      <c r="AT777" s="6">
        <f>(M777/100)*AT$41</f>
      </c>
      <c r="AU777" s="6">
        <f>(N777/100)*AU$41</f>
      </c>
      <c r="AV777" s="6">
        <f>(O777/1000000)*AV$41</f>
      </c>
      <c r="AW777" s="6">
        <f>(P777/100)*AW$41</f>
      </c>
      <c r="AX777" s="6">
        <f>(Q777/100)*AX$41</f>
      </c>
      <c r="AY777" s="6">
        <f>(R777/100)*AY$41</f>
      </c>
      <c r="AZ777" s="6">
        <f>(S777/100)*AZ$41</f>
      </c>
      <c r="BA777" s="6">
        <f>(T777/100)*BA$41</f>
      </c>
      <c r="BB777" s="6">
        <f>(U777/100)*BB$41</f>
      </c>
      <c r="BC777" s="6"/>
      <c r="BD777" s="3"/>
      <c r="BE777" s="3"/>
      <c r="BF777" s="7">
        <f>AF777*E777</f>
      </c>
      <c r="BG777" s="6"/>
      <c r="BH777" s="3"/>
      <c r="BI777" s="6"/>
    </row>
    <row x14ac:dyDescent="0.25" r="778" customHeight="1" ht="12.75">
      <c r="A778" s="5" t="s">
        <v>843</v>
      </c>
      <c r="B778" s="3" t="s">
        <v>855</v>
      </c>
      <c r="C778" s="43" t="s">
        <v>870</v>
      </c>
      <c r="D778" s="34"/>
      <c r="E778" s="6">
        <v>1.22</v>
      </c>
      <c r="F778" s="6">
        <v>0.4</v>
      </c>
      <c r="G778" s="6">
        <v>0.7</v>
      </c>
      <c r="H778" s="6">
        <v>8.1</v>
      </c>
      <c r="I778" s="6">
        <v>0.5</v>
      </c>
      <c r="J778" s="6">
        <v>0.8</v>
      </c>
      <c r="K778" s="7"/>
      <c r="L778" s="6"/>
      <c r="M778" s="6"/>
      <c r="N778" s="23"/>
      <c r="O778" s="5"/>
      <c r="P778" s="6"/>
      <c r="Q778" s="6"/>
      <c r="R778" s="6"/>
      <c r="S778" s="6"/>
      <c r="T778" s="6"/>
      <c r="U778" s="6"/>
      <c r="V778" s="5"/>
      <c r="W778" s="6"/>
      <c r="X778" s="6">
        <f>E778*F778/100</f>
      </c>
      <c r="Y778" s="6">
        <f>E778*G778/100</f>
      </c>
      <c r="Z778" s="7">
        <f>E778*H778</f>
      </c>
      <c r="AA778" s="7">
        <f>E778*J778</f>
      </c>
      <c r="AB778" s="6">
        <f>E778*I778/100</f>
      </c>
      <c r="AC778" s="15">
        <f>X778+Y778+AB778</f>
      </c>
      <c r="AD778" s="6">
        <f>F778+G778+I778</f>
      </c>
      <c r="AE778" s="3"/>
      <c r="AF778" s="6">
        <f>SUM(AM778:BC778)</f>
      </c>
      <c r="AG778" s="5">
        <f>IF(SUM(AM778:AO778)&gt;0.7*AF778,1,0)</f>
      </c>
      <c r="AH778" s="5">
        <f>IF(AN778&gt;0.4*AF778,1,0)</f>
      </c>
      <c r="AI778" s="5">
        <f>IF(SUM(AP778:AQ778)&gt;0.3*AF778,1,0)</f>
      </c>
      <c r="AJ778" s="5">
        <f>IF(AQ778&gt;0.2*AF778,1,0)</f>
      </c>
      <c r="AK778" s="5">
        <f>IF(SUM(AR778:BC778)&gt;0.3*AF778,1,0)</f>
      </c>
      <c r="AL778" s="3"/>
      <c r="AM778" s="6">
        <f>(F778/100)*AM$41</f>
      </c>
      <c r="AN778" s="6">
        <f>(G778/100)*AN$41</f>
      </c>
      <c r="AO778" s="6">
        <f>(H778/1000000)*AO$41</f>
      </c>
      <c r="AP778" s="6">
        <f>(I778/100)*AP$41</f>
      </c>
      <c r="AQ778" s="6">
        <f>(J778/1000000)*AQ$41</f>
      </c>
      <c r="AR778" s="6">
        <f>(K778/100)*AR$41</f>
      </c>
      <c r="AS778" s="6">
        <f>(L778/100)*AS$41</f>
      </c>
      <c r="AT778" s="6">
        <f>(M778/100)*AT$41</f>
      </c>
      <c r="AU778" s="6">
        <f>(N778/100)*AU$41</f>
      </c>
      <c r="AV778" s="6">
        <f>(O778/1000000)*AV$41</f>
      </c>
      <c r="AW778" s="6">
        <f>(P778/100)*AW$41</f>
      </c>
      <c r="AX778" s="6">
        <f>(Q778/100)*AX$41</f>
      </c>
      <c r="AY778" s="6">
        <f>(R778/100)*AY$41</f>
      </c>
      <c r="AZ778" s="6">
        <f>(S778/100)*AZ$41</f>
      </c>
      <c r="BA778" s="6">
        <f>(T778/100)*BA$41</f>
      </c>
      <c r="BB778" s="6">
        <f>(U778/100)*BB$41</f>
      </c>
      <c r="BC778" s="6"/>
      <c r="BD778" s="3"/>
      <c r="BE778" s="3"/>
      <c r="BF778" s="7">
        <f>AF778*E778</f>
      </c>
      <c r="BG778" s="6"/>
      <c r="BH778" s="3"/>
      <c r="BI778" s="6"/>
    </row>
    <row x14ac:dyDescent="0.25" r="779" customHeight="1" ht="12.75">
      <c r="A779" s="5" t="s">
        <v>496</v>
      </c>
      <c r="B779" s="3" t="s">
        <v>855</v>
      </c>
      <c r="C779" s="43" t="s">
        <v>870</v>
      </c>
      <c r="D779" s="34"/>
      <c r="E779" s="23">
        <v>0.215534</v>
      </c>
      <c r="F779" s="6">
        <v>4.91</v>
      </c>
      <c r="G779" s="6">
        <v>2.2</v>
      </c>
      <c r="H779" s="6">
        <v>193.6</v>
      </c>
      <c r="I779" s="6">
        <v>0.15</v>
      </c>
      <c r="J779" s="6"/>
      <c r="K779" s="7"/>
      <c r="L779" s="6"/>
      <c r="M779" s="6"/>
      <c r="N779" s="23"/>
      <c r="O779" s="5"/>
      <c r="P779" s="6"/>
      <c r="Q779" s="6"/>
      <c r="R779" s="6"/>
      <c r="S779" s="6"/>
      <c r="T779" s="6"/>
      <c r="U779" s="6"/>
      <c r="V779" s="5"/>
      <c r="W779" s="6"/>
      <c r="X779" s="6">
        <f>E779*F779/100</f>
      </c>
      <c r="Y779" s="6">
        <f>E779*G779/100</f>
      </c>
      <c r="Z779" s="7">
        <f>E779*H779</f>
      </c>
      <c r="AA779" s="7">
        <f>E779*J779</f>
      </c>
      <c r="AB779" s="6">
        <f>E779*I779/100</f>
      </c>
      <c r="AC779" s="15">
        <f>X779+Y779+AB779</f>
      </c>
      <c r="AD779" s="6">
        <f>F779+G779+I779</f>
      </c>
      <c r="AE779" s="3"/>
      <c r="AF779" s="6">
        <f>SUM(AM779:BC779)</f>
      </c>
      <c r="AG779" s="5">
        <f>IF(SUM(AM779:AO779)&gt;0.7*AF779,1,0)</f>
      </c>
      <c r="AH779" s="5">
        <f>IF(AN779&gt;0.4*AF779,1,0)</f>
      </c>
      <c r="AI779" s="5">
        <f>IF(SUM(AP779:AQ779)&gt;0.3*AF779,1,0)</f>
      </c>
      <c r="AJ779" s="5">
        <f>IF(AQ779&gt;0.2*AF779,1,0)</f>
      </c>
      <c r="AK779" s="5">
        <f>IF(SUM(AR779:BC779)&gt;0.3*AF779,1,0)</f>
      </c>
      <c r="AL779" s="3"/>
      <c r="AM779" s="6">
        <f>(F779/100)*AM$41</f>
      </c>
      <c r="AN779" s="6">
        <f>(G779/100)*AN$41</f>
      </c>
      <c r="AO779" s="6">
        <f>(H779/1000000)*AO$41</f>
      </c>
      <c r="AP779" s="6">
        <f>(I779/100)*AP$41</f>
      </c>
      <c r="AQ779" s="6">
        <f>(J779/1000000)*AQ$41</f>
      </c>
      <c r="AR779" s="6">
        <f>(K779/100)*AR$41</f>
      </c>
      <c r="AS779" s="6">
        <f>(L779/100)*AS$41</f>
      </c>
      <c r="AT779" s="6">
        <f>(M779/100)*AT$41</f>
      </c>
      <c r="AU779" s="6">
        <f>(N779/100)*AU$41</f>
      </c>
      <c r="AV779" s="6">
        <f>(O779/1000000)*AV$41</f>
      </c>
      <c r="AW779" s="6">
        <f>(P779/100)*AW$41</f>
      </c>
      <c r="AX779" s="6">
        <f>(Q779/100)*AX$41</f>
      </c>
      <c r="AY779" s="6">
        <f>(R779/100)*AY$41</f>
      </c>
      <c r="AZ779" s="6">
        <f>(S779/100)*AZ$41</f>
      </c>
      <c r="BA779" s="6">
        <f>(T779/100)*BA$41</f>
      </c>
      <c r="BB779" s="6">
        <f>(U779/100)*BB$41</f>
      </c>
      <c r="BC779" s="6"/>
      <c r="BD779" s="3"/>
      <c r="BE779" s="3"/>
      <c r="BF779" s="7">
        <f>AF779*E779</f>
      </c>
      <c r="BG779" s="6"/>
      <c r="BH779" s="3"/>
      <c r="BI779" s="6"/>
    </row>
    <row x14ac:dyDescent="0.25" r="780" customHeight="1" ht="12.75">
      <c r="A780" s="5" t="s">
        <v>839</v>
      </c>
      <c r="B780" s="3" t="s">
        <v>855</v>
      </c>
      <c r="C780" s="43" t="s">
        <v>870</v>
      </c>
      <c r="D780" s="34"/>
      <c r="E780" s="23">
        <v>0.994563</v>
      </c>
      <c r="F780" s="6"/>
      <c r="G780" s="6">
        <v>0.73</v>
      </c>
      <c r="H780" s="6">
        <v>13.48</v>
      </c>
      <c r="I780" s="6">
        <v>0.75</v>
      </c>
      <c r="J780" s="6">
        <v>0.54</v>
      </c>
      <c r="K780" s="7"/>
      <c r="L780" s="6"/>
      <c r="M780" s="6"/>
      <c r="N780" s="23"/>
      <c r="O780" s="5"/>
      <c r="P780" s="6"/>
      <c r="Q780" s="6"/>
      <c r="R780" s="6"/>
      <c r="S780" s="6"/>
      <c r="T780" s="6"/>
      <c r="U780" s="6"/>
      <c r="V780" s="5"/>
      <c r="W780" s="6"/>
      <c r="X780" s="6">
        <f>E780*F780/100</f>
      </c>
      <c r="Y780" s="6">
        <f>E780*G780/100</f>
      </c>
      <c r="Z780" s="7">
        <f>E780*H780</f>
      </c>
      <c r="AA780" s="7">
        <f>E780*J780</f>
      </c>
      <c r="AB780" s="6">
        <f>E780*I780/100</f>
      </c>
      <c r="AC780" s="15">
        <f>X780+Y780+AB780</f>
      </c>
      <c r="AD780" s="6">
        <f>F780+G780+I780</f>
      </c>
      <c r="AE780" s="3"/>
      <c r="AF780" s="6">
        <f>SUM(AM780:BC780)</f>
      </c>
      <c r="AG780" s="5">
        <f>IF(SUM(AM780:AO780)&gt;0.7*AF780,1,0)</f>
      </c>
      <c r="AH780" s="5">
        <f>IF(AN780&gt;0.4*AF780,1,0)</f>
      </c>
      <c r="AI780" s="5">
        <f>IF(SUM(AP780:AQ780)&gt;0.3*AF780,1,0)</f>
      </c>
      <c r="AJ780" s="5">
        <f>IF(AQ780&gt;0.2*AF780,1,0)</f>
      </c>
      <c r="AK780" s="5">
        <f>IF(SUM(AR780:BC780)&gt;0.3*AF780,1,0)</f>
      </c>
      <c r="AL780" s="3"/>
      <c r="AM780" s="6">
        <f>(F780/100)*AM$41</f>
      </c>
      <c r="AN780" s="6">
        <f>(G780/100)*AN$41</f>
      </c>
      <c r="AO780" s="6">
        <f>(H780/1000000)*AO$41</f>
      </c>
      <c r="AP780" s="6">
        <f>(I780/100)*AP$41</f>
      </c>
      <c r="AQ780" s="6">
        <f>(J780/1000000)*AQ$41</f>
      </c>
      <c r="AR780" s="6">
        <f>(K780/100)*AR$41</f>
      </c>
      <c r="AS780" s="6">
        <f>(L780/100)*AS$41</f>
      </c>
      <c r="AT780" s="6">
        <f>(M780/100)*AT$41</f>
      </c>
      <c r="AU780" s="6">
        <f>(N780/100)*AU$41</f>
      </c>
      <c r="AV780" s="6">
        <f>(O780/1000000)*AV$41</f>
      </c>
      <c r="AW780" s="6">
        <f>(P780/100)*AW$41</f>
      </c>
      <c r="AX780" s="6">
        <f>(Q780/100)*AX$41</f>
      </c>
      <c r="AY780" s="6">
        <f>(R780/100)*AY$41</f>
      </c>
      <c r="AZ780" s="6">
        <f>(S780/100)*AZ$41</f>
      </c>
      <c r="BA780" s="6">
        <f>(T780/100)*BA$41</f>
      </c>
      <c r="BB780" s="6">
        <f>(U780/100)*BB$41</f>
      </c>
      <c r="BC780" s="6"/>
      <c r="BD780" s="3"/>
      <c r="BE780" s="3"/>
      <c r="BF780" s="7">
        <f>AF780*E780</f>
      </c>
      <c r="BG780" s="6"/>
      <c r="BH780" s="3"/>
      <c r="BI780" s="6"/>
    </row>
    <row x14ac:dyDescent="0.25" r="781" customHeight="1" ht="12.75">
      <c r="A781" s="5" t="s">
        <v>580</v>
      </c>
      <c r="B781" s="3" t="s">
        <v>855</v>
      </c>
      <c r="C781" s="43" t="s">
        <v>870</v>
      </c>
      <c r="D781" s="34"/>
      <c r="E781" s="23">
        <v>0.275922</v>
      </c>
      <c r="F781" s="6"/>
      <c r="G781" s="6">
        <v>4.385592884945745</v>
      </c>
      <c r="H781" s="7">
        <v>48.06089416574249</v>
      </c>
      <c r="I781" s="6">
        <v>0.8715495683562746</v>
      </c>
      <c r="J781" s="6">
        <v>1.3052360449692302</v>
      </c>
      <c r="K781" s="7"/>
      <c r="L781" s="6"/>
      <c r="M781" s="6"/>
      <c r="N781" s="23"/>
      <c r="O781" s="5"/>
      <c r="P781" s="6"/>
      <c r="Q781" s="6"/>
      <c r="R781" s="6"/>
      <c r="S781" s="6"/>
      <c r="T781" s="6"/>
      <c r="U781" s="6"/>
      <c r="V781" s="5"/>
      <c r="W781" s="6"/>
      <c r="X781" s="6">
        <f>E781*F781/100</f>
      </c>
      <c r="Y781" s="6">
        <f>E781*G781/100</f>
      </c>
      <c r="Z781" s="7">
        <f>E781*H781</f>
      </c>
      <c r="AA781" s="7">
        <f>E781*J781</f>
      </c>
      <c r="AB781" s="6">
        <f>E781*I781/100</f>
      </c>
      <c r="AC781" s="15">
        <f>X781+Y781+AB781</f>
      </c>
      <c r="AD781" s="6">
        <f>F781+G781+I781</f>
      </c>
      <c r="AE781" s="3"/>
      <c r="AF781" s="6">
        <f>SUM(AM781:BC781)</f>
      </c>
      <c r="AG781" s="5">
        <f>IF(SUM(AM781:AO781)&gt;0.7*AF781,1,0)</f>
      </c>
      <c r="AH781" s="5">
        <f>IF(AN781&gt;0.4*AF781,1,0)</f>
      </c>
      <c r="AI781" s="5">
        <f>IF(SUM(AP781:AQ781)&gt;0.3*AF781,1,0)</f>
      </c>
      <c r="AJ781" s="5">
        <f>IF(AQ781&gt;0.2*AF781,1,0)</f>
      </c>
      <c r="AK781" s="5">
        <f>IF(SUM(AR781:BC781)&gt;0.3*AF781,1,0)</f>
      </c>
      <c r="AL781" s="3"/>
      <c r="AM781" s="6">
        <f>(F781/100)*AM$41</f>
      </c>
      <c r="AN781" s="6">
        <f>(G781/100)*AN$41</f>
      </c>
      <c r="AO781" s="6">
        <f>(H781/1000000)*AO$41</f>
      </c>
      <c r="AP781" s="6">
        <f>(I781/100)*AP$41</f>
      </c>
      <c r="AQ781" s="6">
        <f>(J781/1000000)*AQ$41</f>
      </c>
      <c r="AR781" s="6">
        <f>(K781/100)*AR$41</f>
      </c>
      <c r="AS781" s="6">
        <f>(L781/100)*AS$41</f>
      </c>
      <c r="AT781" s="6">
        <f>(M781/100)*AT$41</f>
      </c>
      <c r="AU781" s="6">
        <f>(N781/100)*AU$41</f>
      </c>
      <c r="AV781" s="6">
        <f>(O781/1000000)*AV$41</f>
      </c>
      <c r="AW781" s="6">
        <f>(P781/100)*AW$41</f>
      </c>
      <c r="AX781" s="6">
        <f>(Q781/100)*AX$41</f>
      </c>
      <c r="AY781" s="6">
        <f>(R781/100)*AY$41</f>
      </c>
      <c r="AZ781" s="6">
        <f>(S781/100)*AZ$41</f>
      </c>
      <c r="BA781" s="6">
        <f>(T781/100)*BA$41</f>
      </c>
      <c r="BB781" s="6">
        <f>(U781/100)*BB$41</f>
      </c>
      <c r="BC781" s="6"/>
      <c r="BD781" s="3"/>
      <c r="BE781" s="3"/>
      <c r="BF781" s="7">
        <f>AF781*E781</f>
      </c>
      <c r="BG781" s="6"/>
      <c r="BH781" s="3"/>
      <c r="BI781" s="6"/>
    </row>
    <row x14ac:dyDescent="0.25" r="782" customHeight="1" ht="12.75">
      <c r="A782" s="5" t="s">
        <v>727</v>
      </c>
      <c r="B782" s="3" t="s">
        <v>855</v>
      </c>
      <c r="C782" s="43" t="s">
        <v>870</v>
      </c>
      <c r="D782" s="34"/>
      <c r="E782" s="6">
        <v>3.1599999999999997</v>
      </c>
      <c r="F782" s="6"/>
      <c r="G782" s="6">
        <v>0.07528481012658228</v>
      </c>
      <c r="H782" s="7"/>
      <c r="I782" s="6">
        <v>0.3554113924050633</v>
      </c>
      <c r="J782" s="6"/>
      <c r="K782" s="7"/>
      <c r="L782" s="6">
        <v>0.11367088607594938</v>
      </c>
      <c r="M782" s="6">
        <v>0.43060126582278485</v>
      </c>
      <c r="N782" s="23"/>
      <c r="O782" s="5"/>
      <c r="P782" s="6"/>
      <c r="Q782" s="6"/>
      <c r="R782" s="6"/>
      <c r="S782" s="6"/>
      <c r="T782" s="6"/>
      <c r="U782" s="6"/>
      <c r="V782" s="5"/>
      <c r="W782" s="6"/>
      <c r="X782" s="6">
        <f>E782*F782/100</f>
      </c>
      <c r="Y782" s="6">
        <f>E782*G782/100</f>
      </c>
      <c r="Z782" s="7">
        <f>E782*H782</f>
      </c>
      <c r="AA782" s="7">
        <f>E782*J782</f>
      </c>
      <c r="AB782" s="6">
        <f>E782*I782/100</f>
      </c>
      <c r="AC782" s="15">
        <f>X782+Y782+AB782</f>
      </c>
      <c r="AD782" s="6">
        <f>F782+G782+I782</f>
      </c>
      <c r="AE782" s="3"/>
      <c r="AF782" s="6">
        <f>SUM(AM782:BC782)</f>
      </c>
      <c r="AG782" s="5">
        <f>IF(SUM(AM782:AO782)&gt;0.7*AF782,1,0)</f>
      </c>
      <c r="AH782" s="5">
        <f>IF(AN782&gt;0.4*AF782,1,0)</f>
      </c>
      <c r="AI782" s="5">
        <f>IF(SUM(AP782:AQ782)&gt;0.3*AF782,1,0)</f>
      </c>
      <c r="AJ782" s="5">
        <f>IF(AQ782&gt;0.2*AF782,1,0)</f>
      </c>
      <c r="AK782" s="5">
        <f>IF(SUM(AR782:BC782)&gt;0.3*AF782,1,0)</f>
      </c>
      <c r="AL782" s="3"/>
      <c r="AM782" s="6">
        <f>(F782/100)*AM$41</f>
      </c>
      <c r="AN782" s="6">
        <f>(G782/100)*AN$41</f>
      </c>
      <c r="AO782" s="6">
        <f>(H782/1000000)*AO$41</f>
      </c>
      <c r="AP782" s="6">
        <f>(I782/100)*AP$41</f>
      </c>
      <c r="AQ782" s="6">
        <f>(J782/1000000)*AQ$41</f>
      </c>
      <c r="AR782" s="6">
        <f>(K782/100)*AR$41</f>
      </c>
      <c r="AS782" s="6">
        <f>(L782/100)*AS$41</f>
      </c>
      <c r="AT782" s="6">
        <f>(M782/100)*AT$41</f>
      </c>
      <c r="AU782" s="6">
        <f>(N782/100)*AU$41</f>
      </c>
      <c r="AV782" s="6">
        <f>(O782/1000000)*AV$41</f>
      </c>
      <c r="AW782" s="6">
        <f>(P782/100)*AW$41</f>
      </c>
      <c r="AX782" s="6">
        <f>(Q782/100)*AX$41</f>
      </c>
      <c r="AY782" s="6">
        <f>(R782/100)*AY$41</f>
      </c>
      <c r="AZ782" s="6">
        <f>(S782/100)*AZ$41</f>
      </c>
      <c r="BA782" s="6">
        <f>(T782/100)*BA$41</f>
      </c>
      <c r="BB782" s="6">
        <f>(U782/100)*BB$41</f>
      </c>
      <c r="BC782" s="6"/>
      <c r="BD782" s="3"/>
      <c r="BE782" s="3"/>
      <c r="BF782" s="7">
        <f>AF782*E782</f>
      </c>
      <c r="BG782" s="6"/>
      <c r="BH782" s="3"/>
      <c r="BI782" s="6"/>
    </row>
    <row x14ac:dyDescent="0.25" r="783" customHeight="1" ht="12.75">
      <c r="A783" s="5" t="s">
        <v>500</v>
      </c>
      <c r="B783" s="3" t="s">
        <v>855</v>
      </c>
      <c r="C783" s="43" t="s">
        <v>870</v>
      </c>
      <c r="D783" s="34"/>
      <c r="E783" s="23">
        <v>0.227899</v>
      </c>
      <c r="F783" s="6">
        <v>0.17</v>
      </c>
      <c r="G783" s="7">
        <v>1.85</v>
      </c>
      <c r="H783" s="31">
        <v>33</v>
      </c>
      <c r="I783" s="6">
        <v>2.96</v>
      </c>
      <c r="J783" s="6"/>
      <c r="K783" s="7"/>
      <c r="L783" s="6"/>
      <c r="M783" s="6"/>
      <c r="N783" s="23"/>
      <c r="O783" s="5"/>
      <c r="P783" s="6"/>
      <c r="Q783" s="6"/>
      <c r="R783" s="6"/>
      <c r="S783" s="6"/>
      <c r="T783" s="6"/>
      <c r="U783" s="6"/>
      <c r="V783" s="5"/>
      <c r="W783" s="6"/>
      <c r="X783" s="6">
        <f>E783*F783/100</f>
      </c>
      <c r="Y783" s="6">
        <f>E783*G783/100</f>
      </c>
      <c r="Z783" s="7">
        <f>E783*H783</f>
      </c>
      <c r="AA783" s="7">
        <f>E783*J783</f>
      </c>
      <c r="AB783" s="6">
        <f>E783*I783/100</f>
      </c>
      <c r="AC783" s="15">
        <f>X783+Y783+AB783</f>
      </c>
      <c r="AD783" s="6">
        <f>F783+G783+I783</f>
      </c>
      <c r="AE783" s="3"/>
      <c r="AF783" s="6">
        <f>SUM(AM783:BC783)</f>
      </c>
      <c r="AG783" s="5">
        <f>IF(SUM(AM783:AO783)&gt;0.7*AF783,1,0)</f>
      </c>
      <c r="AH783" s="5">
        <f>IF(AN783&gt;0.4*AF783,1,0)</f>
      </c>
      <c r="AI783" s="5">
        <f>IF(SUM(AP783:AQ783)&gt;0.3*AF783,1,0)</f>
      </c>
      <c r="AJ783" s="5">
        <f>IF(AQ783&gt;0.2*AF783,1,0)</f>
      </c>
      <c r="AK783" s="5">
        <f>IF(SUM(AR783:BC783)&gt;0.3*AF783,1,0)</f>
      </c>
      <c r="AL783" s="3"/>
      <c r="AM783" s="6">
        <f>(F783/100)*AM$41</f>
      </c>
      <c r="AN783" s="6">
        <f>(G783/100)*AN$41</f>
      </c>
      <c r="AO783" s="6">
        <f>(H783/1000000)*AO$41</f>
      </c>
      <c r="AP783" s="6">
        <f>(I783/100)*AP$41</f>
      </c>
      <c r="AQ783" s="6">
        <f>(J783/1000000)*AQ$41</f>
      </c>
      <c r="AR783" s="6">
        <f>(K783/100)*AR$41</f>
      </c>
      <c r="AS783" s="6">
        <f>(L783/100)*AS$41</f>
      </c>
      <c r="AT783" s="6">
        <f>(M783/100)*AT$41</f>
      </c>
      <c r="AU783" s="6">
        <f>(N783/100)*AU$41</f>
      </c>
      <c r="AV783" s="6">
        <f>(O783/1000000)*AV$41</f>
      </c>
      <c r="AW783" s="6">
        <f>(P783/100)*AW$41</f>
      </c>
      <c r="AX783" s="6">
        <f>(Q783/100)*AX$41</f>
      </c>
      <c r="AY783" s="6">
        <f>(R783/100)*AY$41</f>
      </c>
      <c r="AZ783" s="6">
        <f>(S783/100)*AZ$41</f>
      </c>
      <c r="BA783" s="6">
        <f>(T783/100)*BA$41</f>
      </c>
      <c r="BB783" s="6">
        <f>(U783/100)*BB$41</f>
      </c>
      <c r="BC783" s="6"/>
      <c r="BD783" s="3"/>
      <c r="BE783" s="3"/>
      <c r="BF783" s="7">
        <f>AF783*E783</f>
      </c>
      <c r="BG783" s="6"/>
      <c r="BH783" s="3"/>
      <c r="BI783" s="6"/>
    </row>
    <row x14ac:dyDescent="0.25" r="784" customHeight="1" ht="12.75">
      <c r="A784" s="5" t="s">
        <v>731</v>
      </c>
      <c r="B784" s="3" t="s">
        <v>855</v>
      </c>
      <c r="C784" s="43" t="s">
        <v>870</v>
      </c>
      <c r="D784" s="34"/>
      <c r="E784" s="6">
        <v>0.2</v>
      </c>
      <c r="F784" s="6"/>
      <c r="G784" s="5">
        <v>5</v>
      </c>
      <c r="H784" s="7"/>
      <c r="I784" s="6"/>
      <c r="J784" s="6"/>
      <c r="K784" s="7"/>
      <c r="L784" s="6"/>
      <c r="M784" s="6"/>
      <c r="N784" s="23"/>
      <c r="O784" s="5"/>
      <c r="P784" s="6"/>
      <c r="Q784" s="6"/>
      <c r="R784" s="6"/>
      <c r="S784" s="6"/>
      <c r="T784" s="6"/>
      <c r="U784" s="6"/>
      <c r="V784" s="5"/>
      <c r="W784" s="6"/>
      <c r="X784" s="6">
        <f>E784*F784/100</f>
      </c>
      <c r="Y784" s="6">
        <f>E784*G784/100</f>
      </c>
      <c r="Z784" s="7">
        <f>E784*H784</f>
      </c>
      <c r="AA784" s="7">
        <f>E784*J784</f>
      </c>
      <c r="AB784" s="6">
        <f>E784*I784/100</f>
      </c>
      <c r="AC784" s="15">
        <f>X784+Y784+AB784</f>
      </c>
      <c r="AD784" s="6">
        <f>F784+G784+I784</f>
      </c>
      <c r="AE784" s="3"/>
      <c r="AF784" s="6">
        <f>SUM(AM784:BC784)</f>
      </c>
      <c r="AG784" s="5">
        <f>IF(SUM(AM784:AO784)&gt;0.7*AF784,1,0)</f>
      </c>
      <c r="AH784" s="5">
        <f>IF(AN784&gt;0.4*AF784,1,0)</f>
      </c>
      <c r="AI784" s="5">
        <f>IF(SUM(AP784:AQ784)&gt;0.3*AF784,1,0)</f>
      </c>
      <c r="AJ784" s="5">
        <f>IF(AQ784&gt;0.2*AF784,1,0)</f>
      </c>
      <c r="AK784" s="5">
        <f>IF(SUM(AR784:BC784)&gt;0.3*AF784,1,0)</f>
      </c>
      <c r="AL784" s="3"/>
      <c r="AM784" s="6">
        <f>(F784/100)*AM$41</f>
      </c>
      <c r="AN784" s="6">
        <f>(G784/100)*AN$41</f>
      </c>
      <c r="AO784" s="6">
        <f>(H784/1000000)*AO$41</f>
      </c>
      <c r="AP784" s="6">
        <f>(I784/100)*AP$41</f>
      </c>
      <c r="AQ784" s="6">
        <f>(J784/1000000)*AQ$41</f>
      </c>
      <c r="AR784" s="6">
        <f>(K784/100)*AR$41</f>
      </c>
      <c r="AS784" s="6">
        <f>(L784/100)*AS$41</f>
      </c>
      <c r="AT784" s="6">
        <f>(M784/100)*AT$41</f>
      </c>
      <c r="AU784" s="6">
        <f>(N784/100)*AU$41</f>
      </c>
      <c r="AV784" s="6">
        <f>(O784/1000000)*AV$41</f>
      </c>
      <c r="AW784" s="6">
        <f>(P784/100)*AW$41</f>
      </c>
      <c r="AX784" s="6">
        <f>(Q784/100)*AX$41</f>
      </c>
      <c r="AY784" s="6">
        <f>(R784/100)*AY$41</f>
      </c>
      <c r="AZ784" s="6">
        <f>(S784/100)*AZ$41</f>
      </c>
      <c r="BA784" s="6">
        <f>(T784/100)*BA$41</f>
      </c>
      <c r="BB784" s="6">
        <f>(U784/100)*BB$41</f>
      </c>
      <c r="BC784" s="6"/>
      <c r="BD784" s="3"/>
      <c r="BE784" s="3"/>
      <c r="BF784" s="7">
        <f>AF784*E784</f>
      </c>
      <c r="BG784" s="6"/>
      <c r="BH784" s="3"/>
      <c r="BI784" s="6"/>
    </row>
    <row x14ac:dyDescent="0.25" r="785" customHeight="1" ht="12.75">
      <c r="A785" s="5" t="s">
        <v>62</v>
      </c>
      <c r="B785" s="3" t="s">
        <v>855</v>
      </c>
      <c r="C785" s="43" t="s">
        <v>870</v>
      </c>
      <c r="D785" s="34"/>
      <c r="E785" s="6">
        <v>0.05</v>
      </c>
      <c r="F785" s="7">
        <v>1</v>
      </c>
      <c r="G785" s="6">
        <v>7.1</v>
      </c>
      <c r="H785" s="5">
        <v>130</v>
      </c>
      <c r="I785" s="6">
        <v>4.7</v>
      </c>
      <c r="J785" s="7">
        <v>2</v>
      </c>
      <c r="K785" s="7"/>
      <c r="L785" s="6"/>
      <c r="M785" s="6"/>
      <c r="N785" s="23"/>
      <c r="O785" s="5"/>
      <c r="P785" s="6"/>
      <c r="Q785" s="6"/>
      <c r="R785" s="6"/>
      <c r="S785" s="6"/>
      <c r="T785" s="6"/>
      <c r="U785" s="6"/>
      <c r="V785" s="5"/>
      <c r="W785" s="6"/>
      <c r="X785" s="6">
        <f>E785*F785/100</f>
      </c>
      <c r="Y785" s="6">
        <f>E785*G785/100</f>
      </c>
      <c r="Z785" s="7">
        <f>E785*H785</f>
      </c>
      <c r="AA785" s="7">
        <f>E785*J785</f>
      </c>
      <c r="AB785" s="6">
        <f>E785*I785/100</f>
      </c>
      <c r="AC785" s="15">
        <f>X785+Y785+AB785</f>
      </c>
      <c r="AD785" s="6">
        <f>F785+G785+I785</f>
      </c>
      <c r="AE785" s="3"/>
      <c r="AF785" s="6">
        <f>SUM(AM785:BC785)</f>
      </c>
      <c r="AG785" s="5">
        <f>IF(SUM(AM785:AO785)&gt;0.7*AF785,1,0)</f>
      </c>
      <c r="AH785" s="5">
        <f>IF(AN785&gt;0.4*AF785,1,0)</f>
      </c>
      <c r="AI785" s="5">
        <f>IF(SUM(AP785:AQ785)&gt;0.3*AF785,1,0)</f>
      </c>
      <c r="AJ785" s="5">
        <f>IF(AQ785&gt;0.2*AF785,1,0)</f>
      </c>
      <c r="AK785" s="5">
        <f>IF(SUM(AR785:BC785)&gt;0.3*AF785,1,0)</f>
      </c>
      <c r="AL785" s="3"/>
      <c r="AM785" s="6">
        <f>(F785/100)*AM$41</f>
      </c>
      <c r="AN785" s="6">
        <f>(G785/100)*AN$41</f>
      </c>
      <c r="AO785" s="6">
        <f>(H785/1000000)*AO$41</f>
      </c>
      <c r="AP785" s="6">
        <f>(I785/100)*AP$41</f>
      </c>
      <c r="AQ785" s="6">
        <f>(J785/1000000)*AQ$41</f>
      </c>
      <c r="AR785" s="6">
        <f>(K785/100)*AR$41</f>
      </c>
      <c r="AS785" s="6">
        <f>(L785/100)*AS$41</f>
      </c>
      <c r="AT785" s="6">
        <f>(M785/100)*AT$41</f>
      </c>
      <c r="AU785" s="6">
        <f>(N785/100)*AU$41</f>
      </c>
      <c r="AV785" s="6">
        <f>(O785/1000000)*AV$41</f>
      </c>
      <c r="AW785" s="6">
        <f>(P785/100)*AW$41</f>
      </c>
      <c r="AX785" s="6">
        <f>(Q785/100)*AX$41</f>
      </c>
      <c r="AY785" s="6">
        <f>(R785/100)*AY$41</f>
      </c>
      <c r="AZ785" s="6">
        <f>(S785/100)*AZ$41</f>
      </c>
      <c r="BA785" s="6">
        <f>(T785/100)*BA$41</f>
      </c>
      <c r="BB785" s="6">
        <f>(U785/100)*BB$41</f>
      </c>
      <c r="BC785" s="6"/>
      <c r="BD785" s="3"/>
      <c r="BE785" s="3"/>
      <c r="BF785" s="7">
        <f>AF785*E785</f>
      </c>
      <c r="BG785" s="6"/>
      <c r="BH785" s="3"/>
      <c r="BI785" s="6"/>
    </row>
    <row x14ac:dyDescent="0.25" r="786" customHeight="1" ht="12.75">
      <c r="A786" s="5" t="s">
        <v>648</v>
      </c>
      <c r="B786" s="3" t="s">
        <v>855</v>
      </c>
      <c r="C786" s="43" t="s">
        <v>870</v>
      </c>
      <c r="D786" s="34"/>
      <c r="E786" s="6">
        <v>0.215</v>
      </c>
      <c r="F786" s="6">
        <v>1.5</v>
      </c>
      <c r="G786" s="6">
        <v>1.3</v>
      </c>
      <c r="H786" s="5">
        <v>23</v>
      </c>
      <c r="I786" s="6"/>
      <c r="J786" s="6">
        <v>3.5</v>
      </c>
      <c r="K786" s="7"/>
      <c r="L786" s="6"/>
      <c r="M786" s="6"/>
      <c r="N786" s="23"/>
      <c r="O786" s="5"/>
      <c r="P786" s="6"/>
      <c r="Q786" s="6"/>
      <c r="R786" s="6"/>
      <c r="S786" s="6"/>
      <c r="T786" s="6"/>
      <c r="U786" s="6"/>
      <c r="V786" s="5"/>
      <c r="W786" s="6"/>
      <c r="X786" s="6">
        <f>E786*F786/100</f>
      </c>
      <c r="Y786" s="6">
        <f>E786*G786/100</f>
      </c>
      <c r="Z786" s="7">
        <f>E786*H786</f>
      </c>
      <c r="AA786" s="7">
        <f>E786*J786</f>
      </c>
      <c r="AB786" s="6">
        <f>E786*I786/100</f>
      </c>
      <c r="AC786" s="15">
        <f>X786+Y786+AB786</f>
      </c>
      <c r="AD786" s="6">
        <f>F786+G786+I786</f>
      </c>
      <c r="AE786" s="3"/>
      <c r="AF786" s="6">
        <f>SUM(AM786:BC786)</f>
      </c>
      <c r="AG786" s="5">
        <f>IF(SUM(AM786:AO786)&gt;0.7*AF786,1,0)</f>
      </c>
      <c r="AH786" s="5">
        <f>IF(AN786&gt;0.4*AF786,1,0)</f>
      </c>
      <c r="AI786" s="5">
        <f>IF(SUM(AP786:AQ786)&gt;0.3*AF786,1,0)</f>
      </c>
      <c r="AJ786" s="5">
        <f>IF(AQ786&gt;0.2*AF786,1,0)</f>
      </c>
      <c r="AK786" s="5">
        <f>IF(SUM(AR786:BC786)&gt;0.3*AF786,1,0)</f>
      </c>
      <c r="AL786" s="3"/>
      <c r="AM786" s="6">
        <f>(F786/100)*AM$41</f>
      </c>
      <c r="AN786" s="6">
        <f>(G786/100)*AN$41</f>
      </c>
      <c r="AO786" s="6">
        <f>(H786/1000000)*AO$41</f>
      </c>
      <c r="AP786" s="6">
        <f>(I786/100)*AP$41</f>
      </c>
      <c r="AQ786" s="6">
        <f>(J786/1000000)*AQ$41</f>
      </c>
      <c r="AR786" s="6">
        <f>(K786/100)*AR$41</f>
      </c>
      <c r="AS786" s="6">
        <f>(L786/100)*AS$41</f>
      </c>
      <c r="AT786" s="6">
        <f>(M786/100)*AT$41</f>
      </c>
      <c r="AU786" s="6">
        <f>(N786/100)*AU$41</f>
      </c>
      <c r="AV786" s="6">
        <f>(O786/1000000)*AV$41</f>
      </c>
      <c r="AW786" s="6">
        <f>(P786/100)*AW$41</f>
      </c>
      <c r="AX786" s="6">
        <f>(Q786/100)*AX$41</f>
      </c>
      <c r="AY786" s="6">
        <f>(R786/100)*AY$41</f>
      </c>
      <c r="AZ786" s="6">
        <f>(S786/100)*AZ$41</f>
      </c>
      <c r="BA786" s="6">
        <f>(T786/100)*BA$41</f>
      </c>
      <c r="BB786" s="6">
        <f>(U786/100)*BB$41</f>
      </c>
      <c r="BC786" s="6"/>
      <c r="BD786" s="3"/>
      <c r="BE786" s="3"/>
      <c r="BF786" s="7">
        <f>AF786*E786</f>
      </c>
      <c r="BG786" s="6"/>
      <c r="BH786" s="3"/>
      <c r="BI786" s="6"/>
    </row>
    <row x14ac:dyDescent="0.25" r="787" customHeight="1" ht="12.75">
      <c r="A787" s="5" t="s">
        <v>851</v>
      </c>
      <c r="B787" s="3" t="s">
        <v>855</v>
      </c>
      <c r="C787" s="43" t="s">
        <v>870</v>
      </c>
      <c r="D787" s="34"/>
      <c r="E787" s="6">
        <v>0.56</v>
      </c>
      <c r="F787" s="6"/>
      <c r="G787" s="7">
        <v>0.12857142857142856</v>
      </c>
      <c r="H787" s="31">
        <v>9.571428571428571</v>
      </c>
      <c r="I787" s="7">
        <v>0.6142857142857142</v>
      </c>
      <c r="J787" s="7">
        <v>0.3642857142857142</v>
      </c>
      <c r="K787" s="7"/>
      <c r="L787" s="6"/>
      <c r="M787" s="6"/>
      <c r="N787" s="23"/>
      <c r="O787" s="5"/>
      <c r="P787" s="6"/>
      <c r="Q787" s="6"/>
      <c r="R787" s="6"/>
      <c r="S787" s="6"/>
      <c r="T787" s="6"/>
      <c r="U787" s="6"/>
      <c r="V787" s="5"/>
      <c r="W787" s="6"/>
      <c r="X787" s="6">
        <f>E787*F787/100</f>
      </c>
      <c r="Y787" s="6">
        <f>E787*G787/100</f>
      </c>
      <c r="Z787" s="7">
        <f>E787*H787</f>
      </c>
      <c r="AA787" s="7">
        <f>E787*J787</f>
      </c>
      <c r="AB787" s="6">
        <f>E787*I787/100</f>
      </c>
      <c r="AC787" s="15">
        <f>X787+Y787+AB787</f>
      </c>
      <c r="AD787" s="6">
        <f>F787+G787+I787</f>
      </c>
      <c r="AE787" s="3"/>
      <c r="AF787" s="6">
        <f>SUM(AM787:BC787)</f>
      </c>
      <c r="AG787" s="5">
        <f>IF(SUM(AM787:AO787)&gt;0.7*AF787,1,0)</f>
      </c>
      <c r="AH787" s="5">
        <f>IF(AN787&gt;0.4*AF787,1,0)</f>
      </c>
      <c r="AI787" s="5">
        <f>IF(SUM(AP787:AQ787)&gt;0.3*AF787,1,0)</f>
      </c>
      <c r="AJ787" s="5">
        <f>IF(AQ787&gt;0.2*AF787,1,0)</f>
      </c>
      <c r="AK787" s="5">
        <f>IF(SUM(AR787:BC787)&gt;0.3*AF787,1,0)</f>
      </c>
      <c r="AL787" s="3"/>
      <c r="AM787" s="6">
        <f>(F787/100)*AM$41</f>
      </c>
      <c r="AN787" s="6">
        <f>(G787/100)*AN$41</f>
      </c>
      <c r="AO787" s="6">
        <f>(H787/1000000)*AO$41</f>
      </c>
      <c r="AP787" s="6">
        <f>(I787/100)*AP$41</f>
      </c>
      <c r="AQ787" s="6">
        <f>(J787/1000000)*AQ$41</f>
      </c>
      <c r="AR787" s="6">
        <f>(K787/100)*AR$41</f>
      </c>
      <c r="AS787" s="6">
        <f>(L787/100)*AS$41</f>
      </c>
      <c r="AT787" s="6">
        <f>(M787/100)*AT$41</f>
      </c>
      <c r="AU787" s="6">
        <f>(N787/100)*AU$41</f>
      </c>
      <c r="AV787" s="6">
        <f>(O787/1000000)*AV$41</f>
      </c>
      <c r="AW787" s="6">
        <f>(P787/100)*AW$41</f>
      </c>
      <c r="AX787" s="6">
        <f>(Q787/100)*AX$41</f>
      </c>
      <c r="AY787" s="6">
        <f>(R787/100)*AY$41</f>
      </c>
      <c r="AZ787" s="6">
        <f>(S787/100)*AZ$41</f>
      </c>
      <c r="BA787" s="6">
        <f>(T787/100)*BA$41</f>
      </c>
      <c r="BB787" s="6">
        <f>(U787/100)*BB$41</f>
      </c>
      <c r="BC787" s="6"/>
      <c r="BD787" s="3"/>
      <c r="BE787" s="3"/>
      <c r="BF787" s="7">
        <f>AF787*E787</f>
      </c>
      <c r="BG787" s="6"/>
      <c r="BH787" s="3"/>
      <c r="BI787" s="6"/>
    </row>
    <row x14ac:dyDescent="0.25" r="788" customHeight="1" ht="12.75">
      <c r="A788" s="5" t="s">
        <v>650</v>
      </c>
      <c r="B788" s="3" t="s">
        <v>855</v>
      </c>
      <c r="C788" s="43" t="s">
        <v>870</v>
      </c>
      <c r="D788" s="34"/>
      <c r="E788" s="23">
        <v>0.066625</v>
      </c>
      <c r="F788" s="6"/>
      <c r="G788" s="6">
        <v>5.71</v>
      </c>
      <c r="H788" s="6">
        <v>19.22</v>
      </c>
      <c r="I788" s="6">
        <v>0.18</v>
      </c>
      <c r="J788" s="6">
        <v>1.05</v>
      </c>
      <c r="K788" s="7"/>
      <c r="L788" s="6"/>
      <c r="M788" s="6"/>
      <c r="N788" s="23"/>
      <c r="O788" s="5"/>
      <c r="P788" s="6"/>
      <c r="Q788" s="6"/>
      <c r="R788" s="6"/>
      <c r="S788" s="6"/>
      <c r="T788" s="6"/>
      <c r="U788" s="6"/>
      <c r="V788" s="5"/>
      <c r="W788" s="6"/>
      <c r="X788" s="6">
        <f>E788*F788/100</f>
      </c>
      <c r="Y788" s="6">
        <f>E788*G788/100</f>
      </c>
      <c r="Z788" s="7">
        <f>E788*H788</f>
      </c>
      <c r="AA788" s="7">
        <f>E788*J788</f>
      </c>
      <c r="AB788" s="6">
        <f>E788*I788/100</f>
      </c>
      <c r="AC788" s="15">
        <f>X788+Y788+AB788</f>
      </c>
      <c r="AD788" s="6">
        <f>F788+G788+I788</f>
      </c>
      <c r="AE788" s="3"/>
      <c r="AF788" s="6">
        <f>SUM(AM788:BC788)</f>
      </c>
      <c r="AG788" s="5">
        <f>IF(SUM(AM788:AO788)&gt;0.7*AF788,1,0)</f>
      </c>
      <c r="AH788" s="5">
        <f>IF(AN788&gt;0.4*AF788,1,0)</f>
      </c>
      <c r="AI788" s="5">
        <f>IF(SUM(AP788:AQ788)&gt;0.3*AF788,1,0)</f>
      </c>
      <c r="AJ788" s="5">
        <f>IF(AQ788&gt;0.2*AF788,1,0)</f>
      </c>
      <c r="AK788" s="5">
        <f>IF(SUM(AR788:BC788)&gt;0.3*AF788,1,0)</f>
      </c>
      <c r="AL788" s="3"/>
      <c r="AM788" s="6">
        <f>(F788/100)*AM$41</f>
      </c>
      <c r="AN788" s="6">
        <f>(G788/100)*AN$41</f>
      </c>
      <c r="AO788" s="6">
        <f>(H788/1000000)*AO$41</f>
      </c>
      <c r="AP788" s="6">
        <f>(I788/100)*AP$41</f>
      </c>
      <c r="AQ788" s="6">
        <f>(J788/1000000)*AQ$41</f>
      </c>
      <c r="AR788" s="6">
        <f>(K788/100)*AR$41</f>
      </c>
      <c r="AS788" s="6">
        <f>(L788/100)*AS$41</f>
      </c>
      <c r="AT788" s="6">
        <f>(M788/100)*AT$41</f>
      </c>
      <c r="AU788" s="6">
        <f>(N788/100)*AU$41</f>
      </c>
      <c r="AV788" s="6">
        <f>(O788/1000000)*AV$41</f>
      </c>
      <c r="AW788" s="6">
        <f>(P788/100)*AW$41</f>
      </c>
      <c r="AX788" s="6">
        <f>(Q788/100)*AX$41</f>
      </c>
      <c r="AY788" s="6">
        <f>(R788/100)*AY$41</f>
      </c>
      <c r="AZ788" s="6">
        <f>(S788/100)*AZ$41</f>
      </c>
      <c r="BA788" s="6">
        <f>(T788/100)*BA$41</f>
      </c>
      <c r="BB788" s="6">
        <f>(U788/100)*BB$41</f>
      </c>
      <c r="BC788" s="6"/>
      <c r="BD788" s="3"/>
      <c r="BE788" s="3"/>
      <c r="BF788" s="7">
        <f>AF788*E788</f>
      </c>
      <c r="BG788" s="6"/>
      <c r="BH788" s="3"/>
      <c r="BI788" s="6"/>
    </row>
    <row x14ac:dyDescent="0.25" r="789" customHeight="1" ht="12.75">
      <c r="A789" s="5" t="s">
        <v>680</v>
      </c>
      <c r="B789" s="3" t="s">
        <v>855</v>
      </c>
      <c r="C789" s="43" t="s">
        <v>870</v>
      </c>
      <c r="D789" s="34"/>
      <c r="E789" s="23">
        <v>0.056719</v>
      </c>
      <c r="F789" s="6">
        <v>1.22</v>
      </c>
      <c r="G789" s="6">
        <v>4.41</v>
      </c>
      <c r="H789" s="6">
        <v>32.7</v>
      </c>
      <c r="I789" s="6"/>
      <c r="J789" s="6"/>
      <c r="K789" s="7"/>
      <c r="L789" s="6"/>
      <c r="M789" s="6"/>
      <c r="N789" s="23"/>
      <c r="O789" s="5"/>
      <c r="P789" s="6"/>
      <c r="Q789" s="6"/>
      <c r="R789" s="6"/>
      <c r="S789" s="6"/>
      <c r="T789" s="6"/>
      <c r="U789" s="6"/>
      <c r="V789" s="5"/>
      <c r="W789" s="6"/>
      <c r="X789" s="6">
        <f>E789*F789/100</f>
      </c>
      <c r="Y789" s="6">
        <f>E789*G789/100</f>
      </c>
      <c r="Z789" s="7">
        <f>E789*H789</f>
      </c>
      <c r="AA789" s="7">
        <f>E789*J789</f>
      </c>
      <c r="AB789" s="6">
        <f>E789*I789/100</f>
      </c>
      <c r="AC789" s="15">
        <f>X789+Y789+AB789</f>
      </c>
      <c r="AD789" s="6">
        <f>F789+G789+I789</f>
      </c>
      <c r="AE789" s="3"/>
      <c r="AF789" s="6">
        <f>SUM(AM789:BC789)</f>
      </c>
      <c r="AG789" s="5">
        <f>IF(SUM(AM789:AO789)&gt;0.7*AF789,1,0)</f>
      </c>
      <c r="AH789" s="5">
        <f>IF(AN789&gt;0.4*AF789,1,0)</f>
      </c>
      <c r="AI789" s="5">
        <f>IF(SUM(AP789:AQ789)&gt;0.3*AF789,1,0)</f>
      </c>
      <c r="AJ789" s="5">
        <f>IF(AQ789&gt;0.2*AF789,1,0)</f>
      </c>
      <c r="AK789" s="5">
        <f>IF(SUM(AR789:BC789)&gt;0.3*AF789,1,0)</f>
      </c>
      <c r="AL789" s="3"/>
      <c r="AM789" s="6">
        <f>(F789/100)*AM$41</f>
      </c>
      <c r="AN789" s="6">
        <f>(G789/100)*AN$41</f>
      </c>
      <c r="AO789" s="6">
        <f>(H789/1000000)*AO$41</f>
      </c>
      <c r="AP789" s="6">
        <f>(I789/100)*AP$41</f>
      </c>
      <c r="AQ789" s="6">
        <f>(J789/1000000)*AQ$41</f>
      </c>
      <c r="AR789" s="6">
        <f>(K789/100)*AR$41</f>
      </c>
      <c r="AS789" s="6">
        <f>(L789/100)*AS$41</f>
      </c>
      <c r="AT789" s="6">
        <f>(M789/100)*AT$41</f>
      </c>
      <c r="AU789" s="6">
        <f>(N789/100)*AU$41</f>
      </c>
      <c r="AV789" s="6">
        <f>(O789/1000000)*AV$41</f>
      </c>
      <c r="AW789" s="6">
        <f>(P789/100)*AW$41</f>
      </c>
      <c r="AX789" s="6">
        <f>(Q789/100)*AX$41</f>
      </c>
      <c r="AY789" s="6">
        <f>(R789/100)*AY$41</f>
      </c>
      <c r="AZ789" s="6">
        <f>(S789/100)*AZ$41</f>
      </c>
      <c r="BA789" s="6">
        <f>(T789/100)*BA$41</f>
      </c>
      <c r="BB789" s="6">
        <f>(U789/100)*BB$41</f>
      </c>
      <c r="BC789" s="6"/>
      <c r="BD789" s="3"/>
      <c r="BE789" s="3"/>
      <c r="BF789" s="7">
        <f>AF789*E789</f>
      </c>
      <c r="BG789" s="6"/>
      <c r="BH789" s="3"/>
      <c r="BI789" s="6"/>
    </row>
    <row x14ac:dyDescent="0.25" r="790" customHeight="1" ht="12.75">
      <c r="A790" s="5" t="s">
        <v>86</v>
      </c>
      <c r="B790" s="3" t="s">
        <v>855</v>
      </c>
      <c r="C790" s="43" t="s">
        <v>1081</v>
      </c>
      <c r="D790" s="34"/>
      <c r="E790" s="6">
        <v>91.807</v>
      </c>
      <c r="F790" s="6">
        <v>0.87</v>
      </c>
      <c r="G790" s="6">
        <v>3.64</v>
      </c>
      <c r="H790" s="6">
        <v>55.49</v>
      </c>
      <c r="I790" s="6">
        <v>1.86</v>
      </c>
      <c r="J790" s="6">
        <v>0.87</v>
      </c>
      <c r="K790" s="7"/>
      <c r="L790" s="6"/>
      <c r="M790" s="6"/>
      <c r="N790" s="23"/>
      <c r="O790" s="5"/>
      <c r="P790" s="6"/>
      <c r="Q790" s="6"/>
      <c r="R790" s="6"/>
      <c r="S790" s="6"/>
      <c r="T790" s="6"/>
      <c r="U790" s="6"/>
      <c r="V790" s="5"/>
      <c r="W790" s="6"/>
      <c r="X790" s="6">
        <f>E790*F790/100</f>
      </c>
      <c r="Y790" s="6">
        <f>E790*G790/100</f>
      </c>
      <c r="Z790" s="7">
        <f>E790*H790</f>
      </c>
      <c r="AA790" s="7">
        <f>E790*J790</f>
      </c>
      <c r="AB790" s="6">
        <f>E790*I790/100</f>
      </c>
      <c r="AC790" s="15">
        <f>X790+Y790+AB790</f>
      </c>
      <c r="AD790" s="6">
        <f>F790+G790+I790</f>
      </c>
      <c r="AE790" s="3"/>
      <c r="AF790" s="6">
        <f>SUM(AM790:BC790)</f>
      </c>
      <c r="AG790" s="5">
        <f>IF(SUM(AM790:AO790)&gt;0.7*AF790,1,0)</f>
      </c>
      <c r="AH790" s="5">
        <f>IF(AN790&gt;0.4*AF790,1,0)</f>
      </c>
      <c r="AI790" s="5">
        <f>IF(SUM(AP790:AQ790)&gt;0.3*AF790,1,0)</f>
      </c>
      <c r="AJ790" s="5">
        <f>IF(AQ790&gt;0.2*AF790,1,0)</f>
      </c>
      <c r="AK790" s="5">
        <f>IF(SUM(AR790:BC790)&gt;0.3*AF790,1,0)</f>
      </c>
      <c r="AL790" s="3"/>
      <c r="AM790" s="6">
        <f>(F790/100)*AM$41</f>
      </c>
      <c r="AN790" s="6">
        <f>(G790/100)*AN$41</f>
      </c>
      <c r="AO790" s="6">
        <f>(H790/1000000)*AO$41</f>
      </c>
      <c r="AP790" s="6">
        <f>(I790/100)*AP$41</f>
      </c>
      <c r="AQ790" s="6">
        <f>(J790/1000000)*AQ$41</f>
      </c>
      <c r="AR790" s="6">
        <f>(K790/100)*AR$41</f>
      </c>
      <c r="AS790" s="6">
        <f>(L790/100)*AS$41</f>
      </c>
      <c r="AT790" s="6">
        <f>(M790/100)*AT$41</f>
      </c>
      <c r="AU790" s="6">
        <f>(N790/100)*AU$41</f>
      </c>
      <c r="AV790" s="6">
        <f>(O790/1000000)*AV$41</f>
      </c>
      <c r="AW790" s="6">
        <f>(P790/100)*AW$41</f>
      </c>
      <c r="AX790" s="6">
        <f>(Q790/100)*AX$41</f>
      </c>
      <c r="AY790" s="6">
        <f>(R790/100)*AY$41</f>
      </c>
      <c r="AZ790" s="6">
        <f>(S790/100)*AZ$41</f>
      </c>
      <c r="BA790" s="6">
        <f>(T790/100)*BA$41</f>
      </c>
      <c r="BB790" s="6">
        <f>(U790/100)*BB$41</f>
      </c>
      <c r="BC790" s="6"/>
      <c r="BD790" s="3"/>
      <c r="BE790" s="3"/>
      <c r="BF790" s="7">
        <f>AF790*E790</f>
      </c>
      <c r="BG790" s="6"/>
      <c r="BH790" s="3"/>
      <c r="BI790" s="6"/>
    </row>
    <row x14ac:dyDescent="0.25" r="791" customHeight="1" ht="12.75">
      <c r="A791" s="5" t="s">
        <v>182</v>
      </c>
      <c r="B791" s="3" t="s">
        <v>855</v>
      </c>
      <c r="C791" s="43" t="s">
        <v>1081</v>
      </c>
      <c r="D791" s="34"/>
      <c r="E791" s="6">
        <v>5.16</v>
      </c>
      <c r="F791" s="6">
        <v>3.3477131782945735</v>
      </c>
      <c r="G791" s="6">
        <v>8.501162790697673</v>
      </c>
      <c r="H791" s="7">
        <v>74.84341085271318</v>
      </c>
      <c r="I791" s="6">
        <v>1.1154263565891473</v>
      </c>
      <c r="J791" s="7">
        <v>1.5158914728682171</v>
      </c>
      <c r="K791" s="7"/>
      <c r="L791" s="6"/>
      <c r="M791" s="6"/>
      <c r="N791" s="23"/>
      <c r="O791" s="5"/>
      <c r="P791" s="6"/>
      <c r="Q791" s="6"/>
      <c r="R791" s="6"/>
      <c r="S791" s="6"/>
      <c r="T791" s="6"/>
      <c r="U791" s="6"/>
      <c r="V791" s="5"/>
      <c r="W791" s="6"/>
      <c r="X791" s="6">
        <f>E791*F791/100</f>
      </c>
      <c r="Y791" s="6">
        <f>E791*G791/100</f>
      </c>
      <c r="Z791" s="7">
        <f>E791*H791</f>
      </c>
      <c r="AA791" s="7">
        <f>E791*J791</f>
      </c>
      <c r="AB791" s="6">
        <f>E791*I791/100</f>
      </c>
      <c r="AC791" s="15">
        <f>X791+Y791+AB791</f>
      </c>
      <c r="AD791" s="6">
        <f>F791+G791+I791</f>
      </c>
      <c r="AE791" s="3"/>
      <c r="AF791" s="6">
        <f>SUM(AM791:BC791)</f>
      </c>
      <c r="AG791" s="5">
        <f>IF(SUM(AM791:AO791)&gt;0.7*AF791,1,0)</f>
      </c>
      <c r="AH791" s="5">
        <f>IF(AN791&gt;0.4*AF791,1,0)</f>
      </c>
      <c r="AI791" s="5">
        <f>IF(SUM(AP791:AQ791)&gt;0.3*AF791,1,0)</f>
      </c>
      <c r="AJ791" s="5">
        <f>IF(AQ791&gt;0.2*AF791,1,0)</f>
      </c>
      <c r="AK791" s="5">
        <f>IF(SUM(AR791:BC791)&gt;0.3*AF791,1,0)</f>
      </c>
      <c r="AL791" s="3"/>
      <c r="AM791" s="6">
        <f>(F791/100)*AM$41</f>
      </c>
      <c r="AN791" s="6">
        <f>(G791/100)*AN$41</f>
      </c>
      <c r="AO791" s="6">
        <f>(H791/1000000)*AO$41</f>
      </c>
      <c r="AP791" s="6">
        <f>(I791/100)*AP$41</f>
      </c>
      <c r="AQ791" s="6">
        <f>(J791/1000000)*AQ$41</f>
      </c>
      <c r="AR791" s="6">
        <f>(K791/100)*AR$41</f>
      </c>
      <c r="AS791" s="6">
        <f>(L791/100)*AS$41</f>
      </c>
      <c r="AT791" s="6">
        <f>(M791/100)*AT$41</f>
      </c>
      <c r="AU791" s="6">
        <f>(N791/100)*AU$41</f>
      </c>
      <c r="AV791" s="6">
        <f>(O791/1000000)*AV$41</f>
      </c>
      <c r="AW791" s="6">
        <f>(P791/100)*AW$41</f>
      </c>
      <c r="AX791" s="6">
        <f>(Q791/100)*AX$41</f>
      </c>
      <c r="AY791" s="6">
        <f>(R791/100)*AY$41</f>
      </c>
      <c r="AZ791" s="6">
        <f>(S791/100)*AZ$41</f>
      </c>
      <c r="BA791" s="6">
        <f>(T791/100)*BA$41</f>
      </c>
      <c r="BB791" s="6">
        <f>(U791/100)*BB$41</f>
      </c>
      <c r="BC791" s="6"/>
      <c r="BD791" s="3"/>
      <c r="BE791" s="3"/>
      <c r="BF791" s="7">
        <f>AF791*E791</f>
      </c>
      <c r="BG791" s="6"/>
      <c r="BH791" s="3"/>
      <c r="BI791" s="6"/>
    </row>
    <row x14ac:dyDescent="0.25" r="792" customHeight="1" ht="12.75">
      <c r="A792" s="5" t="s">
        <v>408</v>
      </c>
      <c r="B792" s="3" t="s">
        <v>855</v>
      </c>
      <c r="C792" s="43" t="s">
        <v>1081</v>
      </c>
      <c r="D792" s="34"/>
      <c r="E792" s="6">
        <v>4.1</v>
      </c>
      <c r="F792" s="6">
        <v>2.0919512195121954</v>
      </c>
      <c r="G792" s="6">
        <v>4.99439024390244</v>
      </c>
      <c r="H792" s="7">
        <v>203.02439024390247</v>
      </c>
      <c r="I792" s="6"/>
      <c r="J792" s="7">
        <v>0.573170731707317</v>
      </c>
      <c r="K792" s="7"/>
      <c r="L792" s="6"/>
      <c r="M792" s="6"/>
      <c r="N792" s="23"/>
      <c r="O792" s="5"/>
      <c r="P792" s="6"/>
      <c r="Q792" s="6"/>
      <c r="R792" s="6"/>
      <c r="S792" s="6"/>
      <c r="T792" s="6"/>
      <c r="U792" s="6"/>
      <c r="V792" s="5"/>
      <c r="W792" s="6"/>
      <c r="X792" s="6">
        <f>E792*F792/100</f>
      </c>
      <c r="Y792" s="6">
        <f>E792*G792/100</f>
      </c>
      <c r="Z792" s="7">
        <f>E792*H792</f>
      </c>
      <c r="AA792" s="7">
        <f>E792*J792</f>
      </c>
      <c r="AB792" s="6">
        <f>E792*I792/100</f>
      </c>
      <c r="AC792" s="15">
        <f>X792+Y792+AB792</f>
      </c>
      <c r="AD792" s="6">
        <f>F792+G792+I792</f>
      </c>
      <c r="AE792" s="3"/>
      <c r="AF792" s="6">
        <f>SUM(AM792:BC792)</f>
      </c>
      <c r="AG792" s="5">
        <f>IF(SUM(AM792:AO792)&gt;0.7*AF792,1,0)</f>
      </c>
      <c r="AH792" s="5">
        <f>IF(AN792&gt;0.4*AF792,1,0)</f>
      </c>
      <c r="AI792" s="5">
        <f>IF(SUM(AP792:AQ792)&gt;0.3*AF792,1,0)</f>
      </c>
      <c r="AJ792" s="5">
        <f>IF(AQ792&gt;0.2*AF792,1,0)</f>
      </c>
      <c r="AK792" s="5">
        <f>IF(SUM(AR792:BC792)&gt;0.3*AF792,1,0)</f>
      </c>
      <c r="AL792" s="3"/>
      <c r="AM792" s="6">
        <f>(F792/100)*AM$41</f>
      </c>
      <c r="AN792" s="6">
        <f>(G792/100)*AN$41</f>
      </c>
      <c r="AO792" s="6">
        <f>(H792/1000000)*AO$41</f>
      </c>
      <c r="AP792" s="6">
        <f>(I792/100)*AP$41</f>
      </c>
      <c r="AQ792" s="6">
        <f>(J792/1000000)*AQ$41</f>
      </c>
      <c r="AR792" s="6">
        <f>(K792/100)*AR$41</f>
      </c>
      <c r="AS792" s="6">
        <f>(L792/100)*AS$41</f>
      </c>
      <c r="AT792" s="6">
        <f>(M792/100)*AT$41</f>
      </c>
      <c r="AU792" s="6">
        <f>(N792/100)*AU$41</f>
      </c>
      <c r="AV792" s="6">
        <f>(O792/1000000)*AV$41</f>
      </c>
      <c r="AW792" s="6">
        <f>(P792/100)*AW$41</f>
      </c>
      <c r="AX792" s="6">
        <f>(Q792/100)*AX$41</f>
      </c>
      <c r="AY792" s="6">
        <f>(R792/100)*AY$41</f>
      </c>
      <c r="AZ792" s="6">
        <f>(S792/100)*AZ$41</f>
      </c>
      <c r="BA792" s="6">
        <f>(T792/100)*BA$41</f>
      </c>
      <c r="BB792" s="6">
        <f>(U792/100)*BB$41</f>
      </c>
      <c r="BC792" s="6"/>
      <c r="BD792" s="3"/>
      <c r="BE792" s="3"/>
      <c r="BF792" s="7">
        <f>AF792*E792</f>
      </c>
      <c r="BG792" s="6"/>
      <c r="BH792" s="3"/>
      <c r="BI792" s="6"/>
    </row>
    <row x14ac:dyDescent="0.25" r="793" customHeight="1" ht="12.75">
      <c r="A793" s="5" t="s">
        <v>135</v>
      </c>
      <c r="B793" s="3" t="s">
        <v>855</v>
      </c>
      <c r="C793" s="43" t="s">
        <v>1081</v>
      </c>
      <c r="D793" s="34"/>
      <c r="E793" s="6">
        <v>3.01</v>
      </c>
      <c r="F793" s="6">
        <v>1.3962126245847177</v>
      </c>
      <c r="G793" s="6">
        <v>2.7582392026578075</v>
      </c>
      <c r="H793" s="31">
        <v>118.08637873754154</v>
      </c>
      <c r="I793" s="7">
        <v>0.4414950166112957</v>
      </c>
      <c r="J793" s="7">
        <v>7.946843853820598</v>
      </c>
      <c r="K793" s="7"/>
      <c r="L793" s="6"/>
      <c r="M793" s="6"/>
      <c r="N793" s="23"/>
      <c r="O793" s="5"/>
      <c r="P793" s="6"/>
      <c r="Q793" s="6"/>
      <c r="R793" s="6"/>
      <c r="S793" s="6"/>
      <c r="T793" s="6"/>
      <c r="U793" s="6"/>
      <c r="V793" s="5"/>
      <c r="W793" s="6"/>
      <c r="X793" s="6">
        <f>E793*F793/100</f>
      </c>
      <c r="Y793" s="6">
        <f>E793*G793/100</f>
      </c>
      <c r="Z793" s="7">
        <f>E793*H793</f>
      </c>
      <c r="AA793" s="7">
        <f>E793*J793</f>
      </c>
      <c r="AB793" s="6">
        <f>E793*I793/100</f>
      </c>
      <c r="AC793" s="15">
        <f>X793+Y793+AB793</f>
      </c>
      <c r="AD793" s="6">
        <f>F793+G793+I793</f>
      </c>
      <c r="AE793" s="3"/>
      <c r="AF793" s="6">
        <f>SUM(AM793:BC793)</f>
      </c>
      <c r="AG793" s="5">
        <f>IF(SUM(AM793:AO793)&gt;0.7*AF793,1,0)</f>
      </c>
      <c r="AH793" s="5">
        <f>IF(AN793&gt;0.4*AF793,1,0)</f>
      </c>
      <c r="AI793" s="5">
        <f>IF(SUM(AP793:AQ793)&gt;0.3*AF793,1,0)</f>
      </c>
      <c r="AJ793" s="5">
        <f>IF(AQ793&gt;0.2*AF793,1,0)</f>
      </c>
      <c r="AK793" s="5">
        <f>IF(SUM(AR793:BC793)&gt;0.3*AF793,1,0)</f>
      </c>
      <c r="AL793" s="3"/>
      <c r="AM793" s="6">
        <f>(F793/100)*AM$41</f>
      </c>
      <c r="AN793" s="6">
        <f>(G793/100)*AN$41</f>
      </c>
      <c r="AO793" s="6">
        <f>(H793/1000000)*AO$41</f>
      </c>
      <c r="AP793" s="6">
        <f>(I793/100)*AP$41</f>
      </c>
      <c r="AQ793" s="6">
        <f>(J793/1000000)*AQ$41</f>
      </c>
      <c r="AR793" s="6">
        <f>(K793/100)*AR$41</f>
      </c>
      <c r="AS793" s="6">
        <f>(L793/100)*AS$41</f>
      </c>
      <c r="AT793" s="6">
        <f>(M793/100)*AT$41</f>
      </c>
      <c r="AU793" s="6">
        <f>(N793/100)*AU$41</f>
      </c>
      <c r="AV793" s="6">
        <f>(O793/1000000)*AV$41</f>
      </c>
      <c r="AW793" s="6">
        <f>(P793/100)*AW$41</f>
      </c>
      <c r="AX793" s="6">
        <f>(Q793/100)*AX$41</f>
      </c>
      <c r="AY793" s="6">
        <f>(R793/100)*AY$41</f>
      </c>
      <c r="AZ793" s="6">
        <f>(S793/100)*AZ$41</f>
      </c>
      <c r="BA793" s="6">
        <f>(T793/100)*BA$41</f>
      </c>
      <c r="BB793" s="6">
        <f>(U793/100)*BB$41</f>
      </c>
      <c r="BC793" s="6"/>
      <c r="BD793" s="3"/>
      <c r="BE793" s="3"/>
      <c r="BF793" s="7">
        <f>AF793*E793</f>
      </c>
      <c r="BG793" s="6"/>
      <c r="BH793" s="3"/>
      <c r="BI793" s="6"/>
    </row>
    <row x14ac:dyDescent="0.25" r="794" customHeight="1" ht="12.75">
      <c r="A794" s="5" t="s">
        <v>482</v>
      </c>
      <c r="B794" s="3" t="s">
        <v>855</v>
      </c>
      <c r="C794" s="43" t="s">
        <v>1030</v>
      </c>
      <c r="D794" s="34" t="s">
        <v>935</v>
      </c>
      <c r="E794" s="6">
        <v>12.61</v>
      </c>
      <c r="F794" s="7">
        <v>0.3011895321173672</v>
      </c>
      <c r="G794" s="7">
        <v>5.152260111022998</v>
      </c>
      <c r="H794" s="31">
        <v>38.478191911181604</v>
      </c>
      <c r="I794" s="7">
        <v>0.684932593180016</v>
      </c>
      <c r="J794" s="7">
        <v>0.6841395717684379</v>
      </c>
      <c r="K794" s="7"/>
      <c r="L794" s="6"/>
      <c r="M794" s="6"/>
      <c r="N794" s="23"/>
      <c r="O794" s="5"/>
      <c r="P794" s="6"/>
      <c r="Q794" s="6"/>
      <c r="R794" s="6"/>
      <c r="S794" s="6"/>
      <c r="T794" s="6"/>
      <c r="U794" s="6"/>
      <c r="V794" s="5"/>
      <c r="W794" s="6"/>
      <c r="X794" s="6">
        <f>E794*F794/100</f>
      </c>
      <c r="Y794" s="6">
        <f>E794*G794/100</f>
      </c>
      <c r="Z794" s="7">
        <f>E794*H794</f>
      </c>
      <c r="AA794" s="7">
        <f>E794*J794</f>
      </c>
      <c r="AB794" s="6">
        <f>E794*I794/100</f>
      </c>
      <c r="AC794" s="15">
        <f>X794+Y794+AB794</f>
      </c>
      <c r="AD794" s="6">
        <f>F794+G794+I794</f>
      </c>
      <c r="AE794" s="3"/>
      <c r="AF794" s="6">
        <f>SUM(AM794:BC794)</f>
      </c>
      <c r="AG794" s="5">
        <f>IF(SUM(AM794:AO794)&gt;0.7*AF794,1,0)</f>
      </c>
      <c r="AH794" s="5">
        <f>IF(AN794&gt;0.4*AF794,1,0)</f>
      </c>
      <c r="AI794" s="5">
        <f>IF(SUM(AP794:AQ794)&gt;0.3*AF794,1,0)</f>
      </c>
      <c r="AJ794" s="5">
        <f>IF(AQ794&gt;0.2*AF794,1,0)</f>
      </c>
      <c r="AK794" s="5">
        <f>IF(SUM(AR794:BC794)&gt;0.3*AF794,1,0)</f>
      </c>
      <c r="AL794" s="3"/>
      <c r="AM794" s="6">
        <f>(F794/100)*AM$41</f>
      </c>
      <c r="AN794" s="6">
        <f>(G794/100)*AN$41</f>
      </c>
      <c r="AO794" s="6">
        <f>(H794/1000000)*AO$41</f>
      </c>
      <c r="AP794" s="6">
        <f>(I794/100)*AP$41</f>
      </c>
      <c r="AQ794" s="6">
        <f>(J794/1000000)*AQ$41</f>
      </c>
      <c r="AR794" s="6">
        <f>(K794/100)*AR$41</f>
      </c>
      <c r="AS794" s="6">
        <f>(L794/100)*AS$41</f>
      </c>
      <c r="AT794" s="6">
        <f>(M794/100)*AT$41</f>
      </c>
      <c r="AU794" s="6">
        <f>(N794/100)*AU$41</f>
      </c>
      <c r="AV794" s="6">
        <f>(O794/1000000)*AV$41</f>
      </c>
      <c r="AW794" s="6">
        <f>(P794/100)*AW$41</f>
      </c>
      <c r="AX794" s="6">
        <f>(Q794/100)*AX$41</f>
      </c>
      <c r="AY794" s="6">
        <f>(R794/100)*AY$41</f>
      </c>
      <c r="AZ794" s="6">
        <f>(S794/100)*AZ$41</f>
      </c>
      <c r="BA794" s="6">
        <f>(T794/100)*BA$41</f>
      </c>
      <c r="BB794" s="6">
        <f>(U794/100)*BB$41</f>
      </c>
      <c r="BC794" s="6"/>
      <c r="BD794" s="3"/>
      <c r="BE794" s="3"/>
      <c r="BF794" s="7">
        <f>AF794*E794</f>
      </c>
      <c r="BG794" s="6"/>
      <c r="BH794" s="3"/>
      <c r="BI794" s="6"/>
    </row>
    <row x14ac:dyDescent="0.25" r="795" customHeight="1" ht="12.75">
      <c r="A795" s="5" t="s">
        <v>834</v>
      </c>
      <c r="B795" s="3" t="s">
        <v>855</v>
      </c>
      <c r="C795" s="43" t="s">
        <v>1030</v>
      </c>
      <c r="D795" s="34"/>
      <c r="E795" s="6">
        <v>0.54</v>
      </c>
      <c r="F795" s="6"/>
      <c r="G795" s="6">
        <v>0.4592592592592592</v>
      </c>
      <c r="H795" s="7">
        <v>15.884999999999998</v>
      </c>
      <c r="I795" s="6">
        <v>0.30666666666666664</v>
      </c>
      <c r="J795" s="6">
        <v>1.6372222222222221</v>
      </c>
      <c r="K795" s="7"/>
      <c r="L795" s="6"/>
      <c r="M795" s="6"/>
      <c r="N795" s="23"/>
      <c r="O795" s="5"/>
      <c r="P795" s="6"/>
      <c r="Q795" s="6"/>
      <c r="R795" s="6"/>
      <c r="S795" s="6"/>
      <c r="T795" s="6"/>
      <c r="U795" s="6"/>
      <c r="V795" s="5"/>
      <c r="W795" s="6"/>
      <c r="X795" s="6">
        <f>E795*F795/100</f>
      </c>
      <c r="Y795" s="6">
        <f>E795*G795/100</f>
      </c>
      <c r="Z795" s="7">
        <f>E795*H795</f>
      </c>
      <c r="AA795" s="7">
        <f>E795*J795</f>
      </c>
      <c r="AB795" s="6">
        <f>E795*I795/100</f>
      </c>
      <c r="AC795" s="15">
        <f>X795+Y795+AB795</f>
      </c>
      <c r="AD795" s="6">
        <f>F795+G795+I795</f>
      </c>
      <c r="AE795" s="3"/>
      <c r="AF795" s="6">
        <f>SUM(AM795:BC795)</f>
      </c>
      <c r="AG795" s="5">
        <f>IF(SUM(AM795:AO795)&gt;0.7*AF795,1,0)</f>
      </c>
      <c r="AH795" s="5">
        <f>IF(AN795&gt;0.4*AF795,1,0)</f>
      </c>
      <c r="AI795" s="5">
        <f>IF(SUM(AP795:AQ795)&gt;0.3*AF795,1,0)</f>
      </c>
      <c r="AJ795" s="5">
        <f>IF(AQ795&gt;0.2*AF795,1,0)</f>
      </c>
      <c r="AK795" s="5">
        <f>IF(SUM(AR795:BC795)&gt;0.3*AF795,1,0)</f>
      </c>
      <c r="AL795" s="3"/>
      <c r="AM795" s="6">
        <f>(F795/100)*AM$41</f>
      </c>
      <c r="AN795" s="6">
        <f>(G795/100)*AN$41</f>
      </c>
      <c r="AO795" s="6">
        <f>(H795/1000000)*AO$41</f>
      </c>
      <c r="AP795" s="6">
        <f>(I795/100)*AP$41</f>
      </c>
      <c r="AQ795" s="6">
        <f>(J795/1000000)*AQ$41</f>
      </c>
      <c r="AR795" s="6">
        <f>(K795/100)*AR$41</f>
      </c>
      <c r="AS795" s="6">
        <f>(L795/100)*AS$41</f>
      </c>
      <c r="AT795" s="6">
        <f>(M795/100)*AT$41</f>
      </c>
      <c r="AU795" s="6">
        <f>(N795/100)*AU$41</f>
      </c>
      <c r="AV795" s="6">
        <f>(O795/1000000)*AV$41</f>
      </c>
      <c r="AW795" s="6">
        <f>(P795/100)*AW$41</f>
      </c>
      <c r="AX795" s="6">
        <f>(Q795/100)*AX$41</f>
      </c>
      <c r="AY795" s="6">
        <f>(R795/100)*AY$41</f>
      </c>
      <c r="AZ795" s="6">
        <f>(S795/100)*AZ$41</f>
      </c>
      <c r="BA795" s="6">
        <f>(T795/100)*BA$41</f>
      </c>
      <c r="BB795" s="6">
        <f>(U795/100)*BB$41</f>
      </c>
      <c r="BC795" s="6"/>
      <c r="BD795" s="3"/>
      <c r="BE795" s="3"/>
      <c r="BF795" s="7">
        <f>AF795*E795</f>
      </c>
      <c r="BG795" s="6"/>
      <c r="BH795" s="3"/>
      <c r="BI795" s="6"/>
    </row>
    <row x14ac:dyDescent="0.25" r="796" customHeight="1" ht="12.75">
      <c r="A796" s="5" t="s">
        <v>39</v>
      </c>
      <c r="B796" s="38" t="s">
        <v>859</v>
      </c>
      <c r="C796" s="43" t="s">
        <v>870</v>
      </c>
      <c r="D796" s="34"/>
      <c r="E796" s="5">
        <v>380</v>
      </c>
      <c r="F796" s="6">
        <v>0.06</v>
      </c>
      <c r="G796" s="6">
        <v>0.74</v>
      </c>
      <c r="H796" s="6">
        <v>6.3</v>
      </c>
      <c r="I796" s="6">
        <v>1.57</v>
      </c>
      <c r="J796" s="6">
        <v>0.9</v>
      </c>
      <c r="K796" s="7"/>
      <c r="L796" s="6"/>
      <c r="M796" s="6"/>
      <c r="N796" s="23"/>
      <c r="O796" s="5"/>
      <c r="P796" s="6"/>
      <c r="Q796" s="6"/>
      <c r="R796" s="6"/>
      <c r="S796" s="6"/>
      <c r="T796" s="6"/>
      <c r="U796" s="6"/>
      <c r="V796" s="5"/>
      <c r="W796" s="6"/>
      <c r="X796" s="6">
        <f>E796*F796/100</f>
      </c>
      <c r="Y796" s="6">
        <f>E796*G796/100</f>
      </c>
      <c r="Z796" s="7">
        <f>E796*H796</f>
      </c>
      <c r="AA796" s="7">
        <f>E796*J796</f>
      </c>
      <c r="AB796" s="6">
        <f>E796*I796/100</f>
      </c>
      <c r="AC796" s="15">
        <f>X796+Y796+AB796</f>
      </c>
      <c r="AD796" s="6">
        <f>F796+G796+I796</f>
      </c>
      <c r="AE796" s="3"/>
      <c r="AF796" s="6">
        <f>SUM(AM796:BC796)</f>
      </c>
      <c r="AG796" s="5">
        <f>IF(SUM(AM796:AO796)&gt;0.7*AF796,1,0)</f>
      </c>
      <c r="AH796" s="5">
        <f>IF(AN796&gt;0.4*AF796,1,0)</f>
      </c>
      <c r="AI796" s="5">
        <f>IF(SUM(AP796:AQ796)&gt;0.3*AF796,1,0)</f>
      </c>
      <c r="AJ796" s="5">
        <f>IF(AQ796&gt;0.2*AF796,1,0)</f>
      </c>
      <c r="AK796" s="5">
        <f>IF(SUM(AR796:BC796)&gt;0.3*AF796,1,0)</f>
      </c>
      <c r="AL796" s="3"/>
      <c r="AM796" s="6">
        <f>(F796/100)*AM$41</f>
      </c>
      <c r="AN796" s="6">
        <f>(G796/100)*AN$41</f>
      </c>
      <c r="AO796" s="6">
        <f>(H796/1000000)*AO$41</f>
      </c>
      <c r="AP796" s="6">
        <f>(I796/100)*AP$41</f>
      </c>
      <c r="AQ796" s="6">
        <f>(J796/1000000)*AQ$41</f>
      </c>
      <c r="AR796" s="6">
        <f>(K796/100)*AR$41</f>
      </c>
      <c r="AS796" s="6">
        <f>(L796/100)*AS$41</f>
      </c>
      <c r="AT796" s="6">
        <f>(M796/100)*AT$41</f>
      </c>
      <c r="AU796" s="6">
        <f>(N796/100)*AU$41</f>
      </c>
      <c r="AV796" s="6">
        <f>(O796/1000000)*AV$41</f>
      </c>
      <c r="AW796" s="6">
        <f>(P796/100)*AW$41</f>
      </c>
      <c r="AX796" s="6">
        <f>(Q796/100)*AX$41</f>
      </c>
      <c r="AY796" s="6">
        <f>(R796/100)*AY$41</f>
      </c>
      <c r="AZ796" s="6">
        <f>(S796/100)*AZ$41</f>
      </c>
      <c r="BA796" s="6">
        <f>(T796/100)*BA$41</f>
      </c>
      <c r="BB796" s="6">
        <f>(U796/100)*BB$41</f>
      </c>
      <c r="BC796" s="6"/>
      <c r="BD796" s="3"/>
      <c r="BE796" s="3"/>
      <c r="BF796" s="7">
        <f>AF796*E796</f>
      </c>
      <c r="BG796" s="6"/>
      <c r="BH796" s="3"/>
      <c r="BI796" s="6"/>
    </row>
    <row x14ac:dyDescent="0.25" r="797" customHeight="1" ht="12.75">
      <c r="A797" s="5" t="s">
        <v>100</v>
      </c>
      <c r="B797" s="38" t="s">
        <v>859</v>
      </c>
      <c r="C797" s="43" t="s">
        <v>870</v>
      </c>
      <c r="D797" s="34"/>
      <c r="E797" s="5">
        <v>113</v>
      </c>
      <c r="F797" s="6"/>
      <c r="G797" s="6">
        <v>3.73</v>
      </c>
      <c r="H797" s="5">
        <v>18</v>
      </c>
      <c r="I797" s="6">
        <v>1.08</v>
      </c>
      <c r="J797" s="6">
        <v>1.26</v>
      </c>
      <c r="K797" s="7"/>
      <c r="L797" s="6"/>
      <c r="M797" s="6"/>
      <c r="N797" s="23"/>
      <c r="O797" s="5"/>
      <c r="P797" s="6"/>
      <c r="Q797" s="6"/>
      <c r="R797" s="6"/>
      <c r="S797" s="6"/>
      <c r="T797" s="6"/>
      <c r="U797" s="6"/>
      <c r="V797" s="5"/>
      <c r="W797" s="6"/>
      <c r="X797" s="6">
        <f>E797*F797/100</f>
      </c>
      <c r="Y797" s="6">
        <f>E797*G797/100</f>
      </c>
      <c r="Z797" s="7">
        <f>E797*H797</f>
      </c>
      <c r="AA797" s="7">
        <f>E797*J797</f>
      </c>
      <c r="AB797" s="6">
        <f>E797*I797/100</f>
      </c>
      <c r="AC797" s="15">
        <f>X797+Y797+AB797</f>
      </c>
      <c r="AD797" s="6">
        <f>F797+G797+I797</f>
      </c>
      <c r="AE797" s="3"/>
      <c r="AF797" s="6">
        <f>SUM(AM797:BC797)</f>
      </c>
      <c r="AG797" s="5">
        <f>IF(SUM(AM797:AO797)&gt;0.7*AF797,1,0)</f>
      </c>
      <c r="AH797" s="5">
        <f>IF(AN797&gt;0.4*AF797,1,0)</f>
      </c>
      <c r="AI797" s="5">
        <f>IF(SUM(AP797:AQ797)&gt;0.3*AF797,1,0)</f>
      </c>
      <c r="AJ797" s="5">
        <f>IF(AQ797&gt;0.2*AF797,1,0)</f>
      </c>
      <c r="AK797" s="5">
        <f>IF(SUM(AR797:BC797)&gt;0.3*AF797,1,0)</f>
      </c>
      <c r="AL797" s="3"/>
      <c r="AM797" s="6">
        <f>(F797/100)*AM$41</f>
      </c>
      <c r="AN797" s="6">
        <f>(G797/100)*AN$41</f>
      </c>
      <c r="AO797" s="6">
        <f>(H797/1000000)*AO$41</f>
      </c>
      <c r="AP797" s="6">
        <f>(I797/100)*AP$41</f>
      </c>
      <c r="AQ797" s="6">
        <f>(J797/1000000)*AQ$41</f>
      </c>
      <c r="AR797" s="6">
        <f>(K797/100)*AR$41</f>
      </c>
      <c r="AS797" s="6">
        <f>(L797/100)*AS$41</f>
      </c>
      <c r="AT797" s="6">
        <f>(M797/100)*AT$41</f>
      </c>
      <c r="AU797" s="6">
        <f>(N797/100)*AU$41</f>
      </c>
      <c r="AV797" s="6">
        <f>(O797/1000000)*AV$41</f>
      </c>
      <c r="AW797" s="6">
        <f>(P797/100)*AW$41</f>
      </c>
      <c r="AX797" s="6">
        <f>(Q797/100)*AX$41</f>
      </c>
      <c r="AY797" s="6">
        <f>(R797/100)*AY$41</f>
      </c>
      <c r="AZ797" s="6">
        <f>(S797/100)*AZ$41</f>
      </c>
      <c r="BA797" s="6">
        <f>(T797/100)*BA$41</f>
      </c>
      <c r="BB797" s="6">
        <f>(U797/100)*BB$41</f>
      </c>
      <c r="BC797" s="6"/>
      <c r="BD797" s="3"/>
      <c r="BE797" s="3"/>
      <c r="BF797" s="7">
        <f>AF797*E797</f>
      </c>
      <c r="BG797" s="6"/>
      <c r="BH797" s="3"/>
      <c r="BI797" s="6"/>
    </row>
    <row x14ac:dyDescent="0.25" r="798" customHeight="1" ht="12.75">
      <c r="A798" s="5" t="s">
        <v>161</v>
      </c>
      <c r="B798" s="38" t="s">
        <v>859</v>
      </c>
      <c r="C798" s="43" t="s">
        <v>870</v>
      </c>
      <c r="D798" s="34"/>
      <c r="E798" s="5">
        <v>130</v>
      </c>
      <c r="F798" s="6">
        <v>0.1</v>
      </c>
      <c r="G798" s="6">
        <v>1.5</v>
      </c>
      <c r="H798" s="7"/>
      <c r="I798" s="5">
        <v>1</v>
      </c>
      <c r="J798" s="6"/>
      <c r="K798" s="7"/>
      <c r="L798" s="6"/>
      <c r="M798" s="6"/>
      <c r="N798" s="23"/>
      <c r="O798" s="5"/>
      <c r="P798" s="6"/>
      <c r="Q798" s="6"/>
      <c r="R798" s="6"/>
      <c r="S798" s="6"/>
      <c r="T798" s="6">
        <v>0.07</v>
      </c>
      <c r="U798" s="6"/>
      <c r="V798" s="5"/>
      <c r="W798" s="6"/>
      <c r="X798" s="6">
        <f>E798*F798/100</f>
      </c>
      <c r="Y798" s="6">
        <f>E798*G798/100</f>
      </c>
      <c r="Z798" s="7">
        <f>E798*H798</f>
      </c>
      <c r="AA798" s="7">
        <f>E798*J798</f>
      </c>
      <c r="AB798" s="6">
        <f>E798*I798/100</f>
      </c>
      <c r="AC798" s="15">
        <f>X798+Y798+AB798</f>
      </c>
      <c r="AD798" s="6">
        <f>F798+G798+I798</f>
      </c>
      <c r="AE798" s="3"/>
      <c r="AF798" s="6">
        <f>SUM(AM798:BC798)</f>
      </c>
      <c r="AG798" s="5">
        <f>IF(SUM(AM798:AO798)&gt;0.7*AF798,1,0)</f>
      </c>
      <c r="AH798" s="5">
        <f>IF(AN798&gt;0.4*AF798,1,0)</f>
      </c>
      <c r="AI798" s="5">
        <f>IF(SUM(AP798:AQ798)&gt;0.3*AF798,1,0)</f>
      </c>
      <c r="AJ798" s="5">
        <f>IF(AQ798&gt;0.2*AF798,1,0)</f>
      </c>
      <c r="AK798" s="5">
        <f>IF(SUM(AR798:BC798)&gt;0.3*AF798,1,0)</f>
      </c>
      <c r="AL798" s="3"/>
      <c r="AM798" s="6">
        <f>(F798/100)*AM$41</f>
      </c>
      <c r="AN798" s="6">
        <f>(G798/100)*AN$41</f>
      </c>
      <c r="AO798" s="6">
        <f>(H798/1000000)*AO$41</f>
      </c>
      <c r="AP798" s="6">
        <f>(I798/100)*AP$41</f>
      </c>
      <c r="AQ798" s="6">
        <f>(J798/1000000)*AQ$41</f>
      </c>
      <c r="AR798" s="6">
        <f>(K798/100)*AR$41</f>
      </c>
      <c r="AS798" s="6">
        <f>(L798/100)*AS$41</f>
      </c>
      <c r="AT798" s="6">
        <f>(M798/100)*AT$41</f>
      </c>
      <c r="AU798" s="6">
        <f>(N798/100)*AU$41</f>
      </c>
      <c r="AV798" s="6">
        <f>(O798/1000000)*AV$41</f>
      </c>
      <c r="AW798" s="6">
        <f>(P798/100)*AW$41</f>
      </c>
      <c r="AX798" s="6">
        <f>(Q798/100)*AX$41</f>
      </c>
      <c r="AY798" s="6">
        <f>(R798/100)*AY$41</f>
      </c>
      <c r="AZ798" s="6">
        <f>(S798/100)*AZ$41</f>
      </c>
      <c r="BA798" s="6">
        <f>(T798/100)*BA$41</f>
      </c>
      <c r="BB798" s="6">
        <f>(U798/100)*BB$41</f>
      </c>
      <c r="BC798" s="6"/>
      <c r="BD798" s="3"/>
      <c r="BE798" s="3"/>
      <c r="BF798" s="7">
        <f>AF798*E798</f>
      </c>
      <c r="BG798" s="6"/>
      <c r="BH798" s="3"/>
      <c r="BI798" s="6"/>
    </row>
    <row x14ac:dyDescent="0.25" r="799" customHeight="1" ht="12.75">
      <c r="A799" s="5" t="s">
        <v>212</v>
      </c>
      <c r="B799" s="38" t="s">
        <v>859</v>
      </c>
      <c r="C799" s="43" t="s">
        <v>870</v>
      </c>
      <c r="D799" s="34" t="s">
        <v>1031</v>
      </c>
      <c r="E799" s="6">
        <v>89.5</v>
      </c>
      <c r="F799" s="6"/>
      <c r="G799" s="6">
        <v>2.06</v>
      </c>
      <c r="H799" s="6">
        <v>38.4</v>
      </c>
      <c r="I799" s="6">
        <v>0.45</v>
      </c>
      <c r="J799" s="6"/>
      <c r="K799" s="7"/>
      <c r="L799" s="6"/>
      <c r="M799" s="6"/>
      <c r="N799" s="23"/>
      <c r="O799" s="5"/>
      <c r="P799" s="6"/>
      <c r="Q799" s="6"/>
      <c r="R799" s="6"/>
      <c r="S799" s="6"/>
      <c r="T799" s="6"/>
      <c r="U799" s="6"/>
      <c r="V799" s="5"/>
      <c r="W799" s="6"/>
      <c r="X799" s="6">
        <f>E799*F799/100</f>
      </c>
      <c r="Y799" s="6">
        <f>E799*G799/100</f>
      </c>
      <c r="Z799" s="7">
        <f>E799*H799</f>
      </c>
      <c r="AA799" s="7">
        <f>E799*J799</f>
      </c>
      <c r="AB799" s="6">
        <f>E799*I799/100</f>
      </c>
      <c r="AC799" s="15">
        <f>X799+Y799+AB799</f>
      </c>
      <c r="AD799" s="6">
        <f>F799+G799+I799</f>
      </c>
      <c r="AE799" s="3"/>
      <c r="AF799" s="6">
        <f>SUM(AM799:BC799)</f>
      </c>
      <c r="AG799" s="5">
        <f>IF(SUM(AM799:AO799)&gt;0.7*AF799,1,0)</f>
      </c>
      <c r="AH799" s="5">
        <f>IF(AN799&gt;0.4*AF799,1,0)</f>
      </c>
      <c r="AI799" s="5">
        <f>IF(SUM(AP799:AQ799)&gt;0.3*AF799,1,0)</f>
      </c>
      <c r="AJ799" s="5">
        <f>IF(AQ799&gt;0.2*AF799,1,0)</f>
      </c>
      <c r="AK799" s="5">
        <f>IF(SUM(AR799:BC799)&gt;0.3*AF799,1,0)</f>
      </c>
      <c r="AL799" s="3"/>
      <c r="AM799" s="6">
        <f>(F799/100)*AM$41</f>
      </c>
      <c r="AN799" s="6">
        <f>(G799/100)*AN$41</f>
      </c>
      <c r="AO799" s="6">
        <f>(H799/1000000)*AO$41</f>
      </c>
      <c r="AP799" s="6">
        <f>(I799/100)*AP$41</f>
      </c>
      <c r="AQ799" s="6">
        <f>(J799/1000000)*AQ$41</f>
      </c>
      <c r="AR799" s="6">
        <f>(K799/100)*AR$41</f>
      </c>
      <c r="AS799" s="6">
        <f>(L799/100)*AS$41</f>
      </c>
      <c r="AT799" s="6">
        <f>(M799/100)*AT$41</f>
      </c>
      <c r="AU799" s="6">
        <f>(N799/100)*AU$41</f>
      </c>
      <c r="AV799" s="6">
        <f>(O799/1000000)*AV$41</f>
      </c>
      <c r="AW799" s="6">
        <f>(P799/100)*AW$41</f>
      </c>
      <c r="AX799" s="6">
        <f>(Q799/100)*AX$41</f>
      </c>
      <c r="AY799" s="6">
        <f>(R799/100)*AY$41</f>
      </c>
      <c r="AZ799" s="6">
        <f>(S799/100)*AZ$41</f>
      </c>
      <c r="BA799" s="6">
        <f>(T799/100)*BA$41</f>
      </c>
      <c r="BB799" s="6">
        <f>(U799/100)*BB$41</f>
      </c>
      <c r="BC799" s="6"/>
      <c r="BD799" s="3"/>
      <c r="BE799" s="3"/>
      <c r="BF799" s="7">
        <f>AF799*E799</f>
      </c>
      <c r="BG799" s="6"/>
      <c r="BH799" s="3"/>
      <c r="BI799" s="6"/>
    </row>
    <row x14ac:dyDescent="0.25" r="800" customHeight="1" ht="12.75">
      <c r="A800" s="5" t="s">
        <v>128</v>
      </c>
      <c r="B800" s="38" t="s">
        <v>859</v>
      </c>
      <c r="C800" s="43" t="s">
        <v>870</v>
      </c>
      <c r="D800" s="34"/>
      <c r="E800" s="5">
        <v>69</v>
      </c>
      <c r="F800" s="6">
        <v>0.0391304347826087</v>
      </c>
      <c r="G800" s="7">
        <v>2.8595652173913044</v>
      </c>
      <c r="H800" s="5">
        <v>35</v>
      </c>
      <c r="I800" s="7">
        <v>1.3873913043478259</v>
      </c>
      <c r="J800" s="6">
        <v>1.8</v>
      </c>
      <c r="K800" s="7"/>
      <c r="L800" s="6"/>
      <c r="M800" s="6"/>
      <c r="N800" s="23"/>
      <c r="O800" s="5"/>
      <c r="P800" s="6"/>
      <c r="Q800" s="6"/>
      <c r="R800" s="6"/>
      <c r="S800" s="6"/>
      <c r="T800" s="6"/>
      <c r="U800" s="6"/>
      <c r="V800" s="5"/>
      <c r="W800" s="6"/>
      <c r="X800" s="6">
        <f>E800*F800/100</f>
      </c>
      <c r="Y800" s="6">
        <f>E800*G800/100</f>
      </c>
      <c r="Z800" s="7">
        <f>E800*H800</f>
      </c>
      <c r="AA800" s="7">
        <f>E800*J800</f>
      </c>
      <c r="AB800" s="6">
        <f>E800*I800/100</f>
      </c>
      <c r="AC800" s="15">
        <f>X800+Y800+AB800</f>
      </c>
      <c r="AD800" s="6">
        <f>F800+G800+I800</f>
      </c>
      <c r="AE800" s="3"/>
      <c r="AF800" s="6">
        <f>SUM(AM800:BC800)</f>
      </c>
      <c r="AG800" s="5">
        <f>IF(SUM(AM800:AO800)&gt;0.7*AF800,1,0)</f>
      </c>
      <c r="AH800" s="5">
        <f>IF(AN800&gt;0.4*AF800,1,0)</f>
      </c>
      <c r="AI800" s="5">
        <f>IF(SUM(AP800:AQ800)&gt;0.3*AF800,1,0)</f>
      </c>
      <c r="AJ800" s="5">
        <f>IF(AQ800&gt;0.2*AF800,1,0)</f>
      </c>
      <c r="AK800" s="5">
        <f>IF(SUM(AR800:BC800)&gt;0.3*AF800,1,0)</f>
      </c>
      <c r="AL800" s="3"/>
      <c r="AM800" s="6">
        <f>(F800/100)*AM$41</f>
      </c>
      <c r="AN800" s="6">
        <f>(G800/100)*AN$41</f>
      </c>
      <c r="AO800" s="6">
        <f>(H800/1000000)*AO$41</f>
      </c>
      <c r="AP800" s="6">
        <f>(I800/100)*AP$41</f>
      </c>
      <c r="AQ800" s="6">
        <f>(J800/1000000)*AQ$41</f>
      </c>
      <c r="AR800" s="6">
        <f>(K800/100)*AR$41</f>
      </c>
      <c r="AS800" s="6">
        <f>(L800/100)*AS$41</f>
      </c>
      <c r="AT800" s="6">
        <f>(M800/100)*AT$41</f>
      </c>
      <c r="AU800" s="6">
        <f>(N800/100)*AU$41</f>
      </c>
      <c r="AV800" s="6">
        <f>(O800/1000000)*AV$41</f>
      </c>
      <c r="AW800" s="6">
        <f>(P800/100)*AW$41</f>
      </c>
      <c r="AX800" s="6">
        <f>(Q800/100)*AX$41</f>
      </c>
      <c r="AY800" s="6">
        <f>(R800/100)*AY$41</f>
      </c>
      <c r="AZ800" s="6">
        <f>(S800/100)*AZ$41</f>
      </c>
      <c r="BA800" s="6">
        <f>(T800/100)*BA$41</f>
      </c>
      <c r="BB800" s="6">
        <f>(U800/100)*BB$41</f>
      </c>
      <c r="BC800" s="6"/>
      <c r="BD800" s="3"/>
      <c r="BE800" s="3"/>
      <c r="BF800" s="7">
        <f>AF800*E800</f>
      </c>
      <c r="BG800" s="6"/>
      <c r="BH800" s="3"/>
      <c r="BI800" s="6"/>
    </row>
    <row x14ac:dyDescent="0.25" r="801" customHeight="1" ht="12.75">
      <c r="A801" s="5" t="s">
        <v>168</v>
      </c>
      <c r="B801" s="38" t="s">
        <v>859</v>
      </c>
      <c r="C801" s="43" t="s">
        <v>870</v>
      </c>
      <c r="D801" s="34"/>
      <c r="E801" s="6">
        <v>80.8</v>
      </c>
      <c r="F801" s="6">
        <v>0.13</v>
      </c>
      <c r="G801" s="6">
        <v>1.75</v>
      </c>
      <c r="H801" s="7"/>
      <c r="I801" s="6">
        <v>1.73</v>
      </c>
      <c r="J801" s="6"/>
      <c r="K801" s="7"/>
      <c r="L801" s="6"/>
      <c r="M801" s="6"/>
      <c r="N801" s="23"/>
      <c r="O801" s="5"/>
      <c r="P801" s="6"/>
      <c r="Q801" s="6"/>
      <c r="R801" s="6"/>
      <c r="S801" s="6"/>
      <c r="T801" s="6">
        <v>0.15</v>
      </c>
      <c r="U801" s="6"/>
      <c r="V801" s="5"/>
      <c r="W801" s="6"/>
      <c r="X801" s="6">
        <f>E801*F801/100</f>
      </c>
      <c r="Y801" s="6">
        <f>E801*G801/100</f>
      </c>
      <c r="Z801" s="7">
        <f>E801*H801</f>
      </c>
      <c r="AA801" s="7">
        <f>E801*J801</f>
      </c>
      <c r="AB801" s="6">
        <f>E801*I801/100</f>
      </c>
      <c r="AC801" s="15">
        <f>X801+Y801+AB801</f>
      </c>
      <c r="AD801" s="6">
        <f>F801+G801+I801</f>
      </c>
      <c r="AE801" s="3"/>
      <c r="AF801" s="6">
        <f>SUM(AM801:BC801)</f>
      </c>
      <c r="AG801" s="5">
        <f>IF(SUM(AM801:AO801)&gt;0.7*AF801,1,0)</f>
      </c>
      <c r="AH801" s="5">
        <f>IF(AN801&gt;0.4*AF801,1,0)</f>
      </c>
      <c r="AI801" s="5">
        <f>IF(SUM(AP801:AQ801)&gt;0.3*AF801,1,0)</f>
      </c>
      <c r="AJ801" s="5">
        <f>IF(AQ801&gt;0.2*AF801,1,0)</f>
      </c>
      <c r="AK801" s="5">
        <f>IF(SUM(AR801:BC801)&gt;0.3*AF801,1,0)</f>
      </c>
      <c r="AL801" s="3"/>
      <c r="AM801" s="6">
        <f>(F801/100)*AM$41</f>
      </c>
      <c r="AN801" s="6">
        <f>(G801/100)*AN$41</f>
      </c>
      <c r="AO801" s="6">
        <f>(H801/1000000)*AO$41</f>
      </c>
      <c r="AP801" s="6">
        <f>(I801/100)*AP$41</f>
      </c>
      <c r="AQ801" s="6">
        <f>(J801/1000000)*AQ$41</f>
      </c>
      <c r="AR801" s="6">
        <f>(K801/100)*AR$41</f>
      </c>
      <c r="AS801" s="6">
        <f>(L801/100)*AS$41</f>
      </c>
      <c r="AT801" s="6">
        <f>(M801/100)*AT$41</f>
      </c>
      <c r="AU801" s="6">
        <f>(N801/100)*AU$41</f>
      </c>
      <c r="AV801" s="6">
        <f>(O801/1000000)*AV$41</f>
      </c>
      <c r="AW801" s="6">
        <f>(P801/100)*AW$41</f>
      </c>
      <c r="AX801" s="6">
        <f>(Q801/100)*AX$41</f>
      </c>
      <c r="AY801" s="6">
        <f>(R801/100)*AY$41</f>
      </c>
      <c r="AZ801" s="6">
        <f>(S801/100)*AZ$41</f>
      </c>
      <c r="BA801" s="6">
        <f>(T801/100)*BA$41</f>
      </c>
      <c r="BB801" s="6">
        <f>(U801/100)*BB$41</f>
      </c>
      <c r="BC801" s="6"/>
      <c r="BD801" s="3"/>
      <c r="BE801" s="3"/>
      <c r="BF801" s="7">
        <f>AF801*E801</f>
      </c>
      <c r="BG801" s="6"/>
      <c r="BH801" s="3"/>
      <c r="BI801" s="6"/>
    </row>
    <row x14ac:dyDescent="0.25" r="802" customHeight="1" ht="12.75">
      <c r="A802" s="5" t="s">
        <v>178</v>
      </c>
      <c r="B802" s="38" t="s">
        <v>859</v>
      </c>
      <c r="C802" s="43" t="s">
        <v>870</v>
      </c>
      <c r="D802" s="34"/>
      <c r="E802" s="6">
        <v>24.5</v>
      </c>
      <c r="F802" s="6">
        <v>2.01</v>
      </c>
      <c r="G802" s="6">
        <v>9.8</v>
      </c>
      <c r="H802" s="7">
        <v>55.218367346938784</v>
      </c>
      <c r="I802" s="6"/>
      <c r="J802" s="6"/>
      <c r="K802" s="7"/>
      <c r="L802" s="6"/>
      <c r="M802" s="6"/>
      <c r="N802" s="23"/>
      <c r="O802" s="5"/>
      <c r="P802" s="6"/>
      <c r="Q802" s="6"/>
      <c r="R802" s="6"/>
      <c r="S802" s="6"/>
      <c r="T802" s="6"/>
      <c r="U802" s="6"/>
      <c r="V802" s="5"/>
      <c r="W802" s="6"/>
      <c r="X802" s="6">
        <f>E802*F802/100</f>
      </c>
      <c r="Y802" s="6">
        <f>E802*G802/100</f>
      </c>
      <c r="Z802" s="7">
        <f>E802*H802</f>
      </c>
      <c r="AA802" s="7">
        <f>E802*J802</f>
      </c>
      <c r="AB802" s="6">
        <f>E802*I802/100</f>
      </c>
      <c r="AC802" s="15">
        <f>X802+Y802+AB802</f>
      </c>
      <c r="AD802" s="6">
        <f>F802+G802+I802</f>
      </c>
      <c r="AE802" s="3"/>
      <c r="AF802" s="6">
        <f>SUM(AM802:BC802)</f>
      </c>
      <c r="AG802" s="5">
        <f>IF(SUM(AM802:AO802)&gt;0.7*AF802,1,0)</f>
      </c>
      <c r="AH802" s="5">
        <f>IF(AN802&gt;0.4*AF802,1,0)</f>
      </c>
      <c r="AI802" s="5">
        <f>IF(SUM(AP802:AQ802)&gt;0.3*AF802,1,0)</f>
      </c>
      <c r="AJ802" s="5">
        <f>IF(AQ802&gt;0.2*AF802,1,0)</f>
      </c>
      <c r="AK802" s="5">
        <f>IF(SUM(AR802:BC802)&gt;0.3*AF802,1,0)</f>
      </c>
      <c r="AL802" s="3"/>
      <c r="AM802" s="6">
        <f>(F802/100)*AM$41</f>
      </c>
      <c r="AN802" s="6">
        <f>(G802/100)*AN$41</f>
      </c>
      <c r="AO802" s="6">
        <f>(H802/1000000)*AO$41</f>
      </c>
      <c r="AP802" s="6">
        <f>(I802/100)*AP$41</f>
      </c>
      <c r="AQ802" s="6">
        <f>(J802/1000000)*AQ$41</f>
      </c>
      <c r="AR802" s="6">
        <f>(K802/100)*AR$41</f>
      </c>
      <c r="AS802" s="6">
        <f>(L802/100)*AS$41</f>
      </c>
      <c r="AT802" s="6">
        <f>(M802/100)*AT$41</f>
      </c>
      <c r="AU802" s="6">
        <f>(N802/100)*AU$41</f>
      </c>
      <c r="AV802" s="6">
        <f>(O802/1000000)*AV$41</f>
      </c>
      <c r="AW802" s="6">
        <f>(P802/100)*AW$41</f>
      </c>
      <c r="AX802" s="6">
        <f>(Q802/100)*AX$41</f>
      </c>
      <c r="AY802" s="6">
        <f>(R802/100)*AY$41</f>
      </c>
      <c r="AZ802" s="6">
        <f>(S802/100)*AZ$41</f>
      </c>
      <c r="BA802" s="6">
        <f>(T802/100)*BA$41</f>
      </c>
      <c r="BB802" s="6">
        <f>(U802/100)*BB$41</f>
      </c>
      <c r="BC802" s="6"/>
      <c r="BD802" s="3"/>
      <c r="BE802" s="3"/>
      <c r="BF802" s="7">
        <f>AF802*E802</f>
      </c>
      <c r="BG802" s="6"/>
      <c r="BH802" s="3"/>
      <c r="BI802" s="6"/>
    </row>
    <row x14ac:dyDescent="0.25" r="803" customHeight="1" ht="12.75">
      <c r="A803" s="5" t="s">
        <v>164</v>
      </c>
      <c r="B803" s="38" t="s">
        <v>859</v>
      </c>
      <c r="C803" s="43" t="s">
        <v>870</v>
      </c>
      <c r="D803" s="34"/>
      <c r="E803" s="5">
        <v>106</v>
      </c>
      <c r="F803" s="6"/>
      <c r="G803" s="5">
        <v>1</v>
      </c>
      <c r="H803" s="7"/>
      <c r="I803" s="6">
        <v>1.5</v>
      </c>
      <c r="J803" s="6"/>
      <c r="K803" s="7"/>
      <c r="L803" s="6"/>
      <c r="M803" s="6"/>
      <c r="N803" s="23"/>
      <c r="O803" s="5"/>
      <c r="P803" s="6"/>
      <c r="Q803" s="6"/>
      <c r="R803" s="6"/>
      <c r="S803" s="6"/>
      <c r="T803" s="6"/>
      <c r="U803" s="6"/>
      <c r="V803" s="5"/>
      <c r="W803" s="6"/>
      <c r="X803" s="6">
        <f>E803*F803/100</f>
      </c>
      <c r="Y803" s="6">
        <f>E803*G803/100</f>
      </c>
      <c r="Z803" s="7">
        <f>E803*H803</f>
      </c>
      <c r="AA803" s="7">
        <f>E803*J803</f>
      </c>
      <c r="AB803" s="6">
        <f>E803*I803/100</f>
      </c>
      <c r="AC803" s="15">
        <f>X803+Y803+AB803</f>
      </c>
      <c r="AD803" s="6">
        <f>F803+G803+I803</f>
      </c>
      <c r="AE803" s="3"/>
      <c r="AF803" s="6">
        <f>SUM(AM803:BC803)</f>
      </c>
      <c r="AG803" s="5">
        <f>IF(SUM(AM803:AO803)&gt;0.7*AF803,1,0)</f>
      </c>
      <c r="AH803" s="5">
        <f>IF(AN803&gt;0.4*AF803,1,0)</f>
      </c>
      <c r="AI803" s="5">
        <f>IF(SUM(AP803:AQ803)&gt;0.3*AF803,1,0)</f>
      </c>
      <c r="AJ803" s="5">
        <f>IF(AQ803&gt;0.2*AF803,1,0)</f>
      </c>
      <c r="AK803" s="5">
        <f>IF(SUM(AR803:BC803)&gt;0.3*AF803,1,0)</f>
      </c>
      <c r="AL803" s="3"/>
      <c r="AM803" s="6">
        <f>(F803/100)*AM$41</f>
      </c>
      <c r="AN803" s="6">
        <f>(G803/100)*AN$41</f>
      </c>
      <c r="AO803" s="6">
        <f>(H803/1000000)*AO$41</f>
      </c>
      <c r="AP803" s="6">
        <f>(I803/100)*AP$41</f>
      </c>
      <c r="AQ803" s="6">
        <f>(J803/1000000)*AQ$41</f>
      </c>
      <c r="AR803" s="6">
        <f>(K803/100)*AR$41</f>
      </c>
      <c r="AS803" s="6">
        <f>(L803/100)*AS$41</f>
      </c>
      <c r="AT803" s="6">
        <f>(M803/100)*AT$41</f>
      </c>
      <c r="AU803" s="6">
        <f>(N803/100)*AU$41</f>
      </c>
      <c r="AV803" s="6">
        <f>(O803/1000000)*AV$41</f>
      </c>
      <c r="AW803" s="6">
        <f>(P803/100)*AW$41</f>
      </c>
      <c r="AX803" s="6">
        <f>(Q803/100)*AX$41</f>
      </c>
      <c r="AY803" s="6">
        <f>(R803/100)*AY$41</f>
      </c>
      <c r="AZ803" s="6">
        <f>(S803/100)*AZ$41</f>
      </c>
      <c r="BA803" s="6">
        <f>(T803/100)*BA$41</f>
      </c>
      <c r="BB803" s="6">
        <f>(U803/100)*BB$41</f>
      </c>
      <c r="BC803" s="6"/>
      <c r="BD803" s="3"/>
      <c r="BE803" s="3"/>
      <c r="BF803" s="7">
        <f>AF803*E803</f>
      </c>
      <c r="BG803" s="6"/>
      <c r="BH803" s="3"/>
      <c r="BI803" s="6"/>
    </row>
    <row x14ac:dyDescent="0.25" r="804" customHeight="1" ht="12.75">
      <c r="A804" s="5" t="s">
        <v>133</v>
      </c>
      <c r="B804" s="38" t="s">
        <v>859</v>
      </c>
      <c r="C804" s="43" t="s">
        <v>870</v>
      </c>
      <c r="D804" s="34"/>
      <c r="E804" s="5">
        <v>110</v>
      </c>
      <c r="F804" s="6">
        <v>0.04</v>
      </c>
      <c r="G804" s="6">
        <v>0.4</v>
      </c>
      <c r="H804" s="5">
        <v>16</v>
      </c>
      <c r="I804" s="6">
        <v>1.6</v>
      </c>
      <c r="J804" s="6">
        <v>0.6</v>
      </c>
      <c r="K804" s="7"/>
      <c r="L804" s="6"/>
      <c r="M804" s="6"/>
      <c r="N804" s="23"/>
      <c r="O804" s="5"/>
      <c r="P804" s="6"/>
      <c r="Q804" s="6"/>
      <c r="R804" s="6"/>
      <c r="S804" s="6"/>
      <c r="T804" s="6"/>
      <c r="U804" s="6"/>
      <c r="V804" s="5"/>
      <c r="W804" s="6"/>
      <c r="X804" s="6">
        <f>E804*F804/100</f>
      </c>
      <c r="Y804" s="6">
        <f>E804*G804/100</f>
      </c>
      <c r="Z804" s="7">
        <f>E804*H804</f>
      </c>
      <c r="AA804" s="7">
        <f>E804*J804</f>
      </c>
      <c r="AB804" s="6">
        <f>E804*I804/100</f>
      </c>
      <c r="AC804" s="15">
        <f>X804+Y804+AB804</f>
      </c>
      <c r="AD804" s="6">
        <f>F804+G804+I804</f>
      </c>
      <c r="AE804" s="3"/>
      <c r="AF804" s="6">
        <f>SUM(AM804:BC804)</f>
      </c>
      <c r="AG804" s="5">
        <f>IF(SUM(AM804:AO804)&gt;0.7*AF804,1,0)</f>
      </c>
      <c r="AH804" s="5">
        <f>IF(AN804&gt;0.4*AF804,1,0)</f>
      </c>
      <c r="AI804" s="5">
        <f>IF(SUM(AP804:AQ804)&gt;0.3*AF804,1,0)</f>
      </c>
      <c r="AJ804" s="5">
        <f>IF(AQ804&gt;0.2*AF804,1,0)</f>
      </c>
      <c r="AK804" s="5">
        <f>IF(SUM(AR804:BC804)&gt;0.3*AF804,1,0)</f>
      </c>
      <c r="AL804" s="3"/>
      <c r="AM804" s="6">
        <f>(F804/100)*AM$41</f>
      </c>
      <c r="AN804" s="6">
        <f>(G804/100)*AN$41</f>
      </c>
      <c r="AO804" s="6">
        <f>(H804/1000000)*AO$41</f>
      </c>
      <c r="AP804" s="6">
        <f>(I804/100)*AP$41</f>
      </c>
      <c r="AQ804" s="6">
        <f>(J804/1000000)*AQ$41</f>
      </c>
      <c r="AR804" s="6">
        <f>(K804/100)*AR$41</f>
      </c>
      <c r="AS804" s="6">
        <f>(L804/100)*AS$41</f>
      </c>
      <c r="AT804" s="6">
        <f>(M804/100)*AT$41</f>
      </c>
      <c r="AU804" s="6">
        <f>(N804/100)*AU$41</f>
      </c>
      <c r="AV804" s="6">
        <f>(O804/1000000)*AV$41</f>
      </c>
      <c r="AW804" s="6">
        <f>(P804/100)*AW$41</f>
      </c>
      <c r="AX804" s="6">
        <f>(Q804/100)*AX$41</f>
      </c>
      <c r="AY804" s="6">
        <f>(R804/100)*AY$41</f>
      </c>
      <c r="AZ804" s="6">
        <f>(S804/100)*AZ$41</f>
      </c>
      <c r="BA804" s="6">
        <f>(T804/100)*BA$41</f>
      </c>
      <c r="BB804" s="6">
        <f>(U804/100)*BB$41</f>
      </c>
      <c r="BC804" s="6"/>
      <c r="BD804" s="3"/>
      <c r="BE804" s="3"/>
      <c r="BF804" s="7">
        <f>AF804*E804</f>
      </c>
      <c r="BG804" s="6"/>
      <c r="BH804" s="3"/>
      <c r="BI804" s="6"/>
    </row>
    <row x14ac:dyDescent="0.25" r="805" customHeight="1" ht="12.75">
      <c r="A805" s="5" t="s">
        <v>287</v>
      </c>
      <c r="B805" s="38" t="s">
        <v>859</v>
      </c>
      <c r="C805" s="43" t="s">
        <v>870</v>
      </c>
      <c r="D805" s="34"/>
      <c r="E805" s="5">
        <v>46</v>
      </c>
      <c r="F805" s="6"/>
      <c r="G805" s="6">
        <v>0.47</v>
      </c>
      <c r="H805" s="7"/>
      <c r="I805" s="6">
        <v>1.82</v>
      </c>
      <c r="J805" s="6"/>
      <c r="K805" s="7"/>
      <c r="L805" s="6"/>
      <c r="M805" s="6"/>
      <c r="N805" s="23"/>
      <c r="O805" s="5"/>
      <c r="P805" s="6"/>
      <c r="Q805" s="6"/>
      <c r="R805" s="6"/>
      <c r="S805" s="6"/>
      <c r="T805" s="6"/>
      <c r="U805" s="6"/>
      <c r="V805" s="5"/>
      <c r="W805" s="6"/>
      <c r="X805" s="6">
        <f>E805*F805/100</f>
      </c>
      <c r="Y805" s="6">
        <f>E805*G805/100</f>
      </c>
      <c r="Z805" s="7">
        <f>E805*H805</f>
      </c>
      <c r="AA805" s="7">
        <f>E805*J805</f>
      </c>
      <c r="AB805" s="6">
        <f>E805*I805/100</f>
      </c>
      <c r="AC805" s="15">
        <f>X805+Y805+AB805</f>
      </c>
      <c r="AD805" s="6">
        <f>F805+G805+I805</f>
      </c>
      <c r="AE805" s="3"/>
      <c r="AF805" s="6">
        <f>SUM(AM805:BC805)</f>
      </c>
      <c r="AG805" s="5">
        <f>IF(SUM(AM805:AO805)&gt;0.7*AF805,1,0)</f>
      </c>
      <c r="AH805" s="5">
        <f>IF(AN805&gt;0.4*AF805,1,0)</f>
      </c>
      <c r="AI805" s="5">
        <f>IF(SUM(AP805:AQ805)&gt;0.3*AF805,1,0)</f>
      </c>
      <c r="AJ805" s="5">
        <f>IF(AQ805&gt;0.2*AF805,1,0)</f>
      </c>
      <c r="AK805" s="5">
        <f>IF(SUM(AR805:BC805)&gt;0.3*AF805,1,0)</f>
      </c>
      <c r="AL805" s="3"/>
      <c r="AM805" s="6">
        <f>(F805/100)*AM$41</f>
      </c>
      <c r="AN805" s="6">
        <f>(G805/100)*AN$41</f>
      </c>
      <c r="AO805" s="6">
        <f>(H805/1000000)*AO$41</f>
      </c>
      <c r="AP805" s="6">
        <f>(I805/100)*AP$41</f>
      </c>
      <c r="AQ805" s="6">
        <f>(J805/1000000)*AQ$41</f>
      </c>
      <c r="AR805" s="6">
        <f>(K805/100)*AR$41</f>
      </c>
      <c r="AS805" s="6">
        <f>(L805/100)*AS$41</f>
      </c>
      <c r="AT805" s="6">
        <f>(M805/100)*AT$41</f>
      </c>
      <c r="AU805" s="6">
        <f>(N805/100)*AU$41</f>
      </c>
      <c r="AV805" s="6">
        <f>(O805/1000000)*AV$41</f>
      </c>
      <c r="AW805" s="6">
        <f>(P805/100)*AW$41</f>
      </c>
      <c r="AX805" s="6">
        <f>(Q805/100)*AX$41</f>
      </c>
      <c r="AY805" s="6">
        <f>(R805/100)*AY$41</f>
      </c>
      <c r="AZ805" s="6">
        <f>(S805/100)*AZ$41</f>
      </c>
      <c r="BA805" s="6">
        <f>(T805/100)*BA$41</f>
      </c>
      <c r="BB805" s="6">
        <f>(U805/100)*BB$41</f>
      </c>
      <c r="BC805" s="6"/>
      <c r="BD805" s="3"/>
      <c r="BE805" s="3"/>
      <c r="BF805" s="7">
        <f>AF805*E805</f>
      </c>
      <c r="BG805" s="6"/>
      <c r="BH805" s="3"/>
      <c r="BI805" s="6"/>
    </row>
    <row x14ac:dyDescent="0.25" r="806" customHeight="1" ht="12.75">
      <c r="A806" s="5" t="s">
        <v>131</v>
      </c>
      <c r="B806" s="38" t="s">
        <v>859</v>
      </c>
      <c r="C806" s="43" t="s">
        <v>870</v>
      </c>
      <c r="D806" s="34"/>
      <c r="E806" s="5">
        <v>10</v>
      </c>
      <c r="F806" s="6"/>
      <c r="G806" s="6">
        <v>5.5</v>
      </c>
      <c r="H806" s="7"/>
      <c r="I806" s="6">
        <v>4.4</v>
      </c>
      <c r="J806" s="6">
        <v>2.2</v>
      </c>
      <c r="K806" s="7"/>
      <c r="L806" s="6"/>
      <c r="M806" s="6"/>
      <c r="N806" s="23"/>
      <c r="O806" s="5"/>
      <c r="P806" s="6"/>
      <c r="Q806" s="6"/>
      <c r="R806" s="6"/>
      <c r="S806" s="6"/>
      <c r="T806" s="6"/>
      <c r="U806" s="6"/>
      <c r="V806" s="5"/>
      <c r="W806" s="6"/>
      <c r="X806" s="6">
        <f>E806*F806/100</f>
      </c>
      <c r="Y806" s="6">
        <f>E806*G806/100</f>
      </c>
      <c r="Z806" s="7">
        <f>E806*H806</f>
      </c>
      <c r="AA806" s="7">
        <f>E806*J806</f>
      </c>
      <c r="AB806" s="6">
        <f>E806*I806/100</f>
      </c>
      <c r="AC806" s="15">
        <f>X806+Y806+AB806</f>
      </c>
      <c r="AD806" s="6">
        <f>F806+G806+I806</f>
      </c>
      <c r="AE806" s="3"/>
      <c r="AF806" s="6">
        <f>SUM(AM806:BC806)</f>
      </c>
      <c r="AG806" s="5">
        <f>IF(SUM(AM806:AO806)&gt;0.7*AF806,1,0)</f>
      </c>
      <c r="AH806" s="5">
        <f>IF(AN806&gt;0.4*AF806,1,0)</f>
      </c>
      <c r="AI806" s="5">
        <f>IF(SUM(AP806:AQ806)&gt;0.3*AF806,1,0)</f>
      </c>
      <c r="AJ806" s="5">
        <f>IF(AQ806&gt;0.2*AF806,1,0)</f>
      </c>
      <c r="AK806" s="5">
        <f>IF(SUM(AR806:BC806)&gt;0.3*AF806,1,0)</f>
      </c>
      <c r="AL806" s="3"/>
      <c r="AM806" s="6">
        <f>(F806/100)*AM$41</f>
      </c>
      <c r="AN806" s="6">
        <f>(G806/100)*AN$41</f>
      </c>
      <c r="AO806" s="6">
        <f>(H806/1000000)*AO$41</f>
      </c>
      <c r="AP806" s="6">
        <f>(I806/100)*AP$41</f>
      </c>
      <c r="AQ806" s="6">
        <f>(J806/1000000)*AQ$41</f>
      </c>
      <c r="AR806" s="6">
        <f>(K806/100)*AR$41</f>
      </c>
      <c r="AS806" s="6">
        <f>(L806/100)*AS$41</f>
      </c>
      <c r="AT806" s="6">
        <f>(M806/100)*AT$41</f>
      </c>
      <c r="AU806" s="6">
        <f>(N806/100)*AU$41</f>
      </c>
      <c r="AV806" s="6">
        <f>(O806/1000000)*AV$41</f>
      </c>
      <c r="AW806" s="6">
        <f>(P806/100)*AW$41</f>
      </c>
      <c r="AX806" s="6">
        <f>(Q806/100)*AX$41</f>
      </c>
      <c r="AY806" s="6">
        <f>(R806/100)*AY$41</f>
      </c>
      <c r="AZ806" s="6">
        <f>(S806/100)*AZ$41</f>
      </c>
      <c r="BA806" s="6">
        <f>(T806/100)*BA$41</f>
      </c>
      <c r="BB806" s="6">
        <f>(U806/100)*BB$41</f>
      </c>
      <c r="BC806" s="6"/>
      <c r="BD806" s="3"/>
      <c r="BE806" s="3"/>
      <c r="BF806" s="7">
        <f>AF806*E806</f>
      </c>
      <c r="BG806" s="6"/>
      <c r="BH806" s="3"/>
      <c r="BI806" s="6"/>
    </row>
    <row x14ac:dyDescent="0.25" r="807" customHeight="1" ht="12.75">
      <c r="A807" s="5" t="s">
        <v>439</v>
      </c>
      <c r="B807" s="38" t="s">
        <v>859</v>
      </c>
      <c r="C807" s="43" t="s">
        <v>870</v>
      </c>
      <c r="D807" s="34"/>
      <c r="E807" s="5">
        <v>13</v>
      </c>
      <c r="F807" s="6">
        <v>1.8</v>
      </c>
      <c r="G807" s="6">
        <v>5.6</v>
      </c>
      <c r="H807" s="5">
        <v>65</v>
      </c>
      <c r="I807" s="6">
        <v>0.2</v>
      </c>
      <c r="J807" s="6"/>
      <c r="K807" s="7"/>
      <c r="L807" s="6"/>
      <c r="M807" s="6"/>
      <c r="N807" s="23"/>
      <c r="O807" s="5"/>
      <c r="P807" s="6"/>
      <c r="Q807" s="6"/>
      <c r="R807" s="6"/>
      <c r="S807" s="6"/>
      <c r="T807" s="6"/>
      <c r="U807" s="6"/>
      <c r="V807" s="5"/>
      <c r="W807" s="6"/>
      <c r="X807" s="6">
        <f>E807*F807/100</f>
      </c>
      <c r="Y807" s="6">
        <f>E807*G807/100</f>
      </c>
      <c r="Z807" s="7">
        <f>E807*H807</f>
      </c>
      <c r="AA807" s="7">
        <f>E807*J807</f>
      </c>
      <c r="AB807" s="6">
        <f>E807*I807/100</f>
      </c>
      <c r="AC807" s="15">
        <f>X807+Y807+AB807</f>
      </c>
      <c r="AD807" s="6">
        <f>F807+G807+I807</f>
      </c>
      <c r="AE807" s="3"/>
      <c r="AF807" s="6">
        <f>SUM(AM807:BC807)</f>
      </c>
      <c r="AG807" s="5">
        <f>IF(SUM(AM807:AO807)&gt;0.7*AF807,1,0)</f>
      </c>
      <c r="AH807" s="5">
        <f>IF(AN807&gt;0.4*AF807,1,0)</f>
      </c>
      <c r="AI807" s="5">
        <f>IF(SUM(AP807:AQ807)&gt;0.3*AF807,1,0)</f>
      </c>
      <c r="AJ807" s="5">
        <f>IF(AQ807&gt;0.2*AF807,1,0)</f>
      </c>
      <c r="AK807" s="5">
        <f>IF(SUM(AR807:BC807)&gt;0.3*AF807,1,0)</f>
      </c>
      <c r="AL807" s="3"/>
      <c r="AM807" s="6">
        <f>(F807/100)*AM$41</f>
      </c>
      <c r="AN807" s="6">
        <f>(G807/100)*AN$41</f>
      </c>
      <c r="AO807" s="6">
        <f>(H807/1000000)*AO$41</f>
      </c>
      <c r="AP807" s="6">
        <f>(I807/100)*AP$41</f>
      </c>
      <c r="AQ807" s="6">
        <f>(J807/1000000)*AQ$41</f>
      </c>
      <c r="AR807" s="6">
        <f>(K807/100)*AR$41</f>
      </c>
      <c r="AS807" s="6">
        <f>(L807/100)*AS$41</f>
      </c>
      <c r="AT807" s="6">
        <f>(M807/100)*AT$41</f>
      </c>
      <c r="AU807" s="6">
        <f>(N807/100)*AU$41</f>
      </c>
      <c r="AV807" s="6">
        <f>(O807/1000000)*AV$41</f>
      </c>
      <c r="AW807" s="6">
        <f>(P807/100)*AW$41</f>
      </c>
      <c r="AX807" s="6">
        <f>(Q807/100)*AX$41</f>
      </c>
      <c r="AY807" s="6">
        <f>(R807/100)*AY$41</f>
      </c>
      <c r="AZ807" s="6">
        <f>(S807/100)*AZ$41</f>
      </c>
      <c r="BA807" s="6">
        <f>(T807/100)*BA$41</f>
      </c>
      <c r="BB807" s="6">
        <f>(U807/100)*BB$41</f>
      </c>
      <c r="BC807" s="6"/>
      <c r="BD807" s="3"/>
      <c r="BE807" s="3"/>
      <c r="BF807" s="7">
        <f>AF807*E807</f>
      </c>
      <c r="BG807" s="6"/>
      <c r="BH807" s="3"/>
      <c r="BI807" s="6"/>
    </row>
    <row x14ac:dyDescent="0.25" r="808" customHeight="1" ht="12.75">
      <c r="A808" s="5" t="s">
        <v>349</v>
      </c>
      <c r="B808" s="38" t="s">
        <v>859</v>
      </c>
      <c r="C808" s="43" t="s">
        <v>870</v>
      </c>
      <c r="D808" s="34"/>
      <c r="E808" s="5">
        <v>30</v>
      </c>
      <c r="F808" s="6">
        <v>0.1</v>
      </c>
      <c r="G808" s="6">
        <v>1.2</v>
      </c>
      <c r="H808" s="7"/>
      <c r="I808" s="6">
        <v>1.9</v>
      </c>
      <c r="J808" s="6"/>
      <c r="K808" s="7"/>
      <c r="L808" s="6"/>
      <c r="M808" s="6"/>
      <c r="N808" s="23"/>
      <c r="O808" s="5"/>
      <c r="P808" s="6"/>
      <c r="Q808" s="6"/>
      <c r="R808" s="6"/>
      <c r="S808" s="6"/>
      <c r="T808" s="6"/>
      <c r="U808" s="6"/>
      <c r="V808" s="5"/>
      <c r="W808" s="6"/>
      <c r="X808" s="6">
        <f>E808*F808/100</f>
      </c>
      <c r="Y808" s="6">
        <f>E808*G808/100</f>
      </c>
      <c r="Z808" s="7">
        <f>E808*H808</f>
      </c>
      <c r="AA808" s="7">
        <f>E808*J808</f>
      </c>
      <c r="AB808" s="6">
        <f>E808*I808/100</f>
      </c>
      <c r="AC808" s="15">
        <f>X808+Y808+AB808</f>
      </c>
      <c r="AD808" s="6">
        <f>F808+G808+I808</f>
      </c>
      <c r="AE808" s="3"/>
      <c r="AF808" s="6">
        <f>SUM(AM808:BC808)</f>
      </c>
      <c r="AG808" s="5">
        <f>IF(SUM(AM808:AO808)&gt;0.7*AF808,1,0)</f>
      </c>
      <c r="AH808" s="5">
        <f>IF(AN808&gt;0.4*AF808,1,0)</f>
      </c>
      <c r="AI808" s="5">
        <f>IF(SUM(AP808:AQ808)&gt;0.3*AF808,1,0)</f>
      </c>
      <c r="AJ808" s="5">
        <f>IF(AQ808&gt;0.2*AF808,1,0)</f>
      </c>
      <c r="AK808" s="5">
        <f>IF(SUM(AR808:BC808)&gt;0.3*AF808,1,0)</f>
      </c>
      <c r="AL808" s="3"/>
      <c r="AM808" s="6">
        <f>(F808/100)*AM$41</f>
      </c>
      <c r="AN808" s="6">
        <f>(G808/100)*AN$41</f>
      </c>
      <c r="AO808" s="6">
        <f>(H808/1000000)*AO$41</f>
      </c>
      <c r="AP808" s="6">
        <f>(I808/100)*AP$41</f>
      </c>
      <c r="AQ808" s="6">
        <f>(J808/1000000)*AQ$41</f>
      </c>
      <c r="AR808" s="6">
        <f>(K808/100)*AR$41</f>
      </c>
      <c r="AS808" s="6">
        <f>(L808/100)*AS$41</f>
      </c>
      <c r="AT808" s="6">
        <f>(M808/100)*AT$41</f>
      </c>
      <c r="AU808" s="6">
        <f>(N808/100)*AU$41</f>
      </c>
      <c r="AV808" s="6">
        <f>(O808/1000000)*AV$41</f>
      </c>
      <c r="AW808" s="6">
        <f>(P808/100)*AW$41</f>
      </c>
      <c r="AX808" s="6">
        <f>(Q808/100)*AX$41</f>
      </c>
      <c r="AY808" s="6">
        <f>(R808/100)*AY$41</f>
      </c>
      <c r="AZ808" s="6">
        <f>(S808/100)*AZ$41</f>
      </c>
      <c r="BA808" s="6">
        <f>(T808/100)*BA$41</f>
      </c>
      <c r="BB808" s="6">
        <f>(U808/100)*BB$41</f>
      </c>
      <c r="BC808" s="6"/>
      <c r="BD808" s="3"/>
      <c r="BE808" s="3"/>
      <c r="BF808" s="7">
        <f>AF808*E808</f>
      </c>
      <c r="BG808" s="6"/>
      <c r="BH808" s="3"/>
      <c r="BI808" s="6"/>
    </row>
    <row x14ac:dyDescent="0.25" r="809" customHeight="1" ht="12.75">
      <c r="A809" s="5" t="s">
        <v>365</v>
      </c>
      <c r="B809" s="38" t="s">
        <v>859</v>
      </c>
      <c r="C809" s="43" t="s">
        <v>870</v>
      </c>
      <c r="D809" s="34"/>
      <c r="E809" s="5">
        <v>10</v>
      </c>
      <c r="F809" s="6"/>
      <c r="G809" s="5">
        <v>5</v>
      </c>
      <c r="H809" s="7"/>
      <c r="I809" s="5">
        <v>3</v>
      </c>
      <c r="J809" s="6"/>
      <c r="K809" s="7"/>
      <c r="L809" s="6"/>
      <c r="M809" s="6"/>
      <c r="N809" s="23"/>
      <c r="O809" s="5"/>
      <c r="P809" s="6"/>
      <c r="Q809" s="6"/>
      <c r="R809" s="6"/>
      <c r="S809" s="6"/>
      <c r="T809" s="6"/>
      <c r="U809" s="6"/>
      <c r="V809" s="5"/>
      <c r="W809" s="6"/>
      <c r="X809" s="6">
        <f>E809*F809/100</f>
      </c>
      <c r="Y809" s="6">
        <f>E809*G809/100</f>
      </c>
      <c r="Z809" s="7">
        <f>E809*H809</f>
      </c>
      <c r="AA809" s="7">
        <f>E809*J809</f>
      </c>
      <c r="AB809" s="6">
        <f>E809*I809/100</f>
      </c>
      <c r="AC809" s="15">
        <f>X809+Y809+AB809</f>
      </c>
      <c r="AD809" s="6">
        <f>F809+G809+I809</f>
      </c>
      <c r="AE809" s="3"/>
      <c r="AF809" s="6">
        <f>SUM(AM809:BC809)</f>
      </c>
      <c r="AG809" s="5">
        <f>IF(SUM(AM809:AO809)&gt;0.7*AF809,1,0)</f>
      </c>
      <c r="AH809" s="5">
        <f>IF(AN809&gt;0.4*AF809,1,0)</f>
      </c>
      <c r="AI809" s="5">
        <f>IF(SUM(AP809:AQ809)&gt;0.3*AF809,1,0)</f>
      </c>
      <c r="AJ809" s="5">
        <f>IF(AQ809&gt;0.2*AF809,1,0)</f>
      </c>
      <c r="AK809" s="5">
        <f>IF(SUM(AR809:BC809)&gt;0.3*AF809,1,0)</f>
      </c>
      <c r="AL809" s="3"/>
      <c r="AM809" s="6">
        <f>(F809/100)*AM$41</f>
      </c>
      <c r="AN809" s="6">
        <f>(G809/100)*AN$41</f>
      </c>
      <c r="AO809" s="6">
        <f>(H809/1000000)*AO$41</f>
      </c>
      <c r="AP809" s="6">
        <f>(I809/100)*AP$41</f>
      </c>
      <c r="AQ809" s="6">
        <f>(J809/1000000)*AQ$41</f>
      </c>
      <c r="AR809" s="6">
        <f>(K809/100)*AR$41</f>
      </c>
      <c r="AS809" s="6">
        <f>(L809/100)*AS$41</f>
      </c>
      <c r="AT809" s="6">
        <f>(M809/100)*AT$41</f>
      </c>
      <c r="AU809" s="6">
        <f>(N809/100)*AU$41</f>
      </c>
      <c r="AV809" s="6">
        <f>(O809/1000000)*AV$41</f>
      </c>
      <c r="AW809" s="6">
        <f>(P809/100)*AW$41</f>
      </c>
      <c r="AX809" s="6">
        <f>(Q809/100)*AX$41</f>
      </c>
      <c r="AY809" s="6">
        <f>(R809/100)*AY$41</f>
      </c>
      <c r="AZ809" s="6">
        <f>(S809/100)*AZ$41</f>
      </c>
      <c r="BA809" s="6">
        <f>(T809/100)*BA$41</f>
      </c>
      <c r="BB809" s="6">
        <f>(U809/100)*BB$41</f>
      </c>
      <c r="BC809" s="6"/>
      <c r="BD809" s="3"/>
      <c r="BE809" s="3"/>
      <c r="BF809" s="7">
        <f>AF809*E809</f>
      </c>
      <c r="BG809" s="6"/>
      <c r="BH809" s="3"/>
      <c r="BI809" s="6"/>
    </row>
    <row x14ac:dyDescent="0.25" r="810" customHeight="1" ht="12.75">
      <c r="A810" s="5" t="s">
        <v>396</v>
      </c>
      <c r="B810" s="38" t="s">
        <v>859</v>
      </c>
      <c r="C810" s="43" t="s">
        <v>870</v>
      </c>
      <c r="D810" s="34"/>
      <c r="E810" s="6">
        <v>18.2</v>
      </c>
      <c r="F810" s="6"/>
      <c r="G810" s="6">
        <v>0.86</v>
      </c>
      <c r="H810" s="7"/>
      <c r="I810" s="6">
        <v>2.94</v>
      </c>
      <c r="J810" s="6"/>
      <c r="K810" s="7"/>
      <c r="L810" s="6"/>
      <c r="M810" s="6"/>
      <c r="N810" s="23"/>
      <c r="O810" s="5"/>
      <c r="P810" s="6"/>
      <c r="Q810" s="6"/>
      <c r="R810" s="6"/>
      <c r="S810" s="6"/>
      <c r="T810" s="6"/>
      <c r="U810" s="6"/>
      <c r="V810" s="5"/>
      <c r="W810" s="6"/>
      <c r="X810" s="6">
        <f>E810*F810/100</f>
      </c>
      <c r="Y810" s="6">
        <f>E810*G810/100</f>
      </c>
      <c r="Z810" s="7">
        <f>E810*H810</f>
      </c>
      <c r="AA810" s="7">
        <f>E810*J810</f>
      </c>
      <c r="AB810" s="6">
        <f>E810*I810/100</f>
      </c>
      <c r="AC810" s="15">
        <f>X810+Y810+AB810</f>
      </c>
      <c r="AD810" s="6">
        <f>F810+G810+I810</f>
      </c>
      <c r="AE810" s="3"/>
      <c r="AF810" s="6">
        <f>SUM(AM810:BC810)</f>
      </c>
      <c r="AG810" s="5">
        <f>IF(SUM(AM810:AO810)&gt;0.7*AF810,1,0)</f>
      </c>
      <c r="AH810" s="5">
        <f>IF(AN810&gt;0.4*AF810,1,0)</f>
      </c>
      <c r="AI810" s="5">
        <f>IF(SUM(AP810:AQ810)&gt;0.3*AF810,1,0)</f>
      </c>
      <c r="AJ810" s="5">
        <f>IF(AQ810&gt;0.2*AF810,1,0)</f>
      </c>
      <c r="AK810" s="5">
        <f>IF(SUM(AR810:BC810)&gt;0.3*AF810,1,0)</f>
      </c>
      <c r="AL810" s="3"/>
      <c r="AM810" s="6">
        <f>(F810/100)*AM$41</f>
      </c>
      <c r="AN810" s="6">
        <f>(G810/100)*AN$41</f>
      </c>
      <c r="AO810" s="6">
        <f>(H810/1000000)*AO$41</f>
      </c>
      <c r="AP810" s="6">
        <f>(I810/100)*AP$41</f>
      </c>
      <c r="AQ810" s="6">
        <f>(J810/1000000)*AQ$41</f>
      </c>
      <c r="AR810" s="6">
        <f>(K810/100)*AR$41</f>
      </c>
      <c r="AS810" s="6">
        <f>(L810/100)*AS$41</f>
      </c>
      <c r="AT810" s="6">
        <f>(M810/100)*AT$41</f>
      </c>
      <c r="AU810" s="6">
        <f>(N810/100)*AU$41</f>
      </c>
      <c r="AV810" s="6">
        <f>(O810/1000000)*AV$41</f>
      </c>
      <c r="AW810" s="6">
        <f>(P810/100)*AW$41</f>
      </c>
      <c r="AX810" s="6">
        <f>(Q810/100)*AX$41</f>
      </c>
      <c r="AY810" s="6">
        <f>(R810/100)*AY$41</f>
      </c>
      <c r="AZ810" s="6">
        <f>(S810/100)*AZ$41</f>
      </c>
      <c r="BA810" s="6">
        <f>(T810/100)*BA$41</f>
      </c>
      <c r="BB810" s="6">
        <f>(U810/100)*BB$41</f>
      </c>
      <c r="BC810" s="6"/>
      <c r="BD810" s="3"/>
      <c r="BE810" s="3"/>
      <c r="BF810" s="7">
        <f>AF810*E810</f>
      </c>
      <c r="BG810" s="6"/>
      <c r="BH810" s="3"/>
      <c r="BI810" s="6"/>
    </row>
    <row x14ac:dyDescent="0.25" r="811" customHeight="1" ht="12.75">
      <c r="A811" s="5" t="s">
        <v>437</v>
      </c>
      <c r="B811" s="38" t="s">
        <v>859</v>
      </c>
      <c r="C811" s="43" t="s">
        <v>870</v>
      </c>
      <c r="D811" s="34"/>
      <c r="E811" s="6">
        <v>22.8</v>
      </c>
      <c r="F811" s="6">
        <v>0.64</v>
      </c>
      <c r="G811" s="6">
        <v>1.82</v>
      </c>
      <c r="H811" s="6">
        <v>32.23</v>
      </c>
      <c r="I811" s="6">
        <v>0.56</v>
      </c>
      <c r="J811" s="6">
        <v>1.17</v>
      </c>
      <c r="K811" s="7"/>
      <c r="L811" s="6"/>
      <c r="M811" s="6"/>
      <c r="N811" s="23"/>
      <c r="O811" s="5"/>
      <c r="P811" s="6"/>
      <c r="Q811" s="6"/>
      <c r="R811" s="6"/>
      <c r="S811" s="6"/>
      <c r="T811" s="6"/>
      <c r="U811" s="6"/>
      <c r="V811" s="5"/>
      <c r="W811" s="6"/>
      <c r="X811" s="6">
        <f>E811*F811/100</f>
      </c>
      <c r="Y811" s="6">
        <f>E811*G811/100</f>
      </c>
      <c r="Z811" s="7">
        <f>E811*H811</f>
      </c>
      <c r="AA811" s="7">
        <f>E811*J811</f>
      </c>
      <c r="AB811" s="6">
        <f>E811*I811/100</f>
      </c>
      <c r="AC811" s="15">
        <f>X811+Y811+AB811</f>
      </c>
      <c r="AD811" s="6">
        <f>F811+G811+I811</f>
      </c>
      <c r="AE811" s="3"/>
      <c r="AF811" s="6">
        <f>SUM(AM811:BC811)</f>
      </c>
      <c r="AG811" s="5">
        <f>IF(SUM(AM811:AO811)&gt;0.7*AF811,1,0)</f>
      </c>
      <c r="AH811" s="5">
        <f>IF(AN811&gt;0.4*AF811,1,0)</f>
      </c>
      <c r="AI811" s="5">
        <f>IF(SUM(AP811:AQ811)&gt;0.3*AF811,1,0)</f>
      </c>
      <c r="AJ811" s="5">
        <f>IF(AQ811&gt;0.2*AF811,1,0)</f>
      </c>
      <c r="AK811" s="5">
        <f>IF(SUM(AR811:BC811)&gt;0.3*AF811,1,0)</f>
      </c>
      <c r="AL811" s="3"/>
      <c r="AM811" s="6">
        <f>(F811/100)*AM$41</f>
      </c>
      <c r="AN811" s="6">
        <f>(G811/100)*AN$41</f>
      </c>
      <c r="AO811" s="6">
        <f>(H811/1000000)*AO$41</f>
      </c>
      <c r="AP811" s="6">
        <f>(I811/100)*AP$41</f>
      </c>
      <c r="AQ811" s="6">
        <f>(J811/1000000)*AQ$41</f>
      </c>
      <c r="AR811" s="6">
        <f>(K811/100)*AR$41</f>
      </c>
      <c r="AS811" s="6">
        <f>(L811/100)*AS$41</f>
      </c>
      <c r="AT811" s="6">
        <f>(M811/100)*AT$41</f>
      </c>
      <c r="AU811" s="6">
        <f>(N811/100)*AU$41</f>
      </c>
      <c r="AV811" s="6">
        <f>(O811/1000000)*AV$41</f>
      </c>
      <c r="AW811" s="6">
        <f>(P811/100)*AW$41</f>
      </c>
      <c r="AX811" s="6">
        <f>(Q811/100)*AX$41</f>
      </c>
      <c r="AY811" s="6">
        <f>(R811/100)*AY$41</f>
      </c>
      <c r="AZ811" s="6">
        <f>(S811/100)*AZ$41</f>
      </c>
      <c r="BA811" s="6">
        <f>(T811/100)*BA$41</f>
      </c>
      <c r="BB811" s="6">
        <f>(U811/100)*BB$41</f>
      </c>
      <c r="BC811" s="6"/>
      <c r="BD811" s="3"/>
      <c r="BE811" s="3"/>
      <c r="BF811" s="7">
        <f>AF811*E811</f>
      </c>
      <c r="BG811" s="6"/>
      <c r="BH811" s="3"/>
      <c r="BI811" s="6"/>
    </row>
    <row x14ac:dyDescent="0.25" r="812" customHeight="1" ht="12.75">
      <c r="A812" s="5" t="s">
        <v>501</v>
      </c>
      <c r="B812" s="38" t="s">
        <v>859</v>
      </c>
      <c r="C812" s="43" t="s">
        <v>870</v>
      </c>
      <c r="D812" s="34"/>
      <c r="E812" s="7">
        <v>16.3296</v>
      </c>
      <c r="F812" s="7">
        <v>1</v>
      </c>
      <c r="G812" s="6">
        <v>2.2</v>
      </c>
      <c r="H812" s="5">
        <v>10</v>
      </c>
      <c r="I812" s="6">
        <v>0.9</v>
      </c>
      <c r="J812" s="6">
        <v>0.9</v>
      </c>
      <c r="K812" s="7"/>
      <c r="L812" s="6"/>
      <c r="M812" s="6"/>
      <c r="N812" s="23"/>
      <c r="O812" s="5"/>
      <c r="P812" s="6"/>
      <c r="Q812" s="6"/>
      <c r="R812" s="6"/>
      <c r="S812" s="6"/>
      <c r="T812" s="6"/>
      <c r="U812" s="6"/>
      <c r="V812" s="5"/>
      <c r="W812" s="6"/>
      <c r="X812" s="6">
        <f>E812*F812/100</f>
      </c>
      <c r="Y812" s="6">
        <f>E812*G812/100</f>
      </c>
      <c r="Z812" s="7">
        <f>E812*H812</f>
      </c>
      <c r="AA812" s="7">
        <f>E812*J812</f>
      </c>
      <c r="AB812" s="6">
        <f>E812*I812/100</f>
      </c>
      <c r="AC812" s="15">
        <f>X812+Y812+AB812</f>
      </c>
      <c r="AD812" s="6">
        <f>F812+G812+I812</f>
      </c>
      <c r="AE812" s="3"/>
      <c r="AF812" s="6">
        <f>SUM(AM812:BC812)</f>
      </c>
      <c r="AG812" s="5">
        <f>IF(SUM(AM812:AO812)&gt;0.7*AF812,1,0)</f>
      </c>
      <c r="AH812" s="5">
        <f>IF(AN812&gt;0.4*AF812,1,0)</f>
      </c>
      <c r="AI812" s="5">
        <f>IF(SUM(AP812:AQ812)&gt;0.3*AF812,1,0)</f>
      </c>
      <c r="AJ812" s="5">
        <f>IF(AQ812&gt;0.2*AF812,1,0)</f>
      </c>
      <c r="AK812" s="5">
        <f>IF(SUM(AR812:BC812)&gt;0.3*AF812,1,0)</f>
      </c>
      <c r="AL812" s="3"/>
      <c r="AM812" s="6">
        <f>(F812/100)*AM$41</f>
      </c>
      <c r="AN812" s="6">
        <f>(G812/100)*AN$41</f>
      </c>
      <c r="AO812" s="6">
        <f>(H812/1000000)*AO$41</f>
      </c>
      <c r="AP812" s="6">
        <f>(I812/100)*AP$41</f>
      </c>
      <c r="AQ812" s="6">
        <f>(J812/1000000)*AQ$41</f>
      </c>
      <c r="AR812" s="6">
        <f>(K812/100)*AR$41</f>
      </c>
      <c r="AS812" s="6">
        <f>(L812/100)*AS$41</f>
      </c>
      <c r="AT812" s="6">
        <f>(M812/100)*AT$41</f>
      </c>
      <c r="AU812" s="6">
        <f>(N812/100)*AU$41</f>
      </c>
      <c r="AV812" s="6">
        <f>(O812/1000000)*AV$41</f>
      </c>
      <c r="AW812" s="6">
        <f>(P812/100)*AW$41</f>
      </c>
      <c r="AX812" s="6">
        <f>(Q812/100)*AX$41</f>
      </c>
      <c r="AY812" s="6">
        <f>(R812/100)*AY$41</f>
      </c>
      <c r="AZ812" s="6">
        <f>(S812/100)*AZ$41</f>
      </c>
      <c r="BA812" s="6">
        <f>(T812/100)*BA$41</f>
      </c>
      <c r="BB812" s="6">
        <f>(U812/100)*BB$41</f>
      </c>
      <c r="BC812" s="6"/>
      <c r="BD812" s="3"/>
      <c r="BE812" s="3"/>
      <c r="BF812" s="7">
        <f>AF812*E812</f>
      </c>
      <c r="BG812" s="6"/>
      <c r="BH812" s="3"/>
      <c r="BI812" s="6"/>
    </row>
    <row x14ac:dyDescent="0.25" r="813" customHeight="1" ht="12.75">
      <c r="A813" s="5" t="s">
        <v>534</v>
      </c>
      <c r="B813" s="38" t="s">
        <v>859</v>
      </c>
      <c r="C813" s="43" t="s">
        <v>870</v>
      </c>
      <c r="D813" s="34"/>
      <c r="E813" s="5">
        <v>25</v>
      </c>
      <c r="F813" s="6">
        <v>0.13</v>
      </c>
      <c r="G813" s="6">
        <v>2.42</v>
      </c>
      <c r="H813" s="7">
        <v>8.708</v>
      </c>
      <c r="I813" s="6"/>
      <c r="J813" s="6"/>
      <c r="K813" s="7"/>
      <c r="L813" s="6"/>
      <c r="M813" s="6"/>
      <c r="N813" s="23"/>
      <c r="O813" s="5"/>
      <c r="P813" s="6"/>
      <c r="Q813" s="6"/>
      <c r="R813" s="6"/>
      <c r="S813" s="6"/>
      <c r="T813" s="6"/>
      <c r="U813" s="6"/>
      <c r="V813" s="5"/>
      <c r="W813" s="6"/>
      <c r="X813" s="6">
        <f>E813*F813/100</f>
      </c>
      <c r="Y813" s="6">
        <f>E813*G813/100</f>
      </c>
      <c r="Z813" s="7">
        <f>E813*H813</f>
      </c>
      <c r="AA813" s="7">
        <f>E813*J813</f>
      </c>
      <c r="AB813" s="6">
        <f>E813*I813/100</f>
      </c>
      <c r="AC813" s="15">
        <f>X813+Y813+AB813</f>
      </c>
      <c r="AD813" s="6">
        <f>F813+G813+I813</f>
      </c>
      <c r="AE813" s="3"/>
      <c r="AF813" s="6">
        <f>SUM(AM813:BC813)</f>
      </c>
      <c r="AG813" s="5">
        <f>IF(SUM(AM813:AO813)&gt;0.7*AF813,1,0)</f>
      </c>
      <c r="AH813" s="5">
        <f>IF(AN813&gt;0.4*AF813,1,0)</f>
      </c>
      <c r="AI813" s="5">
        <f>IF(SUM(AP813:AQ813)&gt;0.3*AF813,1,0)</f>
      </c>
      <c r="AJ813" s="5">
        <f>IF(AQ813&gt;0.2*AF813,1,0)</f>
      </c>
      <c r="AK813" s="5">
        <f>IF(SUM(AR813:BC813)&gt;0.3*AF813,1,0)</f>
      </c>
      <c r="AL813" s="3"/>
      <c r="AM813" s="6">
        <f>(F813/100)*AM$41</f>
      </c>
      <c r="AN813" s="6">
        <f>(G813/100)*AN$41</f>
      </c>
      <c r="AO813" s="6">
        <f>(H813/1000000)*AO$41</f>
      </c>
      <c r="AP813" s="6">
        <f>(I813/100)*AP$41</f>
      </c>
      <c r="AQ813" s="6">
        <f>(J813/1000000)*AQ$41</f>
      </c>
      <c r="AR813" s="6">
        <f>(K813/100)*AR$41</f>
      </c>
      <c r="AS813" s="6">
        <f>(L813/100)*AS$41</f>
      </c>
      <c r="AT813" s="6">
        <f>(M813/100)*AT$41</f>
      </c>
      <c r="AU813" s="6">
        <f>(N813/100)*AU$41</f>
      </c>
      <c r="AV813" s="6">
        <f>(O813/1000000)*AV$41</f>
      </c>
      <c r="AW813" s="6">
        <f>(P813/100)*AW$41</f>
      </c>
      <c r="AX813" s="6">
        <f>(Q813/100)*AX$41</f>
      </c>
      <c r="AY813" s="6">
        <f>(R813/100)*AY$41</f>
      </c>
      <c r="AZ813" s="6">
        <f>(S813/100)*AZ$41</f>
      </c>
      <c r="BA813" s="6">
        <f>(T813/100)*BA$41</f>
      </c>
      <c r="BB813" s="6">
        <f>(U813/100)*BB$41</f>
      </c>
      <c r="BC813" s="6"/>
      <c r="BD813" s="3"/>
      <c r="BE813" s="3"/>
      <c r="BF813" s="7">
        <f>AF813*E813</f>
      </c>
      <c r="BG813" s="6"/>
      <c r="BH813" s="3"/>
      <c r="BI813" s="6"/>
    </row>
    <row x14ac:dyDescent="0.25" r="814" customHeight="1" ht="12.75">
      <c r="A814" s="5" t="s">
        <v>584</v>
      </c>
      <c r="B814" s="38" t="s">
        <v>859</v>
      </c>
      <c r="C814" s="43" t="s">
        <v>870</v>
      </c>
      <c r="D814" s="34"/>
      <c r="E814" s="6">
        <v>9.1</v>
      </c>
      <c r="F814" s="6"/>
      <c r="G814" s="6">
        <v>4.24</v>
      </c>
      <c r="H814" s="7"/>
      <c r="I814" s="6">
        <v>1.58</v>
      </c>
      <c r="J814" s="6"/>
      <c r="K814" s="7"/>
      <c r="L814" s="6"/>
      <c r="M814" s="6"/>
      <c r="N814" s="23"/>
      <c r="O814" s="5"/>
      <c r="P814" s="6"/>
      <c r="Q814" s="6"/>
      <c r="R814" s="6"/>
      <c r="S814" s="6"/>
      <c r="T814" s="6"/>
      <c r="U814" s="6"/>
      <c r="V814" s="5"/>
      <c r="W814" s="6"/>
      <c r="X814" s="6">
        <f>E814*F814/100</f>
      </c>
      <c r="Y814" s="6">
        <f>E814*G814/100</f>
      </c>
      <c r="Z814" s="7">
        <f>E814*H814</f>
      </c>
      <c r="AA814" s="7">
        <f>E814*J814</f>
      </c>
      <c r="AB814" s="6">
        <f>E814*I814/100</f>
      </c>
      <c r="AC814" s="15">
        <f>X814+Y814+AB814</f>
      </c>
      <c r="AD814" s="6">
        <f>F814+G814+I814</f>
      </c>
      <c r="AE814" s="3"/>
      <c r="AF814" s="6">
        <f>SUM(AM814:BC814)</f>
      </c>
      <c r="AG814" s="5">
        <f>IF(SUM(AM814:AO814)&gt;0.7*AF814,1,0)</f>
      </c>
      <c r="AH814" s="5">
        <f>IF(AN814&gt;0.4*AF814,1,0)</f>
      </c>
      <c r="AI814" s="5">
        <f>IF(SUM(AP814:AQ814)&gt;0.3*AF814,1,0)</f>
      </c>
      <c r="AJ814" s="5">
        <f>IF(AQ814&gt;0.2*AF814,1,0)</f>
      </c>
      <c r="AK814" s="5">
        <f>IF(SUM(AR814:BC814)&gt;0.3*AF814,1,0)</f>
      </c>
      <c r="AL814" s="3"/>
      <c r="AM814" s="6">
        <f>(F814/100)*AM$41</f>
      </c>
      <c r="AN814" s="6">
        <f>(G814/100)*AN$41</f>
      </c>
      <c r="AO814" s="6">
        <f>(H814/1000000)*AO$41</f>
      </c>
      <c r="AP814" s="6">
        <f>(I814/100)*AP$41</f>
      </c>
      <c r="AQ814" s="6">
        <f>(J814/1000000)*AQ$41</f>
      </c>
      <c r="AR814" s="6">
        <f>(K814/100)*AR$41</f>
      </c>
      <c r="AS814" s="6">
        <f>(L814/100)*AS$41</f>
      </c>
      <c r="AT814" s="6">
        <f>(M814/100)*AT$41</f>
      </c>
      <c r="AU814" s="6">
        <f>(N814/100)*AU$41</f>
      </c>
      <c r="AV814" s="6">
        <f>(O814/1000000)*AV$41</f>
      </c>
      <c r="AW814" s="6">
        <f>(P814/100)*AW$41</f>
      </c>
      <c r="AX814" s="6">
        <f>(Q814/100)*AX$41</f>
      </c>
      <c r="AY814" s="6">
        <f>(R814/100)*AY$41</f>
      </c>
      <c r="AZ814" s="6">
        <f>(S814/100)*AZ$41</f>
      </c>
      <c r="BA814" s="6">
        <f>(T814/100)*BA$41</f>
      </c>
      <c r="BB814" s="6">
        <f>(U814/100)*BB$41</f>
      </c>
      <c r="BC814" s="6"/>
      <c r="BD814" s="3"/>
      <c r="BE814" s="3"/>
      <c r="BF814" s="7">
        <f>AF814*E814</f>
      </c>
      <c r="BG814" s="6"/>
      <c r="BH814" s="3"/>
      <c r="BI814" s="6"/>
    </row>
    <row x14ac:dyDescent="0.25" r="815" customHeight="1" ht="12.75">
      <c r="A815" s="5" t="s">
        <v>263</v>
      </c>
      <c r="B815" s="38" t="s">
        <v>859</v>
      </c>
      <c r="C815" s="43" t="s">
        <v>870</v>
      </c>
      <c r="D815" s="34"/>
      <c r="E815" s="6">
        <v>4.5</v>
      </c>
      <c r="F815" s="6">
        <v>1.71</v>
      </c>
      <c r="G815" s="6">
        <v>4.96</v>
      </c>
      <c r="H815" s="6">
        <v>8.1</v>
      </c>
      <c r="I815" s="6">
        <v>3.54</v>
      </c>
      <c r="J815" s="6"/>
      <c r="K815" s="7"/>
      <c r="L815" s="6"/>
      <c r="M815" s="6"/>
      <c r="N815" s="23"/>
      <c r="O815" s="5"/>
      <c r="P815" s="6"/>
      <c r="Q815" s="6"/>
      <c r="R815" s="6"/>
      <c r="S815" s="6"/>
      <c r="T815" s="6"/>
      <c r="U815" s="6"/>
      <c r="V815" s="5"/>
      <c r="W815" s="6"/>
      <c r="X815" s="6">
        <f>E815*F815/100</f>
      </c>
      <c r="Y815" s="6">
        <f>E815*G815/100</f>
      </c>
      <c r="Z815" s="7">
        <f>E815*H815</f>
      </c>
      <c r="AA815" s="7">
        <f>E815*J815</f>
      </c>
      <c r="AB815" s="6">
        <f>E815*I815/100</f>
      </c>
      <c r="AC815" s="15">
        <f>X815+Y815+AB815</f>
      </c>
      <c r="AD815" s="6">
        <f>F815+G815+I815</f>
      </c>
      <c r="AE815" s="3"/>
      <c r="AF815" s="6">
        <f>SUM(AM815:BC815)</f>
      </c>
      <c r="AG815" s="5">
        <f>IF(SUM(AM815:AO815)&gt;0.7*AF815,1,0)</f>
      </c>
      <c r="AH815" s="5">
        <f>IF(AN815&gt;0.4*AF815,1,0)</f>
      </c>
      <c r="AI815" s="5">
        <f>IF(SUM(AP815:AQ815)&gt;0.3*AF815,1,0)</f>
      </c>
      <c r="AJ815" s="5">
        <f>IF(AQ815&gt;0.2*AF815,1,0)</f>
      </c>
      <c r="AK815" s="5">
        <f>IF(SUM(AR815:BC815)&gt;0.3*AF815,1,0)</f>
      </c>
      <c r="AL815" s="3"/>
      <c r="AM815" s="6">
        <f>(F815/100)*AM$41</f>
      </c>
      <c r="AN815" s="6">
        <f>(G815/100)*AN$41</f>
      </c>
      <c r="AO815" s="6">
        <f>(H815/1000000)*AO$41</f>
      </c>
      <c r="AP815" s="6">
        <f>(I815/100)*AP$41</f>
      </c>
      <c r="AQ815" s="6">
        <f>(J815/1000000)*AQ$41</f>
      </c>
      <c r="AR815" s="6">
        <f>(K815/100)*AR$41</f>
      </c>
      <c r="AS815" s="6">
        <f>(L815/100)*AS$41</f>
      </c>
      <c r="AT815" s="6">
        <f>(M815/100)*AT$41</f>
      </c>
      <c r="AU815" s="6">
        <f>(N815/100)*AU$41</f>
      </c>
      <c r="AV815" s="6">
        <f>(O815/1000000)*AV$41</f>
      </c>
      <c r="AW815" s="6">
        <f>(P815/100)*AW$41</f>
      </c>
      <c r="AX815" s="6">
        <f>(Q815/100)*AX$41</f>
      </c>
      <c r="AY815" s="6">
        <f>(R815/100)*AY$41</f>
      </c>
      <c r="AZ815" s="6">
        <f>(S815/100)*AZ$41</f>
      </c>
      <c r="BA815" s="6">
        <f>(T815/100)*BA$41</f>
      </c>
      <c r="BB815" s="6">
        <f>(U815/100)*BB$41</f>
      </c>
      <c r="BC815" s="6"/>
      <c r="BD815" s="3"/>
      <c r="BE815" s="3"/>
      <c r="BF815" s="7">
        <f>AF815*E815</f>
      </c>
      <c r="BG815" s="6"/>
      <c r="BH815" s="3"/>
      <c r="BI815" s="6"/>
    </row>
    <row x14ac:dyDescent="0.25" r="816" customHeight="1" ht="12.75">
      <c r="A816" s="5" t="s">
        <v>546</v>
      </c>
      <c r="B816" s="38" t="s">
        <v>859</v>
      </c>
      <c r="C816" s="43" t="s">
        <v>870</v>
      </c>
      <c r="D816" s="34"/>
      <c r="E816" s="6">
        <v>14.1</v>
      </c>
      <c r="F816" s="6"/>
      <c r="G816" s="6">
        <v>0.73</v>
      </c>
      <c r="H816" s="7"/>
      <c r="I816" s="6">
        <v>2.16</v>
      </c>
      <c r="J816" s="6"/>
      <c r="K816" s="7"/>
      <c r="L816" s="6"/>
      <c r="M816" s="6"/>
      <c r="N816" s="23"/>
      <c r="O816" s="5"/>
      <c r="P816" s="6"/>
      <c r="Q816" s="6"/>
      <c r="R816" s="6"/>
      <c r="S816" s="6"/>
      <c r="T816" s="6"/>
      <c r="U816" s="6"/>
      <c r="V816" s="5"/>
      <c r="W816" s="6"/>
      <c r="X816" s="6">
        <f>E816*F816/100</f>
      </c>
      <c r="Y816" s="6">
        <f>E816*G816/100</f>
      </c>
      <c r="Z816" s="7">
        <f>E816*H816</f>
      </c>
      <c r="AA816" s="7">
        <f>E816*J816</f>
      </c>
      <c r="AB816" s="6">
        <f>E816*I816/100</f>
      </c>
      <c r="AC816" s="15">
        <f>X816+Y816+AB816</f>
      </c>
      <c r="AD816" s="6">
        <f>F816+G816+I816</f>
      </c>
      <c r="AE816" s="3"/>
      <c r="AF816" s="6">
        <f>SUM(AM816:BC816)</f>
      </c>
      <c r="AG816" s="5">
        <f>IF(SUM(AM816:AO816)&gt;0.7*AF816,1,0)</f>
      </c>
      <c r="AH816" s="5">
        <f>IF(AN816&gt;0.4*AF816,1,0)</f>
      </c>
      <c r="AI816" s="5">
        <f>IF(SUM(AP816:AQ816)&gt;0.3*AF816,1,0)</f>
      </c>
      <c r="AJ816" s="5">
        <f>IF(AQ816&gt;0.2*AF816,1,0)</f>
      </c>
      <c r="AK816" s="5">
        <f>IF(SUM(AR816:BC816)&gt;0.3*AF816,1,0)</f>
      </c>
      <c r="AL816" s="3"/>
      <c r="AM816" s="6">
        <f>(F816/100)*AM$41</f>
      </c>
      <c r="AN816" s="6">
        <f>(G816/100)*AN$41</f>
      </c>
      <c r="AO816" s="6">
        <f>(H816/1000000)*AO$41</f>
      </c>
      <c r="AP816" s="6">
        <f>(I816/100)*AP$41</f>
      </c>
      <c r="AQ816" s="6">
        <f>(J816/1000000)*AQ$41</f>
      </c>
      <c r="AR816" s="6">
        <f>(K816/100)*AR$41</f>
      </c>
      <c r="AS816" s="6">
        <f>(L816/100)*AS$41</f>
      </c>
      <c r="AT816" s="6">
        <f>(M816/100)*AT$41</f>
      </c>
      <c r="AU816" s="6">
        <f>(N816/100)*AU$41</f>
      </c>
      <c r="AV816" s="6">
        <f>(O816/1000000)*AV$41</f>
      </c>
      <c r="AW816" s="6">
        <f>(P816/100)*AW$41</f>
      </c>
      <c r="AX816" s="6">
        <f>(Q816/100)*AX$41</f>
      </c>
      <c r="AY816" s="6">
        <f>(R816/100)*AY$41</f>
      </c>
      <c r="AZ816" s="6">
        <f>(S816/100)*AZ$41</f>
      </c>
      <c r="BA816" s="6">
        <f>(T816/100)*BA$41</f>
      </c>
      <c r="BB816" s="6">
        <f>(U816/100)*BB$41</f>
      </c>
      <c r="BC816" s="6"/>
      <c r="BD816" s="3"/>
      <c r="BE816" s="3"/>
      <c r="BF816" s="7">
        <f>AF816*E816</f>
      </c>
      <c r="BG816" s="6"/>
      <c r="BH816" s="3"/>
      <c r="BI816" s="6"/>
    </row>
    <row x14ac:dyDescent="0.25" r="817" customHeight="1" ht="12.75">
      <c r="A817" s="5" t="s">
        <v>655</v>
      </c>
      <c r="B817" s="38" t="s">
        <v>859</v>
      </c>
      <c r="C817" s="43" t="s">
        <v>870</v>
      </c>
      <c r="D817" s="34"/>
      <c r="E817" s="6">
        <v>7.7</v>
      </c>
      <c r="F817" s="7">
        <v>1</v>
      </c>
      <c r="G817" s="6">
        <v>2.6</v>
      </c>
      <c r="H817" s="7"/>
      <c r="I817" s="6">
        <v>1.2</v>
      </c>
      <c r="J817" s="6"/>
      <c r="K817" s="7"/>
      <c r="L817" s="6"/>
      <c r="M817" s="6"/>
      <c r="N817" s="23"/>
      <c r="O817" s="5"/>
      <c r="P817" s="6"/>
      <c r="Q817" s="6"/>
      <c r="R817" s="6"/>
      <c r="S817" s="6"/>
      <c r="T817" s="6"/>
      <c r="U817" s="6"/>
      <c r="V817" s="5"/>
      <c r="W817" s="6"/>
      <c r="X817" s="6">
        <f>E817*F817/100</f>
      </c>
      <c r="Y817" s="6">
        <f>E817*G817/100</f>
      </c>
      <c r="Z817" s="7">
        <f>E817*H817</f>
      </c>
      <c r="AA817" s="7">
        <f>E817*J817</f>
      </c>
      <c r="AB817" s="6">
        <f>E817*I817/100</f>
      </c>
      <c r="AC817" s="15">
        <f>X817+Y817+AB817</f>
      </c>
      <c r="AD817" s="6">
        <f>F817+G817+I817</f>
      </c>
      <c r="AE817" s="3"/>
      <c r="AF817" s="6">
        <f>SUM(AM817:BC817)</f>
      </c>
      <c r="AG817" s="5">
        <f>IF(SUM(AM817:AO817)&gt;0.7*AF817,1,0)</f>
      </c>
      <c r="AH817" s="5">
        <f>IF(AN817&gt;0.4*AF817,1,0)</f>
      </c>
      <c r="AI817" s="5">
        <f>IF(SUM(AP817:AQ817)&gt;0.3*AF817,1,0)</f>
      </c>
      <c r="AJ817" s="5">
        <f>IF(AQ817&gt;0.2*AF817,1,0)</f>
      </c>
      <c r="AK817" s="5">
        <f>IF(SUM(AR817:BC817)&gt;0.3*AF817,1,0)</f>
      </c>
      <c r="AL817" s="3"/>
      <c r="AM817" s="6">
        <f>(F817/100)*AM$41</f>
      </c>
      <c r="AN817" s="6">
        <f>(G817/100)*AN$41</f>
      </c>
      <c r="AO817" s="6">
        <f>(H817/1000000)*AO$41</f>
      </c>
      <c r="AP817" s="6">
        <f>(I817/100)*AP$41</f>
      </c>
      <c r="AQ817" s="6">
        <f>(J817/1000000)*AQ$41</f>
      </c>
      <c r="AR817" s="6">
        <f>(K817/100)*AR$41</f>
      </c>
      <c r="AS817" s="6">
        <f>(L817/100)*AS$41</f>
      </c>
      <c r="AT817" s="6">
        <f>(M817/100)*AT$41</f>
      </c>
      <c r="AU817" s="6">
        <f>(N817/100)*AU$41</f>
      </c>
      <c r="AV817" s="6">
        <f>(O817/1000000)*AV$41</f>
      </c>
      <c r="AW817" s="6">
        <f>(P817/100)*AW$41</f>
      </c>
      <c r="AX817" s="6">
        <f>(Q817/100)*AX$41</f>
      </c>
      <c r="AY817" s="6">
        <f>(R817/100)*AY$41</f>
      </c>
      <c r="AZ817" s="6">
        <f>(S817/100)*AZ$41</f>
      </c>
      <c r="BA817" s="6">
        <f>(T817/100)*BA$41</f>
      </c>
      <c r="BB817" s="6">
        <f>(U817/100)*BB$41</f>
      </c>
      <c r="BC817" s="6"/>
      <c r="BD817" s="3"/>
      <c r="BE817" s="3"/>
      <c r="BF817" s="7">
        <f>AF817*E817</f>
      </c>
      <c r="BG817" s="6"/>
      <c r="BH817" s="3"/>
      <c r="BI817" s="6"/>
    </row>
    <row x14ac:dyDescent="0.25" r="818" customHeight="1" ht="12.75">
      <c r="A818" s="5" t="s">
        <v>468</v>
      </c>
      <c r="B818" s="38" t="s">
        <v>859</v>
      </c>
      <c r="C818" s="43" t="s">
        <v>870</v>
      </c>
      <c r="D818" s="34"/>
      <c r="E818" s="6">
        <v>4.1</v>
      </c>
      <c r="F818" s="6">
        <v>1.8</v>
      </c>
      <c r="G818" s="6">
        <v>6.2</v>
      </c>
      <c r="H818" s="5">
        <v>84</v>
      </c>
      <c r="I818" s="6"/>
      <c r="J818" s="6"/>
      <c r="K818" s="7"/>
      <c r="L818" s="6"/>
      <c r="M818" s="6"/>
      <c r="N818" s="23"/>
      <c r="O818" s="5"/>
      <c r="P818" s="6"/>
      <c r="Q818" s="6"/>
      <c r="R818" s="6"/>
      <c r="S818" s="6"/>
      <c r="T818" s="6"/>
      <c r="U818" s="6"/>
      <c r="V818" s="5"/>
      <c r="W818" s="6"/>
      <c r="X818" s="6">
        <f>E818*F818/100</f>
      </c>
      <c r="Y818" s="6">
        <f>E818*G818/100</f>
      </c>
      <c r="Z818" s="7">
        <f>E818*H818</f>
      </c>
      <c r="AA818" s="7">
        <f>E818*J818</f>
      </c>
      <c r="AB818" s="6">
        <f>E818*I818/100</f>
      </c>
      <c r="AC818" s="15">
        <f>X818+Y818+AB818</f>
      </c>
      <c r="AD818" s="6">
        <f>F818+G818+I818</f>
      </c>
      <c r="AE818" s="3"/>
      <c r="AF818" s="6">
        <f>SUM(AM818:BC818)</f>
      </c>
      <c r="AG818" s="5">
        <f>IF(SUM(AM818:AO818)&gt;0.7*AF818,1,0)</f>
      </c>
      <c r="AH818" s="5">
        <f>IF(AN818&gt;0.4*AF818,1,0)</f>
      </c>
      <c r="AI818" s="5">
        <f>IF(SUM(AP818:AQ818)&gt;0.3*AF818,1,0)</f>
      </c>
      <c r="AJ818" s="5">
        <f>IF(AQ818&gt;0.2*AF818,1,0)</f>
      </c>
      <c r="AK818" s="5">
        <f>IF(SUM(AR818:BC818)&gt;0.3*AF818,1,0)</f>
      </c>
      <c r="AL818" s="3"/>
      <c r="AM818" s="6">
        <f>(F818/100)*AM$41</f>
      </c>
      <c r="AN818" s="6">
        <f>(G818/100)*AN$41</f>
      </c>
      <c r="AO818" s="6">
        <f>(H818/1000000)*AO$41</f>
      </c>
      <c r="AP818" s="6">
        <f>(I818/100)*AP$41</f>
      </c>
      <c r="AQ818" s="6">
        <f>(J818/1000000)*AQ$41</f>
      </c>
      <c r="AR818" s="6">
        <f>(K818/100)*AR$41</f>
      </c>
      <c r="AS818" s="6">
        <f>(L818/100)*AS$41</f>
      </c>
      <c r="AT818" s="6">
        <f>(M818/100)*AT$41</f>
      </c>
      <c r="AU818" s="6">
        <f>(N818/100)*AU$41</f>
      </c>
      <c r="AV818" s="6">
        <f>(O818/1000000)*AV$41</f>
      </c>
      <c r="AW818" s="6">
        <f>(P818/100)*AW$41</f>
      </c>
      <c r="AX818" s="6">
        <f>(Q818/100)*AX$41</f>
      </c>
      <c r="AY818" s="6">
        <f>(R818/100)*AY$41</f>
      </c>
      <c r="AZ818" s="6">
        <f>(S818/100)*AZ$41</f>
      </c>
      <c r="BA818" s="6">
        <f>(T818/100)*BA$41</f>
      </c>
      <c r="BB818" s="6">
        <f>(U818/100)*BB$41</f>
      </c>
      <c r="BC818" s="6"/>
      <c r="BD818" s="3"/>
      <c r="BE818" s="3"/>
      <c r="BF818" s="7">
        <f>AF818*E818</f>
      </c>
      <c r="BG818" s="6"/>
      <c r="BH818" s="3"/>
      <c r="BI818" s="6"/>
    </row>
    <row x14ac:dyDescent="0.25" r="819" customHeight="1" ht="12.75">
      <c r="A819" s="5" t="s">
        <v>147</v>
      </c>
      <c r="B819" s="38" t="s">
        <v>859</v>
      </c>
      <c r="C819" s="43" t="s">
        <v>870</v>
      </c>
      <c r="D819" s="34"/>
      <c r="E819" s="6">
        <v>3.5</v>
      </c>
      <c r="F819" s="6"/>
      <c r="G819" s="6">
        <v>5.1</v>
      </c>
      <c r="H819" s="7"/>
      <c r="I819" s="5">
        <v>3</v>
      </c>
      <c r="J819" s="6">
        <v>4.5</v>
      </c>
      <c r="K819" s="7"/>
      <c r="L819" s="6"/>
      <c r="M819" s="6"/>
      <c r="N819" s="23"/>
      <c r="O819" s="5"/>
      <c r="P819" s="6"/>
      <c r="Q819" s="6"/>
      <c r="R819" s="6"/>
      <c r="S819" s="6"/>
      <c r="T819" s="6"/>
      <c r="U819" s="6"/>
      <c r="V819" s="5"/>
      <c r="W819" s="6"/>
      <c r="X819" s="6">
        <f>E819*F819/100</f>
      </c>
      <c r="Y819" s="6">
        <f>E819*G819/100</f>
      </c>
      <c r="Z819" s="7">
        <f>E819*H819</f>
      </c>
      <c r="AA819" s="7">
        <f>E819*J819</f>
      </c>
      <c r="AB819" s="6">
        <f>E819*I819/100</f>
      </c>
      <c r="AC819" s="15">
        <f>X819+Y819+AB819</f>
      </c>
      <c r="AD819" s="6">
        <f>F819+G819+I819</f>
      </c>
      <c r="AE819" s="3"/>
      <c r="AF819" s="6">
        <f>SUM(AM819:BC819)</f>
      </c>
      <c r="AG819" s="5">
        <f>IF(SUM(AM819:AO819)&gt;0.7*AF819,1,0)</f>
      </c>
      <c r="AH819" s="5">
        <f>IF(AN819&gt;0.4*AF819,1,0)</f>
      </c>
      <c r="AI819" s="5">
        <f>IF(SUM(AP819:AQ819)&gt;0.3*AF819,1,0)</f>
      </c>
      <c r="AJ819" s="5">
        <f>IF(AQ819&gt;0.2*AF819,1,0)</f>
      </c>
      <c r="AK819" s="5">
        <f>IF(SUM(AR819:BC819)&gt;0.3*AF819,1,0)</f>
      </c>
      <c r="AL819" s="3"/>
      <c r="AM819" s="6">
        <f>(F819/100)*AM$41</f>
      </c>
      <c r="AN819" s="6">
        <f>(G819/100)*AN$41</f>
      </c>
      <c r="AO819" s="6">
        <f>(H819/1000000)*AO$41</f>
      </c>
      <c r="AP819" s="6">
        <f>(I819/100)*AP$41</f>
      </c>
      <c r="AQ819" s="6">
        <f>(J819/1000000)*AQ$41</f>
      </c>
      <c r="AR819" s="6">
        <f>(K819/100)*AR$41</f>
      </c>
      <c r="AS819" s="6">
        <f>(L819/100)*AS$41</f>
      </c>
      <c r="AT819" s="6">
        <f>(M819/100)*AT$41</f>
      </c>
      <c r="AU819" s="6">
        <f>(N819/100)*AU$41</f>
      </c>
      <c r="AV819" s="6">
        <f>(O819/1000000)*AV$41</f>
      </c>
      <c r="AW819" s="6">
        <f>(P819/100)*AW$41</f>
      </c>
      <c r="AX819" s="6">
        <f>(Q819/100)*AX$41</f>
      </c>
      <c r="AY819" s="6">
        <f>(R819/100)*AY$41</f>
      </c>
      <c r="AZ819" s="6">
        <f>(S819/100)*AZ$41</f>
      </c>
      <c r="BA819" s="6">
        <f>(T819/100)*BA$41</f>
      </c>
      <c r="BB819" s="6">
        <f>(U819/100)*BB$41</f>
      </c>
      <c r="BC819" s="6"/>
      <c r="BD819" s="3"/>
      <c r="BE819" s="3"/>
      <c r="BF819" s="7">
        <f>AF819*E819</f>
      </c>
      <c r="BG819" s="6"/>
      <c r="BH819" s="3"/>
      <c r="BI819" s="6"/>
    </row>
    <row x14ac:dyDescent="0.25" r="820" customHeight="1" ht="12.75">
      <c r="A820" s="5" t="s">
        <v>424</v>
      </c>
      <c r="B820" s="38" t="s">
        <v>859</v>
      </c>
      <c r="C820" s="43" t="s">
        <v>870</v>
      </c>
      <c r="D820" s="34"/>
      <c r="E820" s="5">
        <v>6</v>
      </c>
      <c r="F820" s="6">
        <v>0.6</v>
      </c>
      <c r="G820" s="6">
        <v>1.2</v>
      </c>
      <c r="H820" s="6">
        <v>13.7</v>
      </c>
      <c r="I820" s="6">
        <v>2.8</v>
      </c>
      <c r="J820" s="6"/>
      <c r="K820" s="7"/>
      <c r="L820" s="6"/>
      <c r="M820" s="6">
        <v>0.17</v>
      </c>
      <c r="N820" s="23"/>
      <c r="O820" s="5"/>
      <c r="P820" s="6"/>
      <c r="Q820" s="6"/>
      <c r="R820" s="6"/>
      <c r="S820" s="6"/>
      <c r="T820" s="6"/>
      <c r="U820" s="6"/>
      <c r="V820" s="5"/>
      <c r="W820" s="6"/>
      <c r="X820" s="6">
        <f>E820*F820/100</f>
      </c>
      <c r="Y820" s="6">
        <f>E820*G820/100</f>
      </c>
      <c r="Z820" s="7">
        <f>E820*H820</f>
      </c>
      <c r="AA820" s="7">
        <f>E820*J820</f>
      </c>
      <c r="AB820" s="6">
        <f>E820*I820/100</f>
      </c>
      <c r="AC820" s="15">
        <f>X820+Y820+AB820</f>
      </c>
      <c r="AD820" s="6">
        <f>F820+G820+I820</f>
      </c>
      <c r="AE820" s="3"/>
      <c r="AF820" s="6">
        <f>SUM(AM820:BC820)</f>
      </c>
      <c r="AG820" s="5">
        <f>IF(SUM(AM820:AO820)&gt;0.7*AF820,1,0)</f>
      </c>
      <c r="AH820" s="5">
        <f>IF(AN820&gt;0.4*AF820,1,0)</f>
      </c>
      <c r="AI820" s="5">
        <f>IF(SUM(AP820:AQ820)&gt;0.3*AF820,1,0)</f>
      </c>
      <c r="AJ820" s="5">
        <f>IF(AQ820&gt;0.2*AF820,1,0)</f>
      </c>
      <c r="AK820" s="5">
        <f>IF(SUM(AR820:BC820)&gt;0.3*AF820,1,0)</f>
      </c>
      <c r="AL820" s="3"/>
      <c r="AM820" s="6">
        <f>(F820/100)*AM$41</f>
      </c>
      <c r="AN820" s="6">
        <f>(G820/100)*AN$41</f>
      </c>
      <c r="AO820" s="6">
        <f>(H820/1000000)*AO$41</f>
      </c>
      <c r="AP820" s="6">
        <f>(I820/100)*AP$41</f>
      </c>
      <c r="AQ820" s="6">
        <f>(J820/1000000)*AQ$41</f>
      </c>
      <c r="AR820" s="6">
        <f>(K820/100)*AR$41</f>
      </c>
      <c r="AS820" s="6">
        <f>(L820/100)*AS$41</f>
      </c>
      <c r="AT820" s="6">
        <f>(M820/100)*AT$41</f>
      </c>
      <c r="AU820" s="6">
        <f>(N820/100)*AU$41</f>
      </c>
      <c r="AV820" s="6">
        <f>(O820/1000000)*AV$41</f>
      </c>
      <c r="AW820" s="6">
        <f>(P820/100)*AW$41</f>
      </c>
      <c r="AX820" s="6">
        <f>(Q820/100)*AX$41</f>
      </c>
      <c r="AY820" s="6">
        <f>(R820/100)*AY$41</f>
      </c>
      <c r="AZ820" s="6">
        <f>(S820/100)*AZ$41</f>
      </c>
      <c r="BA820" s="6">
        <f>(T820/100)*BA$41</f>
      </c>
      <c r="BB820" s="6">
        <f>(U820/100)*BB$41</f>
      </c>
      <c r="BC820" s="6"/>
      <c r="BD820" s="3"/>
      <c r="BE820" s="3"/>
      <c r="BF820" s="7">
        <f>AF820*E820</f>
      </c>
      <c r="BG820" s="6"/>
      <c r="BH820" s="3"/>
      <c r="BI820" s="6"/>
    </row>
    <row x14ac:dyDescent="0.25" r="821" customHeight="1" ht="12.75">
      <c r="A821" s="5" t="s">
        <v>660</v>
      </c>
      <c r="B821" s="38" t="s">
        <v>859</v>
      </c>
      <c r="C821" s="43" t="s">
        <v>870</v>
      </c>
      <c r="D821" s="34"/>
      <c r="E821" s="6">
        <v>12.5</v>
      </c>
      <c r="F821" s="6"/>
      <c r="G821" s="6">
        <v>0.87</v>
      </c>
      <c r="H821" s="5">
        <v>7</v>
      </c>
      <c r="I821" s="6">
        <v>1.21</v>
      </c>
      <c r="J821" s="6">
        <v>0.1</v>
      </c>
      <c r="K821" s="7"/>
      <c r="L821" s="6"/>
      <c r="M821" s="6"/>
      <c r="N821" s="23"/>
      <c r="O821" s="5"/>
      <c r="P821" s="6"/>
      <c r="Q821" s="6"/>
      <c r="R821" s="6"/>
      <c r="S821" s="6"/>
      <c r="T821" s="6"/>
      <c r="U821" s="6"/>
      <c r="V821" s="5"/>
      <c r="W821" s="6"/>
      <c r="X821" s="6">
        <f>E821*F821/100</f>
      </c>
      <c r="Y821" s="6">
        <f>E821*G821/100</f>
      </c>
      <c r="Z821" s="7">
        <f>E821*H821</f>
      </c>
      <c r="AA821" s="7">
        <f>E821*J821</f>
      </c>
      <c r="AB821" s="6">
        <f>E821*I821/100</f>
      </c>
      <c r="AC821" s="15">
        <f>X821+Y821+AB821</f>
      </c>
      <c r="AD821" s="6">
        <f>F821+G821+I821</f>
      </c>
      <c r="AE821" s="3"/>
      <c r="AF821" s="6">
        <f>SUM(AM821:BC821)</f>
      </c>
      <c r="AG821" s="5">
        <f>IF(SUM(AM821:AO821)&gt;0.7*AF821,1,0)</f>
      </c>
      <c r="AH821" s="5">
        <f>IF(AN821&gt;0.4*AF821,1,0)</f>
      </c>
      <c r="AI821" s="5">
        <f>IF(SUM(AP821:AQ821)&gt;0.3*AF821,1,0)</f>
      </c>
      <c r="AJ821" s="5">
        <f>IF(AQ821&gt;0.2*AF821,1,0)</f>
      </c>
      <c r="AK821" s="5">
        <f>IF(SUM(AR821:BC821)&gt;0.3*AF821,1,0)</f>
      </c>
      <c r="AL821" s="3"/>
      <c r="AM821" s="6">
        <f>(F821/100)*AM$41</f>
      </c>
      <c r="AN821" s="6">
        <f>(G821/100)*AN$41</f>
      </c>
      <c r="AO821" s="6">
        <f>(H821/1000000)*AO$41</f>
      </c>
      <c r="AP821" s="6">
        <f>(I821/100)*AP$41</f>
      </c>
      <c r="AQ821" s="6">
        <f>(J821/1000000)*AQ$41</f>
      </c>
      <c r="AR821" s="6">
        <f>(K821/100)*AR$41</f>
      </c>
      <c r="AS821" s="6">
        <f>(L821/100)*AS$41</f>
      </c>
      <c r="AT821" s="6">
        <f>(M821/100)*AT$41</f>
      </c>
      <c r="AU821" s="6">
        <f>(N821/100)*AU$41</f>
      </c>
      <c r="AV821" s="6">
        <f>(O821/1000000)*AV$41</f>
      </c>
      <c r="AW821" s="6">
        <f>(P821/100)*AW$41</f>
      </c>
      <c r="AX821" s="6">
        <f>(Q821/100)*AX$41</f>
      </c>
      <c r="AY821" s="6">
        <f>(R821/100)*AY$41</f>
      </c>
      <c r="AZ821" s="6">
        <f>(S821/100)*AZ$41</f>
      </c>
      <c r="BA821" s="6">
        <f>(T821/100)*BA$41</f>
      </c>
      <c r="BB821" s="6">
        <f>(U821/100)*BB$41</f>
      </c>
      <c r="BC821" s="6"/>
      <c r="BD821" s="3"/>
      <c r="BE821" s="3"/>
      <c r="BF821" s="7">
        <f>AF821*E821</f>
      </c>
      <c r="BG821" s="6"/>
      <c r="BH821" s="3"/>
      <c r="BI821" s="6"/>
    </row>
    <row x14ac:dyDescent="0.25" r="822" customHeight="1" ht="12.75">
      <c r="A822" s="5" t="s">
        <v>729</v>
      </c>
      <c r="B822" s="38" t="s">
        <v>859</v>
      </c>
      <c r="C822" s="43" t="s">
        <v>870</v>
      </c>
      <c r="D822" s="34"/>
      <c r="E822" s="23">
        <v>6.3497</v>
      </c>
      <c r="F822" s="6"/>
      <c r="G822" s="7">
        <v>2.5</v>
      </c>
      <c r="H822" s="5">
        <v>20</v>
      </c>
      <c r="I822" s="6">
        <v>0.6</v>
      </c>
      <c r="J822" s="6">
        <v>0.5</v>
      </c>
      <c r="K822" s="7"/>
      <c r="L822" s="6"/>
      <c r="M822" s="6"/>
      <c r="N822" s="23"/>
      <c r="O822" s="5"/>
      <c r="P822" s="6"/>
      <c r="Q822" s="6"/>
      <c r="R822" s="6"/>
      <c r="S822" s="6"/>
      <c r="T822" s="6"/>
      <c r="U822" s="6"/>
      <c r="V822" s="5"/>
      <c r="W822" s="6"/>
      <c r="X822" s="6">
        <f>E822*F822/100</f>
      </c>
      <c r="Y822" s="6">
        <f>E822*G822/100</f>
      </c>
      <c r="Z822" s="7">
        <f>E822*H822</f>
      </c>
      <c r="AA822" s="7">
        <f>E822*J822</f>
      </c>
      <c r="AB822" s="6">
        <f>E822*I822/100</f>
      </c>
      <c r="AC822" s="15">
        <f>X822+Y822+AB822</f>
      </c>
      <c r="AD822" s="6">
        <f>F822+G822+I822</f>
      </c>
      <c r="AE822" s="3"/>
      <c r="AF822" s="6">
        <f>SUM(AM822:BC822)</f>
      </c>
      <c r="AG822" s="5">
        <f>IF(SUM(AM822:AO822)&gt;0.7*AF822,1,0)</f>
      </c>
      <c r="AH822" s="5">
        <f>IF(AN822&gt;0.4*AF822,1,0)</f>
      </c>
      <c r="AI822" s="5">
        <f>IF(SUM(AP822:AQ822)&gt;0.3*AF822,1,0)</f>
      </c>
      <c r="AJ822" s="5">
        <f>IF(AQ822&gt;0.2*AF822,1,0)</f>
      </c>
      <c r="AK822" s="5">
        <f>IF(SUM(AR822:BC822)&gt;0.3*AF822,1,0)</f>
      </c>
      <c r="AL822" s="3"/>
      <c r="AM822" s="6">
        <f>(F822/100)*AM$41</f>
      </c>
      <c r="AN822" s="6">
        <f>(G822/100)*AN$41</f>
      </c>
      <c r="AO822" s="6">
        <f>(H822/1000000)*AO$41</f>
      </c>
      <c r="AP822" s="6">
        <f>(I822/100)*AP$41</f>
      </c>
      <c r="AQ822" s="6">
        <f>(J822/1000000)*AQ$41</f>
      </c>
      <c r="AR822" s="6">
        <f>(K822/100)*AR$41</f>
      </c>
      <c r="AS822" s="6">
        <f>(L822/100)*AS$41</f>
      </c>
      <c r="AT822" s="6">
        <f>(M822/100)*AT$41</f>
      </c>
      <c r="AU822" s="6">
        <f>(N822/100)*AU$41</f>
      </c>
      <c r="AV822" s="6">
        <f>(O822/1000000)*AV$41</f>
      </c>
      <c r="AW822" s="6">
        <f>(P822/100)*AW$41</f>
      </c>
      <c r="AX822" s="6">
        <f>(Q822/100)*AX$41</f>
      </c>
      <c r="AY822" s="6">
        <f>(R822/100)*AY$41</f>
      </c>
      <c r="AZ822" s="6">
        <f>(S822/100)*AZ$41</f>
      </c>
      <c r="BA822" s="6">
        <f>(T822/100)*BA$41</f>
      </c>
      <c r="BB822" s="6">
        <f>(U822/100)*BB$41</f>
      </c>
      <c r="BC822" s="6"/>
      <c r="BD822" s="3"/>
      <c r="BE822" s="3"/>
      <c r="BF822" s="7">
        <f>AF822*E822</f>
      </c>
      <c r="BG822" s="6"/>
      <c r="BH822" s="3"/>
      <c r="BI822" s="6"/>
    </row>
    <row x14ac:dyDescent="0.25" r="823" customHeight="1" ht="12.75">
      <c r="A823" s="5" t="s">
        <v>195</v>
      </c>
      <c r="B823" s="38" t="s">
        <v>859</v>
      </c>
      <c r="C823" s="43" t="s">
        <v>870</v>
      </c>
      <c r="D823" s="34"/>
      <c r="E823" s="6">
        <v>2.3</v>
      </c>
      <c r="F823" s="6"/>
      <c r="G823" s="6">
        <v>5.56</v>
      </c>
      <c r="H823" s="6">
        <v>33.5</v>
      </c>
      <c r="I823" s="6">
        <v>2.56</v>
      </c>
      <c r="J823" s="6">
        <v>3.3</v>
      </c>
      <c r="K823" s="7"/>
      <c r="L823" s="6"/>
      <c r="M823" s="6"/>
      <c r="N823" s="23"/>
      <c r="O823" s="5"/>
      <c r="P823" s="6"/>
      <c r="Q823" s="6"/>
      <c r="R823" s="6"/>
      <c r="S823" s="6"/>
      <c r="T823" s="6"/>
      <c r="U823" s="6"/>
      <c r="V823" s="5"/>
      <c r="W823" s="6"/>
      <c r="X823" s="6">
        <f>E823*F823/100</f>
      </c>
      <c r="Y823" s="6">
        <f>E823*G823/100</f>
      </c>
      <c r="Z823" s="7">
        <f>E823*H823</f>
      </c>
      <c r="AA823" s="7">
        <f>E823*J823</f>
      </c>
      <c r="AB823" s="6">
        <f>E823*I823/100</f>
      </c>
      <c r="AC823" s="15">
        <f>X823+Y823+AB823</f>
      </c>
      <c r="AD823" s="6">
        <f>F823+G823+I823</f>
      </c>
      <c r="AE823" s="3"/>
      <c r="AF823" s="6">
        <f>SUM(AM823:BC823)</f>
      </c>
      <c r="AG823" s="5">
        <f>IF(SUM(AM823:AO823)&gt;0.7*AF823,1,0)</f>
      </c>
      <c r="AH823" s="5">
        <f>IF(AN823&gt;0.4*AF823,1,0)</f>
      </c>
      <c r="AI823" s="5">
        <f>IF(SUM(AP823:AQ823)&gt;0.3*AF823,1,0)</f>
      </c>
      <c r="AJ823" s="5">
        <f>IF(AQ823&gt;0.2*AF823,1,0)</f>
      </c>
      <c r="AK823" s="5">
        <f>IF(SUM(AR823:BC823)&gt;0.3*AF823,1,0)</f>
      </c>
      <c r="AL823" s="3"/>
      <c r="AM823" s="6">
        <f>(F823/100)*AM$41</f>
      </c>
      <c r="AN823" s="6">
        <f>(G823/100)*AN$41</f>
      </c>
      <c r="AO823" s="6">
        <f>(H823/1000000)*AO$41</f>
      </c>
      <c r="AP823" s="6">
        <f>(I823/100)*AP$41</f>
      </c>
      <c r="AQ823" s="6">
        <f>(J823/1000000)*AQ$41</f>
      </c>
      <c r="AR823" s="6">
        <f>(K823/100)*AR$41</f>
      </c>
      <c r="AS823" s="6">
        <f>(L823/100)*AS$41</f>
      </c>
      <c r="AT823" s="6">
        <f>(M823/100)*AT$41</f>
      </c>
      <c r="AU823" s="6">
        <f>(N823/100)*AU$41</f>
      </c>
      <c r="AV823" s="6">
        <f>(O823/1000000)*AV$41</f>
      </c>
      <c r="AW823" s="6">
        <f>(P823/100)*AW$41</f>
      </c>
      <c r="AX823" s="6">
        <f>(Q823/100)*AX$41</f>
      </c>
      <c r="AY823" s="6">
        <f>(R823/100)*AY$41</f>
      </c>
      <c r="AZ823" s="6">
        <f>(S823/100)*AZ$41</f>
      </c>
      <c r="BA823" s="6">
        <f>(T823/100)*BA$41</f>
      </c>
      <c r="BB823" s="6">
        <f>(U823/100)*BB$41</f>
      </c>
      <c r="BC823" s="6"/>
      <c r="BD823" s="3"/>
      <c r="BE823" s="3"/>
      <c r="BF823" s="7">
        <f>AF823*E823</f>
      </c>
      <c r="BG823" s="6"/>
      <c r="BH823" s="3"/>
      <c r="BI823" s="6"/>
    </row>
    <row x14ac:dyDescent="0.25" r="824" customHeight="1" ht="12.75">
      <c r="A824" s="5" t="s">
        <v>739</v>
      </c>
      <c r="B824" s="38" t="s">
        <v>859</v>
      </c>
      <c r="C824" s="43" t="s">
        <v>870</v>
      </c>
      <c r="D824" s="34"/>
      <c r="E824" s="6">
        <v>4.935168</v>
      </c>
      <c r="F824" s="6"/>
      <c r="G824" s="6">
        <v>1.8</v>
      </c>
      <c r="H824" s="7"/>
      <c r="I824" s="6">
        <v>1.49</v>
      </c>
      <c r="J824" s="6"/>
      <c r="K824" s="7"/>
      <c r="L824" s="6"/>
      <c r="M824" s="6"/>
      <c r="N824" s="23"/>
      <c r="O824" s="5"/>
      <c r="P824" s="6"/>
      <c r="Q824" s="6"/>
      <c r="R824" s="6"/>
      <c r="S824" s="6"/>
      <c r="T824" s="6"/>
      <c r="U824" s="6"/>
      <c r="V824" s="5"/>
      <c r="W824" s="6"/>
      <c r="X824" s="6">
        <f>E824*F824/100</f>
      </c>
      <c r="Y824" s="6">
        <f>E824*G824/100</f>
      </c>
      <c r="Z824" s="7">
        <f>E824*H824</f>
      </c>
      <c r="AA824" s="7">
        <f>E824*J824</f>
      </c>
      <c r="AB824" s="6">
        <f>E824*I824/100</f>
      </c>
      <c r="AC824" s="15">
        <f>X824+Y824+AB824</f>
      </c>
      <c r="AD824" s="6">
        <f>F824+G824+I824</f>
      </c>
      <c r="AE824" s="3"/>
      <c r="AF824" s="6">
        <f>SUM(AM824:BC824)</f>
      </c>
      <c r="AG824" s="5">
        <f>IF(SUM(AM824:AO824)&gt;0.7*AF824,1,0)</f>
      </c>
      <c r="AH824" s="5">
        <f>IF(AN824&gt;0.4*AF824,1,0)</f>
      </c>
      <c r="AI824" s="5">
        <f>IF(SUM(AP824:AQ824)&gt;0.3*AF824,1,0)</f>
      </c>
      <c r="AJ824" s="5">
        <f>IF(AQ824&gt;0.2*AF824,1,0)</f>
      </c>
      <c r="AK824" s="5">
        <f>IF(SUM(AR824:BC824)&gt;0.3*AF824,1,0)</f>
      </c>
      <c r="AL824" s="3"/>
      <c r="AM824" s="6">
        <f>(F824/100)*AM$41</f>
      </c>
      <c r="AN824" s="6">
        <f>(G824/100)*AN$41</f>
      </c>
      <c r="AO824" s="6">
        <f>(H824/1000000)*AO$41</f>
      </c>
      <c r="AP824" s="6">
        <f>(I824/100)*AP$41</f>
      </c>
      <c r="AQ824" s="6">
        <f>(J824/1000000)*AQ$41</f>
      </c>
      <c r="AR824" s="6">
        <f>(K824/100)*AR$41</f>
      </c>
      <c r="AS824" s="6">
        <f>(L824/100)*AS$41</f>
      </c>
      <c r="AT824" s="6">
        <f>(M824/100)*AT$41</f>
      </c>
      <c r="AU824" s="6">
        <f>(N824/100)*AU$41</f>
      </c>
      <c r="AV824" s="6">
        <f>(O824/1000000)*AV$41</f>
      </c>
      <c r="AW824" s="6">
        <f>(P824/100)*AW$41</f>
      </c>
      <c r="AX824" s="6">
        <f>(Q824/100)*AX$41</f>
      </c>
      <c r="AY824" s="6">
        <f>(R824/100)*AY$41</f>
      </c>
      <c r="AZ824" s="6">
        <f>(S824/100)*AZ$41</f>
      </c>
      <c r="BA824" s="6">
        <f>(T824/100)*BA$41</f>
      </c>
      <c r="BB824" s="6">
        <f>(U824/100)*BB$41</f>
      </c>
      <c r="BC824" s="6"/>
      <c r="BD824" s="3"/>
      <c r="BE824" s="3"/>
      <c r="BF824" s="7">
        <f>AF824*E824</f>
      </c>
      <c r="BG824" s="6"/>
      <c r="BH824" s="3"/>
      <c r="BI824" s="6"/>
    </row>
    <row x14ac:dyDescent="0.25" r="825" customHeight="1" ht="12.75">
      <c r="A825" s="5" t="s">
        <v>708</v>
      </c>
      <c r="B825" s="38" t="s">
        <v>859</v>
      </c>
      <c r="C825" s="43" t="s">
        <v>870</v>
      </c>
      <c r="D825" s="34"/>
      <c r="E825" s="23">
        <v>6.58504</v>
      </c>
      <c r="F825" s="6"/>
      <c r="G825" s="6">
        <v>1.65</v>
      </c>
      <c r="H825" s="7"/>
      <c r="I825" s="6">
        <v>0.55</v>
      </c>
      <c r="J825" s="6">
        <v>1.62</v>
      </c>
      <c r="K825" s="7"/>
      <c r="L825" s="6"/>
      <c r="M825" s="6"/>
      <c r="N825" s="23"/>
      <c r="O825" s="5"/>
      <c r="P825" s="6"/>
      <c r="Q825" s="6"/>
      <c r="R825" s="6"/>
      <c r="S825" s="6"/>
      <c r="T825" s="6"/>
      <c r="U825" s="6"/>
      <c r="V825" s="5"/>
      <c r="W825" s="6"/>
      <c r="X825" s="6">
        <f>E825*F825/100</f>
      </c>
      <c r="Y825" s="6">
        <f>E825*G825/100</f>
      </c>
      <c r="Z825" s="7">
        <f>E825*H825</f>
      </c>
      <c r="AA825" s="7">
        <f>E825*J825</f>
      </c>
      <c r="AB825" s="6">
        <f>E825*I825/100</f>
      </c>
      <c r="AC825" s="15">
        <f>X825+Y825+AB825</f>
      </c>
      <c r="AD825" s="6">
        <f>F825+G825+I825</f>
      </c>
      <c r="AE825" s="3"/>
      <c r="AF825" s="6">
        <f>SUM(AM825:BC825)</f>
      </c>
      <c r="AG825" s="5">
        <f>IF(SUM(AM825:AO825)&gt;0.7*AF825,1,0)</f>
      </c>
      <c r="AH825" s="5">
        <f>IF(AN825&gt;0.4*AF825,1,0)</f>
      </c>
      <c r="AI825" s="5">
        <f>IF(SUM(AP825:AQ825)&gt;0.3*AF825,1,0)</f>
      </c>
      <c r="AJ825" s="5">
        <f>IF(AQ825&gt;0.2*AF825,1,0)</f>
      </c>
      <c r="AK825" s="5">
        <f>IF(SUM(AR825:BC825)&gt;0.3*AF825,1,0)</f>
      </c>
      <c r="AL825" s="3"/>
      <c r="AM825" s="6">
        <f>(F825/100)*AM$41</f>
      </c>
      <c r="AN825" s="6">
        <f>(G825/100)*AN$41</f>
      </c>
      <c r="AO825" s="6">
        <f>(H825/1000000)*AO$41</f>
      </c>
      <c r="AP825" s="6">
        <f>(I825/100)*AP$41</f>
      </c>
      <c r="AQ825" s="6">
        <f>(J825/1000000)*AQ$41</f>
      </c>
      <c r="AR825" s="6">
        <f>(K825/100)*AR$41</f>
      </c>
      <c r="AS825" s="6">
        <f>(L825/100)*AS$41</f>
      </c>
      <c r="AT825" s="6">
        <f>(M825/100)*AT$41</f>
      </c>
      <c r="AU825" s="6">
        <f>(N825/100)*AU$41</f>
      </c>
      <c r="AV825" s="6">
        <f>(O825/1000000)*AV$41</f>
      </c>
      <c r="AW825" s="6">
        <f>(P825/100)*AW$41</f>
      </c>
      <c r="AX825" s="6">
        <f>(Q825/100)*AX$41</f>
      </c>
      <c r="AY825" s="6">
        <f>(R825/100)*AY$41</f>
      </c>
      <c r="AZ825" s="6">
        <f>(S825/100)*AZ$41</f>
      </c>
      <c r="BA825" s="6">
        <f>(T825/100)*BA$41</f>
      </c>
      <c r="BB825" s="6">
        <f>(U825/100)*BB$41</f>
      </c>
      <c r="BC825" s="6"/>
      <c r="BD825" s="3"/>
      <c r="BE825" s="3"/>
      <c r="BF825" s="7">
        <f>AF825*E825</f>
      </c>
      <c r="BG825" s="6"/>
      <c r="BH825" s="3"/>
      <c r="BI825" s="6"/>
    </row>
    <row x14ac:dyDescent="0.25" r="826" customHeight="1" ht="12.75">
      <c r="A826" s="5" t="s">
        <v>706</v>
      </c>
      <c r="B826" s="38" t="s">
        <v>859</v>
      </c>
      <c r="C826" s="43" t="s">
        <v>870</v>
      </c>
      <c r="D826" s="34"/>
      <c r="E826" s="6">
        <v>11.8</v>
      </c>
      <c r="F826" s="6"/>
      <c r="G826" s="6">
        <v>0.8</v>
      </c>
      <c r="H826" s="6">
        <v>10.3</v>
      </c>
      <c r="I826" s="6">
        <v>0.3</v>
      </c>
      <c r="J826" s="6">
        <v>0.9</v>
      </c>
      <c r="K826" s="7"/>
      <c r="L826" s="6"/>
      <c r="M826" s="6"/>
      <c r="N826" s="23"/>
      <c r="O826" s="5"/>
      <c r="P826" s="6"/>
      <c r="Q826" s="6"/>
      <c r="R826" s="6"/>
      <c r="S826" s="6"/>
      <c r="T826" s="6"/>
      <c r="U826" s="6"/>
      <c r="V826" s="5"/>
      <c r="W826" s="6"/>
      <c r="X826" s="6">
        <f>E826*F826/100</f>
      </c>
      <c r="Y826" s="6">
        <f>E826*G826/100</f>
      </c>
      <c r="Z826" s="7">
        <f>E826*H826</f>
      </c>
      <c r="AA826" s="7">
        <f>E826*J826</f>
      </c>
      <c r="AB826" s="6">
        <f>E826*I826/100</f>
      </c>
      <c r="AC826" s="15">
        <f>X826+Y826+AB826</f>
      </c>
      <c r="AD826" s="6">
        <f>F826+G826+I826</f>
      </c>
      <c r="AE826" s="3"/>
      <c r="AF826" s="6">
        <f>SUM(AM826:BC826)</f>
      </c>
      <c r="AG826" s="5">
        <f>IF(SUM(AM826:AO826)&gt;0.7*AF826,1,0)</f>
      </c>
      <c r="AH826" s="5">
        <f>IF(AN826&gt;0.4*AF826,1,0)</f>
      </c>
      <c r="AI826" s="5">
        <f>IF(SUM(AP826:AQ826)&gt;0.3*AF826,1,0)</f>
      </c>
      <c r="AJ826" s="5">
        <f>IF(AQ826&gt;0.2*AF826,1,0)</f>
      </c>
      <c r="AK826" s="5">
        <f>IF(SUM(AR826:BC826)&gt;0.3*AF826,1,0)</f>
      </c>
      <c r="AL826" s="3"/>
      <c r="AM826" s="6">
        <f>(F826/100)*AM$41</f>
      </c>
      <c r="AN826" s="6">
        <f>(G826/100)*AN$41</f>
      </c>
      <c r="AO826" s="6">
        <f>(H826/1000000)*AO$41</f>
      </c>
      <c r="AP826" s="6">
        <f>(I826/100)*AP$41</f>
      </c>
      <c r="AQ826" s="6">
        <f>(J826/1000000)*AQ$41</f>
      </c>
      <c r="AR826" s="6">
        <f>(K826/100)*AR$41</f>
      </c>
      <c r="AS826" s="6">
        <f>(L826/100)*AS$41</f>
      </c>
      <c r="AT826" s="6">
        <f>(M826/100)*AT$41</f>
      </c>
      <c r="AU826" s="6">
        <f>(N826/100)*AU$41</f>
      </c>
      <c r="AV826" s="6">
        <f>(O826/1000000)*AV$41</f>
      </c>
      <c r="AW826" s="6">
        <f>(P826/100)*AW$41</f>
      </c>
      <c r="AX826" s="6">
        <f>(Q826/100)*AX$41</f>
      </c>
      <c r="AY826" s="6">
        <f>(R826/100)*AY$41</f>
      </c>
      <c r="AZ826" s="6">
        <f>(S826/100)*AZ$41</f>
      </c>
      <c r="BA826" s="6">
        <f>(T826/100)*BA$41</f>
      </c>
      <c r="BB826" s="6">
        <f>(U826/100)*BB$41</f>
      </c>
      <c r="BC826" s="6"/>
      <c r="BD826" s="3"/>
      <c r="BE826" s="3"/>
      <c r="BF826" s="7">
        <f>AF826*E826</f>
      </c>
      <c r="BG826" s="6"/>
      <c r="BH826" s="3"/>
      <c r="BI826" s="6"/>
    </row>
    <row x14ac:dyDescent="0.25" r="827" customHeight="1" ht="12.75">
      <c r="A827" s="5" t="s">
        <v>775</v>
      </c>
      <c r="B827" s="38" t="s">
        <v>859</v>
      </c>
      <c r="C827" s="43" t="s">
        <v>870</v>
      </c>
      <c r="D827" s="34"/>
      <c r="E827" s="23">
        <v>2.63088</v>
      </c>
      <c r="F827" s="6">
        <v>0.53</v>
      </c>
      <c r="G827" s="6">
        <v>3.67</v>
      </c>
      <c r="H827" s="7"/>
      <c r="I827" s="6"/>
      <c r="J827" s="6"/>
      <c r="K827" s="7"/>
      <c r="L827" s="6"/>
      <c r="M827" s="6"/>
      <c r="N827" s="23"/>
      <c r="O827" s="5"/>
      <c r="P827" s="6"/>
      <c r="Q827" s="6"/>
      <c r="R827" s="6"/>
      <c r="S827" s="6"/>
      <c r="T827" s="6"/>
      <c r="U827" s="6"/>
      <c r="V827" s="5"/>
      <c r="W827" s="6"/>
      <c r="X827" s="6">
        <f>E827*F827/100</f>
      </c>
      <c r="Y827" s="6">
        <f>E827*G827/100</f>
      </c>
      <c r="Z827" s="7">
        <f>E827*H827</f>
      </c>
      <c r="AA827" s="7">
        <f>E827*J827</f>
      </c>
      <c r="AB827" s="6">
        <f>E827*I827/100</f>
      </c>
      <c r="AC827" s="15">
        <f>X827+Y827+AB827</f>
      </c>
      <c r="AD827" s="6">
        <f>F827+G827+I827</f>
      </c>
      <c r="AE827" s="3"/>
      <c r="AF827" s="6">
        <f>SUM(AM827:BC827)</f>
      </c>
      <c r="AG827" s="5">
        <f>IF(SUM(AM827:AO827)&gt;0.7*AF827,1,0)</f>
      </c>
      <c r="AH827" s="5">
        <f>IF(AN827&gt;0.4*AF827,1,0)</f>
      </c>
      <c r="AI827" s="5">
        <f>IF(SUM(AP827:AQ827)&gt;0.3*AF827,1,0)</f>
      </c>
      <c r="AJ827" s="5">
        <f>IF(AQ827&gt;0.2*AF827,1,0)</f>
      </c>
      <c r="AK827" s="5">
        <f>IF(SUM(AR827:BC827)&gt;0.3*AF827,1,0)</f>
      </c>
      <c r="AL827" s="3"/>
      <c r="AM827" s="6">
        <f>(F827/100)*AM$41</f>
      </c>
      <c r="AN827" s="6">
        <f>(G827/100)*AN$41</f>
      </c>
      <c r="AO827" s="6">
        <f>(H827/1000000)*AO$41</f>
      </c>
      <c r="AP827" s="6">
        <f>(I827/100)*AP$41</f>
      </c>
      <c r="AQ827" s="6">
        <f>(J827/1000000)*AQ$41</f>
      </c>
      <c r="AR827" s="6">
        <f>(K827/100)*AR$41</f>
      </c>
      <c r="AS827" s="6">
        <f>(L827/100)*AS$41</f>
      </c>
      <c r="AT827" s="6">
        <f>(M827/100)*AT$41</f>
      </c>
      <c r="AU827" s="6">
        <f>(N827/100)*AU$41</f>
      </c>
      <c r="AV827" s="6">
        <f>(O827/1000000)*AV$41</f>
      </c>
      <c r="AW827" s="6">
        <f>(P827/100)*AW$41</f>
      </c>
      <c r="AX827" s="6">
        <f>(Q827/100)*AX$41</f>
      </c>
      <c r="AY827" s="6">
        <f>(R827/100)*AY$41</f>
      </c>
      <c r="AZ827" s="6">
        <f>(S827/100)*AZ$41</f>
      </c>
      <c r="BA827" s="6">
        <f>(T827/100)*BA$41</f>
      </c>
      <c r="BB827" s="6">
        <f>(U827/100)*BB$41</f>
      </c>
      <c r="BC827" s="6"/>
      <c r="BD827" s="3"/>
      <c r="BE827" s="3"/>
      <c r="BF827" s="7">
        <f>AF827*E827</f>
      </c>
      <c r="BG827" s="6"/>
      <c r="BH827" s="3"/>
      <c r="BI827" s="6"/>
    </row>
    <row x14ac:dyDescent="0.25" r="828" customHeight="1" ht="12.75">
      <c r="A828" s="5" t="s">
        <v>798</v>
      </c>
      <c r="B828" s="38" t="s">
        <v>859</v>
      </c>
      <c r="C828" s="43" t="s">
        <v>870</v>
      </c>
      <c r="D828" s="34"/>
      <c r="E828" s="23">
        <v>3.865583</v>
      </c>
      <c r="F828" s="6">
        <v>0.39598531191802117</v>
      </c>
      <c r="G828" s="6">
        <v>2.1133840096047605</v>
      </c>
      <c r="H828" s="7">
        <v>23.896256510337505</v>
      </c>
      <c r="I828" s="6">
        <v>0.3380293761639577</v>
      </c>
      <c r="J828" s="6">
        <v>0.37081814049782397</v>
      </c>
      <c r="K828" s="7"/>
      <c r="L828" s="6"/>
      <c r="M828" s="6"/>
      <c r="N828" s="23"/>
      <c r="O828" s="5"/>
      <c r="P828" s="6"/>
      <c r="Q828" s="6"/>
      <c r="R828" s="6"/>
      <c r="S828" s="6"/>
      <c r="T828" s="6"/>
      <c r="U828" s="6"/>
      <c r="V828" s="5"/>
      <c r="W828" s="6"/>
      <c r="X828" s="6">
        <f>E828*F828/100</f>
      </c>
      <c r="Y828" s="6">
        <f>E828*G828/100</f>
      </c>
      <c r="Z828" s="7">
        <f>E828*H828</f>
      </c>
      <c r="AA828" s="7">
        <f>E828*J828</f>
      </c>
      <c r="AB828" s="6">
        <f>E828*I828/100</f>
      </c>
      <c r="AC828" s="15">
        <f>X828+Y828+AB828</f>
      </c>
      <c r="AD828" s="6">
        <f>F828+G828+I828</f>
      </c>
      <c r="AE828" s="3"/>
      <c r="AF828" s="6">
        <f>SUM(AM828:BC828)</f>
      </c>
      <c r="AG828" s="5">
        <f>IF(SUM(AM828:AO828)&gt;0.7*AF828,1,0)</f>
      </c>
      <c r="AH828" s="5">
        <f>IF(AN828&gt;0.4*AF828,1,0)</f>
      </c>
      <c r="AI828" s="5">
        <f>IF(SUM(AP828:AQ828)&gt;0.3*AF828,1,0)</f>
      </c>
      <c r="AJ828" s="5">
        <f>IF(AQ828&gt;0.2*AF828,1,0)</f>
      </c>
      <c r="AK828" s="5">
        <f>IF(SUM(AR828:BC828)&gt;0.3*AF828,1,0)</f>
      </c>
      <c r="AL828" s="3"/>
      <c r="AM828" s="6">
        <f>(F828/100)*AM$41</f>
      </c>
      <c r="AN828" s="6">
        <f>(G828/100)*AN$41</f>
      </c>
      <c r="AO828" s="6">
        <f>(H828/1000000)*AO$41</f>
      </c>
      <c r="AP828" s="6">
        <f>(I828/100)*AP$41</f>
      </c>
      <c r="AQ828" s="6">
        <f>(J828/1000000)*AQ$41</f>
      </c>
      <c r="AR828" s="6">
        <f>(K828/100)*AR$41</f>
      </c>
      <c r="AS828" s="6">
        <f>(L828/100)*AS$41</f>
      </c>
      <c r="AT828" s="6">
        <f>(M828/100)*AT$41</f>
      </c>
      <c r="AU828" s="6">
        <f>(N828/100)*AU$41</f>
      </c>
      <c r="AV828" s="6">
        <f>(O828/1000000)*AV$41</f>
      </c>
      <c r="AW828" s="6">
        <f>(P828/100)*AW$41</f>
      </c>
      <c r="AX828" s="6">
        <f>(Q828/100)*AX$41</f>
      </c>
      <c r="AY828" s="6">
        <f>(R828/100)*AY$41</f>
      </c>
      <c r="AZ828" s="6">
        <f>(S828/100)*AZ$41</f>
      </c>
      <c r="BA828" s="6">
        <f>(T828/100)*BA$41</f>
      </c>
      <c r="BB828" s="6">
        <f>(U828/100)*BB$41</f>
      </c>
      <c r="BC828" s="6"/>
      <c r="BD828" s="3"/>
      <c r="BE828" s="3"/>
      <c r="BF828" s="7">
        <f>AF828*E828</f>
      </c>
      <c r="BG828" s="6"/>
      <c r="BH828" s="3"/>
      <c r="BI828" s="6"/>
    </row>
    <row x14ac:dyDescent="0.25" r="829" customHeight="1" ht="12.75">
      <c r="A829" s="5" t="s">
        <v>777</v>
      </c>
      <c r="B829" s="38" t="s">
        <v>859</v>
      </c>
      <c r="C829" s="43" t="s">
        <v>870</v>
      </c>
      <c r="D829" s="34"/>
      <c r="E829" s="6">
        <v>3.5</v>
      </c>
      <c r="F829" s="6"/>
      <c r="G829" s="6">
        <v>1.3</v>
      </c>
      <c r="H829" s="7"/>
      <c r="I829" s="6">
        <v>1.7</v>
      </c>
      <c r="J829" s="6"/>
      <c r="K829" s="7"/>
      <c r="L829" s="6"/>
      <c r="M829" s="6"/>
      <c r="N829" s="23"/>
      <c r="O829" s="5"/>
      <c r="P829" s="6"/>
      <c r="Q829" s="6"/>
      <c r="R829" s="6"/>
      <c r="S829" s="6"/>
      <c r="T829" s="6"/>
      <c r="U829" s="6"/>
      <c r="V829" s="5"/>
      <c r="W829" s="6"/>
      <c r="X829" s="6">
        <f>E829*F829/100</f>
      </c>
      <c r="Y829" s="6">
        <f>E829*G829/100</f>
      </c>
      <c r="Z829" s="7">
        <f>E829*H829</f>
      </c>
      <c r="AA829" s="7">
        <f>E829*J829</f>
      </c>
      <c r="AB829" s="6">
        <f>E829*I829/100</f>
      </c>
      <c r="AC829" s="15">
        <f>X829+Y829+AB829</f>
      </c>
      <c r="AD829" s="6">
        <f>F829+G829+I829</f>
      </c>
      <c r="AE829" s="3"/>
      <c r="AF829" s="6">
        <f>SUM(AM829:BC829)</f>
      </c>
      <c r="AG829" s="5">
        <f>IF(SUM(AM829:AO829)&gt;0.7*AF829,1,0)</f>
      </c>
      <c r="AH829" s="5">
        <f>IF(AN829&gt;0.4*AF829,1,0)</f>
      </c>
      <c r="AI829" s="5">
        <f>IF(SUM(AP829:AQ829)&gt;0.3*AF829,1,0)</f>
      </c>
      <c r="AJ829" s="5">
        <f>IF(AQ829&gt;0.2*AF829,1,0)</f>
      </c>
      <c r="AK829" s="5">
        <f>IF(SUM(AR829:BC829)&gt;0.3*AF829,1,0)</f>
      </c>
      <c r="AL829" s="3"/>
      <c r="AM829" s="6">
        <f>(F829/100)*AM$41</f>
      </c>
      <c r="AN829" s="6">
        <f>(G829/100)*AN$41</f>
      </c>
      <c r="AO829" s="6">
        <f>(H829/1000000)*AO$41</f>
      </c>
      <c r="AP829" s="6">
        <f>(I829/100)*AP$41</f>
      </c>
      <c r="AQ829" s="6">
        <f>(J829/1000000)*AQ$41</f>
      </c>
      <c r="AR829" s="6">
        <f>(K829/100)*AR$41</f>
      </c>
      <c r="AS829" s="6">
        <f>(L829/100)*AS$41</f>
      </c>
      <c r="AT829" s="6">
        <f>(M829/100)*AT$41</f>
      </c>
      <c r="AU829" s="6">
        <f>(N829/100)*AU$41</f>
      </c>
      <c r="AV829" s="6">
        <f>(O829/1000000)*AV$41</f>
      </c>
      <c r="AW829" s="6">
        <f>(P829/100)*AW$41</f>
      </c>
      <c r="AX829" s="6">
        <f>(Q829/100)*AX$41</f>
      </c>
      <c r="AY829" s="6">
        <f>(R829/100)*AY$41</f>
      </c>
      <c r="AZ829" s="6">
        <f>(S829/100)*AZ$41</f>
      </c>
      <c r="BA829" s="6">
        <f>(T829/100)*BA$41</f>
      </c>
      <c r="BB829" s="6">
        <f>(U829/100)*BB$41</f>
      </c>
      <c r="BC829" s="6"/>
      <c r="BD829" s="3"/>
      <c r="BE829" s="3"/>
      <c r="BF829" s="7">
        <f>AF829*E829</f>
      </c>
      <c r="BG829" s="6"/>
      <c r="BH829" s="3"/>
      <c r="BI829" s="6"/>
    </row>
    <row x14ac:dyDescent="0.25" r="830" customHeight="1" ht="12.75">
      <c r="A830" s="5" t="s">
        <v>304</v>
      </c>
      <c r="B830" s="38" t="s">
        <v>859</v>
      </c>
      <c r="C830" s="43" t="s">
        <v>870</v>
      </c>
      <c r="D830" s="34"/>
      <c r="E830" s="6">
        <v>1.3</v>
      </c>
      <c r="F830" s="6">
        <v>0.67</v>
      </c>
      <c r="G830" s="6">
        <v>4.66</v>
      </c>
      <c r="H830" s="7"/>
      <c r="I830" s="6">
        <v>2.63</v>
      </c>
      <c r="J830" s="6">
        <v>1.5</v>
      </c>
      <c r="K830" s="7"/>
      <c r="L830" s="6"/>
      <c r="M830" s="6"/>
      <c r="N830" s="23"/>
      <c r="O830" s="5"/>
      <c r="P830" s="6"/>
      <c r="Q830" s="6"/>
      <c r="R830" s="6"/>
      <c r="S830" s="6"/>
      <c r="T830" s="6"/>
      <c r="U830" s="6"/>
      <c r="V830" s="5"/>
      <c r="W830" s="6"/>
      <c r="X830" s="6">
        <f>E830*F830/100</f>
      </c>
      <c r="Y830" s="6">
        <f>E830*G830/100</f>
      </c>
      <c r="Z830" s="7">
        <f>E830*H830</f>
      </c>
      <c r="AA830" s="7">
        <f>E830*J830</f>
      </c>
      <c r="AB830" s="6">
        <f>E830*I830/100</f>
      </c>
      <c r="AC830" s="15">
        <f>X830+Y830+AB830</f>
      </c>
      <c r="AD830" s="6">
        <f>F830+G830+I830</f>
      </c>
      <c r="AE830" s="3"/>
      <c r="AF830" s="6">
        <f>SUM(AM830:BC830)</f>
      </c>
      <c r="AG830" s="5">
        <f>IF(SUM(AM830:AO830)&gt;0.7*AF830,1,0)</f>
      </c>
      <c r="AH830" s="5">
        <f>IF(AN830&gt;0.4*AF830,1,0)</f>
      </c>
      <c r="AI830" s="5">
        <f>IF(SUM(AP830:AQ830)&gt;0.3*AF830,1,0)</f>
      </c>
      <c r="AJ830" s="5">
        <f>IF(AQ830&gt;0.2*AF830,1,0)</f>
      </c>
      <c r="AK830" s="5">
        <f>IF(SUM(AR830:BC830)&gt;0.3*AF830,1,0)</f>
      </c>
      <c r="AL830" s="3"/>
      <c r="AM830" s="6">
        <f>(F830/100)*AM$41</f>
      </c>
      <c r="AN830" s="6">
        <f>(G830/100)*AN$41</f>
      </c>
      <c r="AO830" s="6">
        <f>(H830/1000000)*AO$41</f>
      </c>
      <c r="AP830" s="6">
        <f>(I830/100)*AP$41</f>
      </c>
      <c r="AQ830" s="6">
        <f>(J830/1000000)*AQ$41</f>
      </c>
      <c r="AR830" s="6">
        <f>(K830/100)*AR$41</f>
      </c>
      <c r="AS830" s="6">
        <f>(L830/100)*AS$41</f>
      </c>
      <c r="AT830" s="6">
        <f>(M830/100)*AT$41</f>
      </c>
      <c r="AU830" s="6">
        <f>(N830/100)*AU$41</f>
      </c>
      <c r="AV830" s="6">
        <f>(O830/1000000)*AV$41</f>
      </c>
      <c r="AW830" s="6">
        <f>(P830/100)*AW$41</f>
      </c>
      <c r="AX830" s="6">
        <f>(Q830/100)*AX$41</f>
      </c>
      <c r="AY830" s="6">
        <f>(R830/100)*AY$41</f>
      </c>
      <c r="AZ830" s="6">
        <f>(S830/100)*AZ$41</f>
      </c>
      <c r="BA830" s="6">
        <f>(T830/100)*BA$41</f>
      </c>
      <c r="BB830" s="6">
        <f>(U830/100)*BB$41</f>
      </c>
      <c r="BC830" s="6"/>
      <c r="BD830" s="3"/>
      <c r="BE830" s="3"/>
      <c r="BF830" s="7">
        <f>AF830*E830</f>
      </c>
      <c r="BG830" s="6"/>
      <c r="BH830" s="3"/>
      <c r="BI830" s="6"/>
    </row>
    <row x14ac:dyDescent="0.25" r="831" customHeight="1" ht="12.75">
      <c r="A831" s="5" t="s">
        <v>792</v>
      </c>
      <c r="B831" s="38" t="s">
        <v>859</v>
      </c>
      <c r="C831" s="43" t="s">
        <v>870</v>
      </c>
      <c r="D831" s="34"/>
      <c r="E831" s="5">
        <v>3</v>
      </c>
      <c r="F831" s="6"/>
      <c r="G831" s="6">
        <v>1.7</v>
      </c>
      <c r="H831" s="7"/>
      <c r="I831" s="6">
        <v>1.55</v>
      </c>
      <c r="J831" s="6"/>
      <c r="K831" s="7"/>
      <c r="L831" s="6"/>
      <c r="M831" s="6"/>
      <c r="N831" s="23"/>
      <c r="O831" s="5"/>
      <c r="P831" s="6"/>
      <c r="Q831" s="6"/>
      <c r="R831" s="6"/>
      <c r="S831" s="6"/>
      <c r="T831" s="6"/>
      <c r="U831" s="6"/>
      <c r="V831" s="5"/>
      <c r="W831" s="6"/>
      <c r="X831" s="6">
        <f>E831*F831/100</f>
      </c>
      <c r="Y831" s="6">
        <f>E831*G831/100</f>
      </c>
      <c r="Z831" s="7">
        <f>E831*H831</f>
      </c>
      <c r="AA831" s="7">
        <f>E831*J831</f>
      </c>
      <c r="AB831" s="6">
        <f>E831*I831/100</f>
      </c>
      <c r="AC831" s="15">
        <f>X831+Y831+AB831</f>
      </c>
      <c r="AD831" s="6">
        <f>F831+G831+I831</f>
      </c>
      <c r="AE831" s="3"/>
      <c r="AF831" s="6">
        <f>SUM(AM831:BC831)</f>
      </c>
      <c r="AG831" s="5">
        <f>IF(SUM(AM831:AO831)&gt;0.7*AF831,1,0)</f>
      </c>
      <c r="AH831" s="5">
        <f>IF(AN831&gt;0.4*AF831,1,0)</f>
      </c>
      <c r="AI831" s="5">
        <f>IF(SUM(AP831:AQ831)&gt;0.3*AF831,1,0)</f>
      </c>
      <c r="AJ831" s="5">
        <f>IF(AQ831&gt;0.2*AF831,1,0)</f>
      </c>
      <c r="AK831" s="5">
        <f>IF(SUM(AR831:BC831)&gt;0.3*AF831,1,0)</f>
      </c>
      <c r="AL831" s="3"/>
      <c r="AM831" s="6">
        <f>(F831/100)*AM$41</f>
      </c>
      <c r="AN831" s="6">
        <f>(G831/100)*AN$41</f>
      </c>
      <c r="AO831" s="6">
        <f>(H831/1000000)*AO$41</f>
      </c>
      <c r="AP831" s="6">
        <f>(I831/100)*AP$41</f>
      </c>
      <c r="AQ831" s="6">
        <f>(J831/1000000)*AQ$41</f>
      </c>
      <c r="AR831" s="6">
        <f>(K831/100)*AR$41</f>
      </c>
      <c r="AS831" s="6">
        <f>(L831/100)*AS$41</f>
      </c>
      <c r="AT831" s="6">
        <f>(M831/100)*AT$41</f>
      </c>
      <c r="AU831" s="6">
        <f>(N831/100)*AU$41</f>
      </c>
      <c r="AV831" s="6">
        <f>(O831/1000000)*AV$41</f>
      </c>
      <c r="AW831" s="6">
        <f>(P831/100)*AW$41</f>
      </c>
      <c r="AX831" s="6">
        <f>(Q831/100)*AX$41</f>
      </c>
      <c r="AY831" s="6">
        <f>(R831/100)*AY$41</f>
      </c>
      <c r="AZ831" s="6">
        <f>(S831/100)*AZ$41</f>
      </c>
      <c r="BA831" s="6">
        <f>(T831/100)*BA$41</f>
      </c>
      <c r="BB831" s="6">
        <f>(U831/100)*BB$41</f>
      </c>
      <c r="BC831" s="6"/>
      <c r="BD831" s="3"/>
      <c r="BE831" s="3"/>
      <c r="BF831" s="7">
        <f>AF831*E831</f>
      </c>
      <c r="BG831" s="6"/>
      <c r="BH831" s="3"/>
      <c r="BI831" s="6"/>
    </row>
    <row x14ac:dyDescent="0.25" r="832" customHeight="1" ht="12.75">
      <c r="A832" s="5" t="s">
        <v>320</v>
      </c>
      <c r="B832" s="38" t="s">
        <v>859</v>
      </c>
      <c r="C832" s="43" t="s">
        <v>870</v>
      </c>
      <c r="D832" s="34"/>
      <c r="E832" s="6">
        <v>0.9189936</v>
      </c>
      <c r="F832" s="7">
        <v>0.7169792694965449</v>
      </c>
      <c r="G832" s="7">
        <v>9.406614017769003</v>
      </c>
      <c r="H832" s="31">
        <v>117.42954466712284</v>
      </c>
      <c r="I832" s="6"/>
      <c r="J832" s="7">
        <v>0.685626102292769</v>
      </c>
      <c r="K832" s="7"/>
      <c r="L832" s="6"/>
      <c r="M832" s="6"/>
      <c r="N832" s="23"/>
      <c r="O832" s="5"/>
      <c r="P832" s="6"/>
      <c r="Q832" s="6"/>
      <c r="R832" s="6"/>
      <c r="S832" s="6"/>
      <c r="T832" s="6"/>
      <c r="U832" s="6"/>
      <c r="V832" s="5"/>
      <c r="W832" s="6"/>
      <c r="X832" s="6">
        <f>E832*F832/100</f>
      </c>
      <c r="Y832" s="6">
        <f>E832*G832/100</f>
      </c>
      <c r="Z832" s="7">
        <f>E832*H832</f>
      </c>
      <c r="AA832" s="7">
        <f>E832*J832</f>
      </c>
      <c r="AB832" s="6">
        <f>E832*I832/100</f>
      </c>
      <c r="AC832" s="15">
        <f>X832+Y832+AB832</f>
      </c>
      <c r="AD832" s="6">
        <f>F832+G832+I832</f>
      </c>
      <c r="AE832" s="3"/>
      <c r="AF832" s="6">
        <f>SUM(AM832:BC832)</f>
      </c>
      <c r="AG832" s="5">
        <f>IF(SUM(AM832:AO832)&gt;0.7*AF832,1,0)</f>
      </c>
      <c r="AH832" s="5">
        <f>IF(AN832&gt;0.4*AF832,1,0)</f>
      </c>
      <c r="AI832" s="5">
        <f>IF(SUM(AP832:AQ832)&gt;0.3*AF832,1,0)</f>
      </c>
      <c r="AJ832" s="5">
        <f>IF(AQ832&gt;0.2*AF832,1,0)</f>
      </c>
      <c r="AK832" s="5">
        <f>IF(SUM(AR832:BC832)&gt;0.3*AF832,1,0)</f>
      </c>
      <c r="AL832" s="3"/>
      <c r="AM832" s="6">
        <f>(F832/100)*AM$41</f>
      </c>
      <c r="AN832" s="6">
        <f>(G832/100)*AN$41</f>
      </c>
      <c r="AO832" s="6">
        <f>(H832/1000000)*AO$41</f>
      </c>
      <c r="AP832" s="6">
        <f>(I832/100)*AP$41</f>
      </c>
      <c r="AQ832" s="6">
        <f>(J832/1000000)*AQ$41</f>
      </c>
      <c r="AR832" s="6">
        <f>(K832/100)*AR$41</f>
      </c>
      <c r="AS832" s="6">
        <f>(L832/100)*AS$41</f>
      </c>
      <c r="AT832" s="6">
        <f>(M832/100)*AT$41</f>
      </c>
      <c r="AU832" s="6">
        <f>(N832/100)*AU$41</f>
      </c>
      <c r="AV832" s="6">
        <f>(O832/1000000)*AV$41</f>
      </c>
      <c r="AW832" s="6">
        <f>(P832/100)*AW$41</f>
      </c>
      <c r="AX832" s="6">
        <f>(Q832/100)*AX$41</f>
      </c>
      <c r="AY832" s="6">
        <f>(R832/100)*AY$41</f>
      </c>
      <c r="AZ832" s="6">
        <f>(S832/100)*AZ$41</f>
      </c>
      <c r="BA832" s="6">
        <f>(T832/100)*BA$41</f>
      </c>
      <c r="BB832" s="6">
        <f>(U832/100)*BB$41</f>
      </c>
      <c r="BC832" s="6"/>
      <c r="BD832" s="3"/>
      <c r="BE832" s="3"/>
      <c r="BF832" s="7">
        <f>AF832*E832</f>
      </c>
      <c r="BG832" s="6"/>
      <c r="BH832" s="3"/>
      <c r="BI832" s="6"/>
    </row>
    <row x14ac:dyDescent="0.25" r="833" customHeight="1" ht="12.75">
      <c r="A833" s="5" t="s">
        <v>317</v>
      </c>
      <c r="B833" s="38" t="s">
        <v>859</v>
      </c>
      <c r="C833" s="43" t="s">
        <v>870</v>
      </c>
      <c r="D833" s="34"/>
      <c r="E833" s="23">
        <v>0.918964</v>
      </c>
      <c r="F833" s="7">
        <v>0.716975637783417</v>
      </c>
      <c r="G833" s="7">
        <v>9.406633992191207</v>
      </c>
      <c r="H833" s="7">
        <v>117.37000143640012</v>
      </c>
      <c r="I833" s="6"/>
      <c r="J833" s="6"/>
      <c r="K833" s="7"/>
      <c r="L833" s="6"/>
      <c r="M833" s="6"/>
      <c r="N833" s="23"/>
      <c r="O833" s="5"/>
      <c r="P833" s="6"/>
      <c r="Q833" s="6"/>
      <c r="R833" s="6"/>
      <c r="S833" s="6"/>
      <c r="T833" s="6"/>
      <c r="U833" s="6"/>
      <c r="V833" s="5"/>
      <c r="W833" s="6"/>
      <c r="X833" s="6">
        <f>E833*F833/100</f>
      </c>
      <c r="Y833" s="6">
        <f>E833*G833/100</f>
      </c>
      <c r="Z833" s="7">
        <f>E833*H833</f>
      </c>
      <c r="AA833" s="7">
        <f>E833*J833</f>
      </c>
      <c r="AB833" s="6">
        <f>E833*I833/100</f>
      </c>
      <c r="AC833" s="15">
        <f>X833+Y833+AB833</f>
      </c>
      <c r="AD833" s="6">
        <f>F833+G833+I833</f>
      </c>
      <c r="AE833" s="3"/>
      <c r="AF833" s="6">
        <f>SUM(AM833:BC833)</f>
      </c>
      <c r="AG833" s="5">
        <f>IF(SUM(AM833:AO833)&gt;0.7*AF833,1,0)</f>
      </c>
      <c r="AH833" s="5">
        <f>IF(AN833&gt;0.4*AF833,1,0)</f>
      </c>
      <c r="AI833" s="5">
        <f>IF(SUM(AP833:AQ833)&gt;0.3*AF833,1,0)</f>
      </c>
      <c r="AJ833" s="5">
        <f>IF(AQ833&gt;0.2*AF833,1,0)</f>
      </c>
      <c r="AK833" s="5">
        <f>IF(SUM(AR833:BC833)&gt;0.3*AF833,1,0)</f>
      </c>
      <c r="AL833" s="3"/>
      <c r="AM833" s="6">
        <f>(F833/100)*AM$41</f>
      </c>
      <c r="AN833" s="6">
        <f>(G833/100)*AN$41</f>
      </c>
      <c r="AO833" s="6">
        <f>(H833/1000000)*AO$41</f>
      </c>
      <c r="AP833" s="6">
        <f>(I833/100)*AP$41</f>
      </c>
      <c r="AQ833" s="6">
        <f>(J833/1000000)*AQ$41</f>
      </c>
      <c r="AR833" s="6">
        <f>(K833/100)*AR$41</f>
      </c>
      <c r="AS833" s="6">
        <f>(L833/100)*AS$41</f>
      </c>
      <c r="AT833" s="6">
        <f>(M833/100)*AT$41</f>
      </c>
      <c r="AU833" s="6">
        <f>(N833/100)*AU$41</f>
      </c>
      <c r="AV833" s="6">
        <f>(O833/1000000)*AV$41</f>
      </c>
      <c r="AW833" s="6">
        <f>(P833/100)*AW$41</f>
      </c>
      <c r="AX833" s="6">
        <f>(Q833/100)*AX$41</f>
      </c>
      <c r="AY833" s="6">
        <f>(R833/100)*AY$41</f>
      </c>
      <c r="AZ833" s="6">
        <f>(S833/100)*AZ$41</f>
      </c>
      <c r="BA833" s="6">
        <f>(T833/100)*BA$41</f>
      </c>
      <c r="BB833" s="6">
        <f>(U833/100)*BB$41</f>
      </c>
      <c r="BC833" s="6"/>
      <c r="BD833" s="3"/>
      <c r="BE833" s="3"/>
      <c r="BF833" s="7">
        <f>AF833*E833</f>
      </c>
      <c r="BG833" s="6"/>
      <c r="BH833" s="3"/>
      <c r="BI833" s="6"/>
    </row>
    <row x14ac:dyDescent="0.25" r="834" customHeight="1" ht="12.75">
      <c r="A834" s="5" t="s">
        <v>222</v>
      </c>
      <c r="B834" s="38" t="s">
        <v>859</v>
      </c>
      <c r="C834" s="43" t="s">
        <v>870</v>
      </c>
      <c r="D834" s="34"/>
      <c r="E834" s="6">
        <v>0.762</v>
      </c>
      <c r="F834" s="6">
        <v>0.3</v>
      </c>
      <c r="G834" s="6">
        <v>9.99</v>
      </c>
      <c r="H834" s="6">
        <v>14.5</v>
      </c>
      <c r="I834" s="6">
        <v>1.77</v>
      </c>
      <c r="J834" s="6"/>
      <c r="K834" s="7"/>
      <c r="L834" s="6"/>
      <c r="M834" s="6"/>
      <c r="N834" s="23"/>
      <c r="O834" s="5"/>
      <c r="P834" s="6"/>
      <c r="Q834" s="6"/>
      <c r="R834" s="6"/>
      <c r="S834" s="6"/>
      <c r="T834" s="6"/>
      <c r="U834" s="6"/>
      <c r="V834" s="5"/>
      <c r="W834" s="6"/>
      <c r="X834" s="6">
        <f>E834*F834/100</f>
      </c>
      <c r="Y834" s="6">
        <f>E834*G834/100</f>
      </c>
      <c r="Z834" s="7">
        <f>E834*H834</f>
      </c>
      <c r="AA834" s="7">
        <f>E834*J834</f>
      </c>
      <c r="AB834" s="6">
        <f>E834*I834/100</f>
      </c>
      <c r="AC834" s="15">
        <f>X834+Y834+AB834</f>
      </c>
      <c r="AD834" s="6">
        <f>F834+G834+I834</f>
      </c>
      <c r="AE834" s="3"/>
      <c r="AF834" s="6">
        <f>SUM(AM834:BC834)</f>
      </c>
      <c r="AG834" s="5">
        <f>IF(SUM(AM834:AO834)&gt;0.7*AF834,1,0)</f>
      </c>
      <c r="AH834" s="5">
        <f>IF(AN834&gt;0.4*AF834,1,0)</f>
      </c>
      <c r="AI834" s="5">
        <f>IF(SUM(AP834:AQ834)&gt;0.3*AF834,1,0)</f>
      </c>
      <c r="AJ834" s="5">
        <f>IF(AQ834&gt;0.2*AF834,1,0)</f>
      </c>
      <c r="AK834" s="5">
        <f>IF(SUM(AR834:BC834)&gt;0.3*AF834,1,0)</f>
      </c>
      <c r="AL834" s="3"/>
      <c r="AM834" s="6">
        <f>(F834/100)*AM$41</f>
      </c>
      <c r="AN834" s="6">
        <f>(G834/100)*AN$41</f>
      </c>
      <c r="AO834" s="6">
        <f>(H834/1000000)*AO$41</f>
      </c>
      <c r="AP834" s="6">
        <f>(I834/100)*AP$41</f>
      </c>
      <c r="AQ834" s="6">
        <f>(J834/1000000)*AQ$41</f>
      </c>
      <c r="AR834" s="6">
        <f>(K834/100)*AR$41</f>
      </c>
      <c r="AS834" s="6">
        <f>(L834/100)*AS$41</f>
      </c>
      <c r="AT834" s="6">
        <f>(M834/100)*AT$41</f>
      </c>
      <c r="AU834" s="6">
        <f>(N834/100)*AU$41</f>
      </c>
      <c r="AV834" s="6">
        <f>(O834/1000000)*AV$41</f>
      </c>
      <c r="AW834" s="6">
        <f>(P834/100)*AW$41</f>
      </c>
      <c r="AX834" s="6">
        <f>(Q834/100)*AX$41</f>
      </c>
      <c r="AY834" s="6">
        <f>(R834/100)*AY$41</f>
      </c>
      <c r="AZ834" s="6">
        <f>(S834/100)*AZ$41</f>
      </c>
      <c r="BA834" s="6">
        <f>(T834/100)*BA$41</f>
      </c>
      <c r="BB834" s="6">
        <f>(U834/100)*BB$41</f>
      </c>
      <c r="BC834" s="6"/>
      <c r="BD834" s="3"/>
      <c r="BE834" s="3"/>
      <c r="BF834" s="7">
        <f>AF834*E834</f>
      </c>
      <c r="BG834" s="6"/>
      <c r="BH834" s="3"/>
      <c r="BI834" s="6"/>
    </row>
    <row x14ac:dyDescent="0.25" r="835" customHeight="1" ht="12.75">
      <c r="A835" s="5" t="s">
        <v>266</v>
      </c>
      <c r="B835" s="38" t="s">
        <v>859</v>
      </c>
      <c r="C835" s="43" t="s">
        <v>870</v>
      </c>
      <c r="D835" s="34"/>
      <c r="E835" s="23">
        <v>1.13625</v>
      </c>
      <c r="F835" s="6">
        <v>2.2</v>
      </c>
      <c r="G835" s="6">
        <v>5.1</v>
      </c>
      <c r="H835" s="5">
        <v>336</v>
      </c>
      <c r="I835" s="6"/>
      <c r="J835" s="6">
        <v>0.6</v>
      </c>
      <c r="K835" s="7"/>
      <c r="L835" s="6"/>
      <c r="M835" s="6"/>
      <c r="N835" s="23"/>
      <c r="O835" s="5"/>
      <c r="P835" s="6"/>
      <c r="Q835" s="6"/>
      <c r="R835" s="6"/>
      <c r="S835" s="6"/>
      <c r="T835" s="6"/>
      <c r="U835" s="6"/>
      <c r="V835" s="5"/>
      <c r="W835" s="6"/>
      <c r="X835" s="6">
        <f>E835*F835/100</f>
      </c>
      <c r="Y835" s="6">
        <f>E835*G835/100</f>
      </c>
      <c r="Z835" s="7">
        <f>E835*H835</f>
      </c>
      <c r="AA835" s="7">
        <f>E835*J835</f>
      </c>
      <c r="AB835" s="6">
        <f>E835*I835/100</f>
      </c>
      <c r="AC835" s="15">
        <f>X835+Y835+AB835</f>
      </c>
      <c r="AD835" s="6">
        <f>F835+G835+I835</f>
      </c>
      <c r="AE835" s="3"/>
      <c r="AF835" s="6">
        <f>SUM(AM835:BC835)</f>
      </c>
      <c r="AG835" s="5">
        <f>IF(SUM(AM835:AO835)&gt;0.7*AF835,1,0)</f>
      </c>
      <c r="AH835" s="5">
        <f>IF(AN835&gt;0.4*AF835,1,0)</f>
      </c>
      <c r="AI835" s="5">
        <f>IF(SUM(AP835:AQ835)&gt;0.3*AF835,1,0)</f>
      </c>
      <c r="AJ835" s="5">
        <f>IF(AQ835&gt;0.2*AF835,1,0)</f>
      </c>
      <c r="AK835" s="5">
        <f>IF(SUM(AR835:BC835)&gt;0.3*AF835,1,0)</f>
      </c>
      <c r="AL835" s="3"/>
      <c r="AM835" s="6">
        <f>(F835/100)*AM$41</f>
      </c>
      <c r="AN835" s="6">
        <f>(G835/100)*AN$41</f>
      </c>
      <c r="AO835" s="6">
        <f>(H835/1000000)*AO$41</f>
      </c>
      <c r="AP835" s="6">
        <f>(I835/100)*AP$41</f>
      </c>
      <c r="AQ835" s="6">
        <f>(J835/1000000)*AQ$41</f>
      </c>
      <c r="AR835" s="6">
        <f>(K835/100)*AR$41</f>
      </c>
      <c r="AS835" s="6">
        <f>(L835/100)*AS$41</f>
      </c>
      <c r="AT835" s="6">
        <f>(M835/100)*AT$41</f>
      </c>
      <c r="AU835" s="6">
        <f>(N835/100)*AU$41</f>
      </c>
      <c r="AV835" s="6">
        <f>(O835/1000000)*AV$41</f>
      </c>
      <c r="AW835" s="6">
        <f>(P835/100)*AW$41</f>
      </c>
      <c r="AX835" s="6">
        <f>(Q835/100)*AX$41</f>
      </c>
      <c r="AY835" s="6">
        <f>(R835/100)*AY$41</f>
      </c>
      <c r="AZ835" s="6">
        <f>(S835/100)*AZ$41</f>
      </c>
      <c r="BA835" s="6">
        <f>(T835/100)*BA$41</f>
      </c>
      <c r="BB835" s="6">
        <f>(U835/100)*BB$41</f>
      </c>
      <c r="BC835" s="6"/>
      <c r="BD835" s="3"/>
      <c r="BE835" s="3"/>
      <c r="BF835" s="7">
        <f>AF835*E835</f>
      </c>
      <c r="BG835" s="6"/>
      <c r="BH835" s="3"/>
      <c r="BI835" s="6"/>
    </row>
    <row x14ac:dyDescent="0.25" r="836" customHeight="1" ht="12.75">
      <c r="A836" s="5" t="s">
        <v>423</v>
      </c>
      <c r="B836" s="38" t="s">
        <v>859</v>
      </c>
      <c r="C836" s="43" t="s">
        <v>870</v>
      </c>
      <c r="D836" s="34"/>
      <c r="E836" s="6">
        <v>0.961632</v>
      </c>
      <c r="F836" s="6">
        <v>1.03</v>
      </c>
      <c r="G836" s="6">
        <v>6.86</v>
      </c>
      <c r="H836" s="6">
        <v>54.52</v>
      </c>
      <c r="I836" s="6">
        <v>0.7</v>
      </c>
      <c r="J836" s="6">
        <v>1.02</v>
      </c>
      <c r="K836" s="7"/>
      <c r="L836" s="6"/>
      <c r="M836" s="6"/>
      <c r="N836" s="23"/>
      <c r="O836" s="5"/>
      <c r="P836" s="6"/>
      <c r="Q836" s="6"/>
      <c r="R836" s="6"/>
      <c r="S836" s="6"/>
      <c r="T836" s="6"/>
      <c r="U836" s="6"/>
      <c r="V836" s="5"/>
      <c r="W836" s="6"/>
      <c r="X836" s="6">
        <f>E836*F836/100</f>
      </c>
      <c r="Y836" s="6">
        <f>E836*G836/100</f>
      </c>
      <c r="Z836" s="7">
        <f>E836*H836</f>
      </c>
      <c r="AA836" s="7">
        <f>E836*J836</f>
      </c>
      <c r="AB836" s="6">
        <f>E836*I836/100</f>
      </c>
      <c r="AC836" s="15">
        <f>X836+Y836+AB836</f>
      </c>
      <c r="AD836" s="6">
        <f>F836+G836+I836</f>
      </c>
      <c r="AE836" s="3"/>
      <c r="AF836" s="6">
        <f>SUM(AM836:BC836)</f>
      </c>
      <c r="AG836" s="5">
        <f>IF(SUM(AM836:AO836)&gt;0.7*AF836,1,0)</f>
      </c>
      <c r="AH836" s="5">
        <f>IF(AN836&gt;0.4*AF836,1,0)</f>
      </c>
      <c r="AI836" s="5">
        <f>IF(SUM(AP836:AQ836)&gt;0.3*AF836,1,0)</f>
      </c>
      <c r="AJ836" s="5">
        <f>IF(AQ836&gt;0.2*AF836,1,0)</f>
      </c>
      <c r="AK836" s="5">
        <f>IF(SUM(AR836:BC836)&gt;0.3*AF836,1,0)</f>
      </c>
      <c r="AL836" s="3"/>
      <c r="AM836" s="6">
        <f>(F836/100)*AM$41</f>
      </c>
      <c r="AN836" s="6">
        <f>(G836/100)*AN$41</f>
      </c>
      <c r="AO836" s="6">
        <f>(H836/1000000)*AO$41</f>
      </c>
      <c r="AP836" s="6">
        <f>(I836/100)*AP$41</f>
      </c>
      <c r="AQ836" s="6">
        <f>(J836/1000000)*AQ$41</f>
      </c>
      <c r="AR836" s="6">
        <f>(K836/100)*AR$41</f>
      </c>
      <c r="AS836" s="6">
        <f>(L836/100)*AS$41</f>
      </c>
      <c r="AT836" s="6">
        <f>(M836/100)*AT$41</f>
      </c>
      <c r="AU836" s="6">
        <f>(N836/100)*AU$41</f>
      </c>
      <c r="AV836" s="6">
        <f>(O836/1000000)*AV$41</f>
      </c>
      <c r="AW836" s="6">
        <f>(P836/100)*AW$41</f>
      </c>
      <c r="AX836" s="6">
        <f>(Q836/100)*AX$41</f>
      </c>
      <c r="AY836" s="6">
        <f>(R836/100)*AY$41</f>
      </c>
      <c r="AZ836" s="6">
        <f>(S836/100)*AZ$41</f>
      </c>
      <c r="BA836" s="6">
        <f>(T836/100)*BA$41</f>
      </c>
      <c r="BB836" s="6">
        <f>(U836/100)*BB$41</f>
      </c>
      <c r="BC836" s="6"/>
      <c r="BD836" s="3"/>
      <c r="BE836" s="3"/>
      <c r="BF836" s="7">
        <f>AF836*E836</f>
      </c>
      <c r="BG836" s="6"/>
      <c r="BH836" s="3"/>
      <c r="BI836" s="6"/>
    </row>
    <row x14ac:dyDescent="0.25" r="837" customHeight="1" ht="12.75">
      <c r="A837" s="5" t="s">
        <v>438</v>
      </c>
      <c r="B837" s="38" t="s">
        <v>859</v>
      </c>
      <c r="C837" s="43" t="s">
        <v>870</v>
      </c>
      <c r="D837" s="34"/>
      <c r="E837" s="6">
        <v>1.2</v>
      </c>
      <c r="F837" s="6">
        <v>1.67</v>
      </c>
      <c r="G837" s="6">
        <v>4.48</v>
      </c>
      <c r="H837" s="5">
        <v>104</v>
      </c>
      <c r="I837" s="6">
        <v>0.58</v>
      </c>
      <c r="J837" s="6">
        <v>1.3</v>
      </c>
      <c r="K837" s="7"/>
      <c r="L837" s="6"/>
      <c r="M837" s="6"/>
      <c r="N837" s="23"/>
      <c r="O837" s="5"/>
      <c r="P837" s="6"/>
      <c r="Q837" s="6"/>
      <c r="R837" s="6"/>
      <c r="S837" s="6"/>
      <c r="T837" s="6"/>
      <c r="U837" s="6"/>
      <c r="V837" s="5"/>
      <c r="W837" s="6"/>
      <c r="X837" s="6">
        <f>E837*F837/100</f>
      </c>
      <c r="Y837" s="6">
        <f>E837*G837/100</f>
      </c>
      <c r="Z837" s="7">
        <f>E837*H837</f>
      </c>
      <c r="AA837" s="7">
        <f>E837*J837</f>
      </c>
      <c r="AB837" s="6">
        <f>E837*I837/100</f>
      </c>
      <c r="AC837" s="15">
        <f>X837+Y837+AB837</f>
      </c>
      <c r="AD837" s="6">
        <f>F837+G837+I837</f>
      </c>
      <c r="AE837" s="3"/>
      <c r="AF837" s="6">
        <f>SUM(AM837:BC837)</f>
      </c>
      <c r="AG837" s="5">
        <f>IF(SUM(AM837:AO837)&gt;0.7*AF837,1,0)</f>
      </c>
      <c r="AH837" s="5">
        <f>IF(AN837&gt;0.4*AF837,1,0)</f>
      </c>
      <c r="AI837" s="5">
        <f>IF(SUM(AP837:AQ837)&gt;0.3*AF837,1,0)</f>
      </c>
      <c r="AJ837" s="5">
        <f>IF(AQ837&gt;0.2*AF837,1,0)</f>
      </c>
      <c r="AK837" s="5">
        <f>IF(SUM(AR837:BC837)&gt;0.3*AF837,1,0)</f>
      </c>
      <c r="AL837" s="3"/>
      <c r="AM837" s="6">
        <f>(F837/100)*AM$41</f>
      </c>
      <c r="AN837" s="6">
        <f>(G837/100)*AN$41</f>
      </c>
      <c r="AO837" s="6">
        <f>(H837/1000000)*AO$41</f>
      </c>
      <c r="AP837" s="6">
        <f>(I837/100)*AP$41</f>
      </c>
      <c r="AQ837" s="6">
        <f>(J837/1000000)*AQ$41</f>
      </c>
      <c r="AR837" s="6">
        <f>(K837/100)*AR$41</f>
      </c>
      <c r="AS837" s="6">
        <f>(L837/100)*AS$41</f>
      </c>
      <c r="AT837" s="6">
        <f>(M837/100)*AT$41</f>
      </c>
      <c r="AU837" s="6">
        <f>(N837/100)*AU$41</f>
      </c>
      <c r="AV837" s="6">
        <f>(O837/1000000)*AV$41</f>
      </c>
      <c r="AW837" s="6">
        <f>(P837/100)*AW$41</f>
      </c>
      <c r="AX837" s="6">
        <f>(Q837/100)*AX$41</f>
      </c>
      <c r="AY837" s="6">
        <f>(R837/100)*AY$41</f>
      </c>
      <c r="AZ837" s="6">
        <f>(S837/100)*AZ$41</f>
      </c>
      <c r="BA837" s="6">
        <f>(T837/100)*BA$41</f>
      </c>
      <c r="BB837" s="6">
        <f>(U837/100)*BB$41</f>
      </c>
      <c r="BC837" s="6"/>
      <c r="BD837" s="3"/>
      <c r="BE837" s="3"/>
      <c r="BF837" s="7">
        <f>AF837*E837</f>
      </c>
      <c r="BG837" s="6"/>
      <c r="BH837" s="3"/>
      <c r="BI837" s="6"/>
    </row>
    <row x14ac:dyDescent="0.25" r="838" customHeight="1" ht="12.75">
      <c r="A838" s="5" t="s">
        <v>139</v>
      </c>
      <c r="B838" s="38" t="s">
        <v>859</v>
      </c>
      <c r="C838" s="43" t="s">
        <v>870</v>
      </c>
      <c r="D838" s="34"/>
      <c r="E838" s="6">
        <v>0.65</v>
      </c>
      <c r="F838" s="7">
        <v>2</v>
      </c>
      <c r="G838" s="7">
        <v>9</v>
      </c>
      <c r="H838" s="5">
        <v>280</v>
      </c>
      <c r="I838" s="6">
        <v>0.5</v>
      </c>
      <c r="J838" s="6">
        <v>1.7</v>
      </c>
      <c r="K838" s="7"/>
      <c r="L838" s="6"/>
      <c r="M838" s="6"/>
      <c r="N838" s="23"/>
      <c r="O838" s="5"/>
      <c r="P838" s="6"/>
      <c r="Q838" s="6"/>
      <c r="R838" s="6"/>
      <c r="S838" s="6"/>
      <c r="T838" s="6"/>
      <c r="U838" s="6"/>
      <c r="V838" s="5"/>
      <c r="W838" s="6"/>
      <c r="X838" s="6">
        <f>E838*F838/100</f>
      </c>
      <c r="Y838" s="6">
        <f>E838*G838/100</f>
      </c>
      <c r="Z838" s="7">
        <f>E838*H838</f>
      </c>
      <c r="AA838" s="7">
        <f>E838*J838</f>
      </c>
      <c r="AB838" s="6">
        <f>E838*I838/100</f>
      </c>
      <c r="AC838" s="15">
        <f>X838+Y838+AB838</f>
      </c>
      <c r="AD838" s="6">
        <f>F838+G838+I838</f>
      </c>
      <c r="AE838" s="3"/>
      <c r="AF838" s="6">
        <f>SUM(AM838:BC838)</f>
      </c>
      <c r="AG838" s="5">
        <f>IF(SUM(AM838:AO838)&gt;0.7*AF838,1,0)</f>
      </c>
      <c r="AH838" s="5">
        <f>IF(AN838&gt;0.4*AF838,1,0)</f>
      </c>
      <c r="AI838" s="5">
        <f>IF(SUM(AP838:AQ838)&gt;0.3*AF838,1,0)</f>
      </c>
      <c r="AJ838" s="5">
        <f>IF(AQ838&gt;0.2*AF838,1,0)</f>
      </c>
      <c r="AK838" s="5">
        <f>IF(SUM(AR838:BC838)&gt;0.3*AF838,1,0)</f>
      </c>
      <c r="AL838" s="3"/>
      <c r="AM838" s="6">
        <f>(F838/100)*AM$41</f>
      </c>
      <c r="AN838" s="6">
        <f>(G838/100)*AN$41</f>
      </c>
      <c r="AO838" s="6">
        <f>(H838/1000000)*AO$41</f>
      </c>
      <c r="AP838" s="6">
        <f>(I838/100)*AP$41</f>
      </c>
      <c r="AQ838" s="6">
        <f>(J838/1000000)*AQ$41</f>
      </c>
      <c r="AR838" s="6">
        <f>(K838/100)*AR$41</f>
      </c>
      <c r="AS838" s="6">
        <f>(L838/100)*AS$41</f>
      </c>
      <c r="AT838" s="6">
        <f>(M838/100)*AT$41</f>
      </c>
      <c r="AU838" s="6">
        <f>(N838/100)*AU$41</f>
      </c>
      <c r="AV838" s="6">
        <f>(O838/1000000)*AV$41</f>
      </c>
      <c r="AW838" s="6">
        <f>(P838/100)*AW$41</f>
      </c>
      <c r="AX838" s="6">
        <f>(Q838/100)*AX$41</f>
      </c>
      <c r="AY838" s="6">
        <f>(R838/100)*AY$41</f>
      </c>
      <c r="AZ838" s="6">
        <f>(S838/100)*AZ$41</f>
      </c>
      <c r="BA838" s="6">
        <f>(T838/100)*BA$41</f>
      </c>
      <c r="BB838" s="6">
        <f>(U838/100)*BB$41</f>
      </c>
      <c r="BC838" s="6"/>
      <c r="BD838" s="3"/>
      <c r="BE838" s="3"/>
      <c r="BF838" s="7">
        <f>AF838*E838</f>
      </c>
      <c r="BG838" s="6"/>
      <c r="BH838" s="3"/>
      <c r="BI838" s="6"/>
    </row>
    <row x14ac:dyDescent="0.25" r="839" customHeight="1" ht="12.75">
      <c r="A839" s="5" t="s">
        <v>542</v>
      </c>
      <c r="B839" s="38" t="s">
        <v>859</v>
      </c>
      <c r="C839" s="43" t="s">
        <v>870</v>
      </c>
      <c r="D839" s="34"/>
      <c r="E839" s="7">
        <v>1</v>
      </c>
      <c r="F839" s="7"/>
      <c r="G839" s="7">
        <v>6.7</v>
      </c>
      <c r="H839" s="31"/>
      <c r="I839" s="6">
        <v>0.4</v>
      </c>
      <c r="J839" s="6"/>
      <c r="K839" s="7"/>
      <c r="L839" s="6"/>
      <c r="M839" s="6"/>
      <c r="N839" s="23"/>
      <c r="O839" s="5"/>
      <c r="P839" s="6"/>
      <c r="Q839" s="6"/>
      <c r="R839" s="6"/>
      <c r="S839" s="6"/>
      <c r="T839" s="6"/>
      <c r="U839" s="6"/>
      <c r="V839" s="5"/>
      <c r="W839" s="6"/>
      <c r="X839" s="6">
        <f>E839*F839/100</f>
      </c>
      <c r="Y839" s="6">
        <f>E839*G839/100</f>
      </c>
      <c r="Z839" s="7">
        <f>E839*H839</f>
      </c>
      <c r="AA839" s="7">
        <f>E839*J839</f>
      </c>
      <c r="AB839" s="6">
        <f>E839*I839/100</f>
      </c>
      <c r="AC839" s="15">
        <f>X839+Y839+AB839</f>
      </c>
      <c r="AD839" s="6">
        <f>F839+G839+I839</f>
      </c>
      <c r="AE839" s="3"/>
      <c r="AF839" s="6">
        <f>SUM(AM839:BC839)</f>
      </c>
      <c r="AG839" s="5">
        <f>IF(SUM(AM839:AO839)&gt;0.7*AF839,1,0)</f>
      </c>
      <c r="AH839" s="5">
        <f>IF(AN839&gt;0.4*AF839,1,0)</f>
      </c>
      <c r="AI839" s="5">
        <f>IF(SUM(AP839:AQ839)&gt;0.3*AF839,1,0)</f>
      </c>
      <c r="AJ839" s="5">
        <f>IF(AQ839&gt;0.2*AF839,1,0)</f>
      </c>
      <c r="AK839" s="5">
        <f>IF(SUM(AR839:BC839)&gt;0.3*AF839,1,0)</f>
      </c>
      <c r="AL839" s="3"/>
      <c r="AM839" s="6">
        <f>(F839/100)*AM$41</f>
      </c>
      <c r="AN839" s="6">
        <f>(G839/100)*AN$41</f>
      </c>
      <c r="AO839" s="6">
        <f>(H839/1000000)*AO$41</f>
      </c>
      <c r="AP839" s="6">
        <f>(I839/100)*AP$41</f>
      </c>
      <c r="AQ839" s="6">
        <f>(J839/1000000)*AQ$41</f>
      </c>
      <c r="AR839" s="6">
        <f>(K839/100)*AR$41</f>
      </c>
      <c r="AS839" s="6">
        <f>(L839/100)*AS$41</f>
      </c>
      <c r="AT839" s="6">
        <f>(M839/100)*AT$41</f>
      </c>
      <c r="AU839" s="6">
        <f>(N839/100)*AU$41</f>
      </c>
      <c r="AV839" s="6">
        <f>(O839/1000000)*AV$41</f>
      </c>
      <c r="AW839" s="6">
        <f>(P839/100)*AW$41</f>
      </c>
      <c r="AX839" s="6">
        <f>(Q839/100)*AX$41</f>
      </c>
      <c r="AY839" s="6">
        <f>(R839/100)*AY$41</f>
      </c>
      <c r="AZ839" s="6">
        <f>(S839/100)*AZ$41</f>
      </c>
      <c r="BA839" s="6">
        <f>(T839/100)*BA$41</f>
      </c>
      <c r="BB839" s="6">
        <f>(U839/100)*BB$41</f>
      </c>
      <c r="BC839" s="6"/>
      <c r="BD839" s="3"/>
      <c r="BE839" s="3"/>
      <c r="BF839" s="7">
        <f>AF839*E839</f>
      </c>
      <c r="BG839" s="6"/>
      <c r="BH839" s="3"/>
      <c r="BI839" s="6"/>
    </row>
    <row x14ac:dyDescent="0.25" r="840" customHeight="1" ht="12.75">
      <c r="A840" s="5" t="s">
        <v>745</v>
      </c>
      <c r="B840" s="38" t="s">
        <v>859</v>
      </c>
      <c r="C840" s="43" t="s">
        <v>870</v>
      </c>
      <c r="D840" s="34"/>
      <c r="E840" s="6">
        <v>1.54224</v>
      </c>
      <c r="F840" s="6"/>
      <c r="G840" s="7">
        <v>3</v>
      </c>
      <c r="H840" s="7"/>
      <c r="I840" s="6">
        <v>1.55</v>
      </c>
      <c r="J840" s="6"/>
      <c r="K840" s="7"/>
      <c r="L840" s="6"/>
      <c r="M840" s="6"/>
      <c r="N840" s="23"/>
      <c r="O840" s="5"/>
      <c r="P840" s="6"/>
      <c r="Q840" s="6"/>
      <c r="R840" s="6"/>
      <c r="S840" s="6"/>
      <c r="T840" s="6"/>
      <c r="U840" s="6"/>
      <c r="V840" s="5"/>
      <c r="W840" s="6"/>
      <c r="X840" s="6">
        <f>E840*F840/100</f>
      </c>
      <c r="Y840" s="6">
        <f>E840*G840/100</f>
      </c>
      <c r="Z840" s="7">
        <f>E840*H840</f>
      </c>
      <c r="AA840" s="7">
        <f>E840*J840</f>
      </c>
      <c r="AB840" s="6">
        <f>E840*I840/100</f>
      </c>
      <c r="AC840" s="15">
        <f>X840+Y840+AB840</f>
      </c>
      <c r="AD840" s="6">
        <f>F840+G840+I840</f>
      </c>
      <c r="AE840" s="3"/>
      <c r="AF840" s="6">
        <f>SUM(AM840:BC840)</f>
      </c>
      <c r="AG840" s="5">
        <f>IF(SUM(AM840:AO840)&gt;0.7*AF840,1,0)</f>
      </c>
      <c r="AH840" s="5">
        <f>IF(AN840&gt;0.4*AF840,1,0)</f>
      </c>
      <c r="AI840" s="5">
        <f>IF(SUM(AP840:AQ840)&gt;0.3*AF840,1,0)</f>
      </c>
      <c r="AJ840" s="5">
        <f>IF(AQ840&gt;0.2*AF840,1,0)</f>
      </c>
      <c r="AK840" s="5">
        <f>IF(SUM(AR840:BC840)&gt;0.3*AF840,1,0)</f>
      </c>
      <c r="AL840" s="3"/>
      <c r="AM840" s="6">
        <f>(F840/100)*AM$41</f>
      </c>
      <c r="AN840" s="6">
        <f>(G840/100)*AN$41</f>
      </c>
      <c r="AO840" s="6">
        <f>(H840/1000000)*AO$41</f>
      </c>
      <c r="AP840" s="6">
        <f>(I840/100)*AP$41</f>
      </c>
      <c r="AQ840" s="6">
        <f>(J840/1000000)*AQ$41</f>
      </c>
      <c r="AR840" s="6">
        <f>(K840/100)*AR$41</f>
      </c>
      <c r="AS840" s="6">
        <f>(L840/100)*AS$41</f>
      </c>
      <c r="AT840" s="6">
        <f>(M840/100)*AT$41</f>
      </c>
      <c r="AU840" s="6">
        <f>(N840/100)*AU$41</f>
      </c>
      <c r="AV840" s="6">
        <f>(O840/1000000)*AV$41</f>
      </c>
      <c r="AW840" s="6">
        <f>(P840/100)*AW$41</f>
      </c>
      <c r="AX840" s="6">
        <f>(Q840/100)*AX$41</f>
      </c>
      <c r="AY840" s="6">
        <f>(R840/100)*AY$41</f>
      </c>
      <c r="AZ840" s="6">
        <f>(S840/100)*AZ$41</f>
      </c>
      <c r="BA840" s="6">
        <f>(T840/100)*BA$41</f>
      </c>
      <c r="BB840" s="6">
        <f>(U840/100)*BB$41</f>
      </c>
      <c r="BC840" s="6"/>
      <c r="BD840" s="3"/>
      <c r="BE840" s="3"/>
      <c r="BF840" s="7">
        <f>AF840*E840</f>
      </c>
      <c r="BG840" s="6"/>
      <c r="BH840" s="3"/>
      <c r="BI840" s="6"/>
    </row>
    <row x14ac:dyDescent="0.25" r="841" customHeight="1" ht="12.75">
      <c r="A841" s="5" t="s">
        <v>57</v>
      </c>
      <c r="B841" s="38" t="s">
        <v>859</v>
      </c>
      <c r="C841" s="43" t="s">
        <v>870</v>
      </c>
      <c r="D841" s="34"/>
      <c r="E841" s="5">
        <v>1</v>
      </c>
      <c r="F841" s="6"/>
      <c r="G841" s="6">
        <v>0.2</v>
      </c>
      <c r="H841" s="6">
        <v>5.1</v>
      </c>
      <c r="I841" s="6">
        <v>6.4</v>
      </c>
      <c r="J841" s="6">
        <v>1.4</v>
      </c>
      <c r="K841" s="7"/>
      <c r="L841" s="6">
        <v>0.3</v>
      </c>
      <c r="M841" s="6">
        <v>0.2</v>
      </c>
      <c r="N841" s="23"/>
      <c r="O841" s="5"/>
      <c r="P841" s="6"/>
      <c r="Q841" s="6"/>
      <c r="R841" s="6"/>
      <c r="S841" s="6"/>
      <c r="T841" s="6">
        <v>0.2</v>
      </c>
      <c r="U841" s="6"/>
      <c r="V841" s="5">
        <v>1</v>
      </c>
      <c r="W841" s="6" t="s">
        <v>1032</v>
      </c>
      <c r="X841" s="6">
        <f>E841*F841/100</f>
      </c>
      <c r="Y841" s="6">
        <f>E841*G841/100</f>
      </c>
      <c r="Z841" s="7">
        <f>E841*H841</f>
      </c>
      <c r="AA841" s="7">
        <f>E841*J841</f>
      </c>
      <c r="AB841" s="6">
        <f>E841*I841/100</f>
      </c>
      <c r="AC841" s="15">
        <f>X841+Y841+AB841</f>
      </c>
      <c r="AD841" s="6">
        <f>F841+G841+I841</f>
      </c>
      <c r="AE841" s="3"/>
      <c r="AF841" s="6">
        <f>SUM(AM841:BC841)</f>
      </c>
      <c r="AG841" s="5">
        <f>IF(SUM(AM841:AO841)&gt;0.7*AF841,1,0)</f>
      </c>
      <c r="AH841" s="5">
        <f>IF(AN841&gt;0.4*AF841,1,0)</f>
      </c>
      <c r="AI841" s="5">
        <f>IF(SUM(AP841:AQ841)&gt;0.3*AF841,1,0)</f>
      </c>
      <c r="AJ841" s="5">
        <f>IF(AQ841&gt;0.2*AF841,1,0)</f>
      </c>
      <c r="AK841" s="5">
        <f>IF(SUM(AR841:BC841)&gt;0.3*AF841,1,0)</f>
      </c>
      <c r="AL841" s="3"/>
      <c r="AM841" s="6">
        <f>(F841/100)*AM$41</f>
      </c>
      <c r="AN841" s="6">
        <f>(G841/100)*AN$41</f>
      </c>
      <c r="AO841" s="6">
        <f>(H841/1000000)*AO$41</f>
      </c>
      <c r="AP841" s="6">
        <f>(I841/100)*AP$41</f>
      </c>
      <c r="AQ841" s="6">
        <f>(J841/1000000)*AQ$41</f>
      </c>
      <c r="AR841" s="6">
        <f>(K841/100)*AR$41</f>
      </c>
      <c r="AS841" s="6">
        <f>(L841/100)*AS$41</f>
      </c>
      <c r="AT841" s="6">
        <f>(M841/100)*AT$41</f>
      </c>
      <c r="AU841" s="6">
        <f>(N841/100)*AU$41</f>
      </c>
      <c r="AV841" s="6">
        <f>(O841/1000000)*AV$41</f>
      </c>
      <c r="AW841" s="6">
        <f>(P841/100)*AW$41</f>
      </c>
      <c r="AX841" s="6">
        <f>(Q841/100)*AX$41</f>
      </c>
      <c r="AY841" s="6">
        <f>(R841/100)*AY$41</f>
      </c>
      <c r="AZ841" s="6">
        <f>(S841/100)*AZ$41</f>
      </c>
      <c r="BA841" s="6">
        <f>(T841/100)*BA$41</f>
      </c>
      <c r="BB841" s="6">
        <f>(U841/100)*BB$41</f>
      </c>
      <c r="BC841" s="6">
        <f>(V841/1000000)*((1440/31.1)*1000000)</f>
      </c>
      <c r="BD841" s="3" t="s">
        <v>1033</v>
      </c>
      <c r="BE841" s="3"/>
      <c r="BF841" s="7">
        <f>AF841*E841</f>
      </c>
      <c r="BG841" s="6"/>
      <c r="BH841" s="3"/>
      <c r="BI841" s="6"/>
    </row>
    <row x14ac:dyDescent="0.25" r="842" customHeight="1" ht="12.75">
      <c r="A842" s="5" t="s">
        <v>765</v>
      </c>
      <c r="B842" s="38" t="s">
        <v>859</v>
      </c>
      <c r="C842" s="43" t="s">
        <v>870</v>
      </c>
      <c r="D842" s="34"/>
      <c r="E842" s="6">
        <v>1.34</v>
      </c>
      <c r="F842" s="6">
        <v>0.4</v>
      </c>
      <c r="G842" s="6">
        <v>3.8</v>
      </c>
      <c r="H842" s="5">
        <v>13</v>
      </c>
      <c r="I842" s="6">
        <v>0.1</v>
      </c>
      <c r="J842" s="6">
        <v>0.25</v>
      </c>
      <c r="K842" s="7"/>
      <c r="L842" s="6"/>
      <c r="M842" s="6"/>
      <c r="N842" s="23"/>
      <c r="O842" s="5"/>
      <c r="P842" s="6"/>
      <c r="Q842" s="6"/>
      <c r="R842" s="6"/>
      <c r="S842" s="6"/>
      <c r="T842" s="6"/>
      <c r="U842" s="6"/>
      <c r="V842" s="5"/>
      <c r="W842" s="6"/>
      <c r="X842" s="6">
        <f>E842*F842/100</f>
      </c>
      <c r="Y842" s="6">
        <f>E842*G842/100</f>
      </c>
      <c r="Z842" s="7">
        <f>E842*H842</f>
      </c>
      <c r="AA842" s="7">
        <f>E842*J842</f>
      </c>
      <c r="AB842" s="6">
        <f>E842*I842/100</f>
      </c>
      <c r="AC842" s="15">
        <f>X842+Y842+AB842</f>
      </c>
      <c r="AD842" s="6">
        <f>F842+G842+I842</f>
      </c>
      <c r="AE842" s="3"/>
      <c r="AF842" s="6">
        <f>SUM(AM842:BC842)</f>
      </c>
      <c r="AG842" s="5">
        <f>IF(SUM(AM842:AO842)&gt;0.7*AF842,1,0)</f>
      </c>
      <c r="AH842" s="5">
        <f>IF(AN842&gt;0.4*AF842,1,0)</f>
      </c>
      <c r="AI842" s="5">
        <f>IF(SUM(AP842:AQ842)&gt;0.3*AF842,1,0)</f>
      </c>
      <c r="AJ842" s="5">
        <f>IF(AQ842&gt;0.2*AF842,1,0)</f>
      </c>
      <c r="AK842" s="5">
        <f>IF(SUM(AR842:BC842)&gt;0.3*AF842,1,0)</f>
      </c>
      <c r="AL842" s="3"/>
      <c r="AM842" s="6">
        <f>(F842/100)*AM$41</f>
      </c>
      <c r="AN842" s="6">
        <f>(G842/100)*AN$41</f>
      </c>
      <c r="AO842" s="6">
        <f>(H842/1000000)*AO$41</f>
      </c>
      <c r="AP842" s="6">
        <f>(I842/100)*AP$41</f>
      </c>
      <c r="AQ842" s="6">
        <f>(J842/1000000)*AQ$41</f>
      </c>
      <c r="AR842" s="6">
        <f>(K842/100)*AR$41</f>
      </c>
      <c r="AS842" s="6">
        <f>(L842/100)*AS$41</f>
      </c>
      <c r="AT842" s="6">
        <f>(M842/100)*AT$41</f>
      </c>
      <c r="AU842" s="6">
        <f>(N842/100)*AU$41</f>
      </c>
      <c r="AV842" s="6">
        <f>(O842/1000000)*AV$41</f>
      </c>
      <c r="AW842" s="6">
        <f>(P842/100)*AW$41</f>
      </c>
      <c r="AX842" s="6">
        <f>(Q842/100)*AX$41</f>
      </c>
      <c r="AY842" s="6">
        <f>(R842/100)*AY$41</f>
      </c>
      <c r="AZ842" s="6">
        <f>(S842/100)*AZ$41</f>
      </c>
      <c r="BA842" s="6">
        <f>(T842/100)*BA$41</f>
      </c>
      <c r="BB842" s="6">
        <f>(U842/100)*BB$41</f>
      </c>
      <c r="BC842" s="6"/>
      <c r="BD842" s="3"/>
      <c r="BE842" s="3"/>
      <c r="BF842" s="7">
        <f>AF842*E842</f>
      </c>
      <c r="BG842" s="6"/>
      <c r="BH842" s="3"/>
      <c r="BI842" s="6"/>
    </row>
    <row x14ac:dyDescent="0.25" r="843" customHeight="1" ht="12.75">
      <c r="A843" s="5" t="s">
        <v>300</v>
      </c>
      <c r="B843" s="38" t="s">
        <v>859</v>
      </c>
      <c r="C843" s="43" t="s">
        <v>870</v>
      </c>
      <c r="D843" s="34"/>
      <c r="E843" s="23">
        <v>0.53343</v>
      </c>
      <c r="F843" s="6">
        <v>6.1</v>
      </c>
      <c r="G843" s="6">
        <v>4.6</v>
      </c>
      <c r="H843" s="6">
        <v>102.86</v>
      </c>
      <c r="I843" s="6"/>
      <c r="J843" s="6"/>
      <c r="K843" s="7"/>
      <c r="L843" s="6"/>
      <c r="M843" s="6"/>
      <c r="N843" s="23"/>
      <c r="O843" s="5"/>
      <c r="P843" s="6"/>
      <c r="Q843" s="6"/>
      <c r="R843" s="6"/>
      <c r="S843" s="6"/>
      <c r="T843" s="6"/>
      <c r="U843" s="6"/>
      <c r="V843" s="5"/>
      <c r="W843" s="6"/>
      <c r="X843" s="6">
        <f>E843*F843/100</f>
      </c>
      <c r="Y843" s="6">
        <f>E843*G843/100</f>
      </c>
      <c r="Z843" s="7">
        <f>E843*H843</f>
      </c>
      <c r="AA843" s="7">
        <f>E843*J843</f>
      </c>
      <c r="AB843" s="6">
        <f>E843*I843/100</f>
      </c>
      <c r="AC843" s="15">
        <f>X843+Y843+AB843</f>
      </c>
      <c r="AD843" s="6">
        <f>F843+G843+I843</f>
      </c>
      <c r="AE843" s="3"/>
      <c r="AF843" s="6">
        <f>SUM(AM843:BC843)</f>
      </c>
      <c r="AG843" s="5">
        <f>IF(SUM(AM843:AO843)&gt;0.7*AF843,1,0)</f>
      </c>
      <c r="AH843" s="5">
        <f>IF(AN843&gt;0.4*AF843,1,0)</f>
      </c>
      <c r="AI843" s="5">
        <f>IF(SUM(AP843:AQ843)&gt;0.3*AF843,1,0)</f>
      </c>
      <c r="AJ843" s="5">
        <f>IF(AQ843&gt;0.2*AF843,1,0)</f>
      </c>
      <c r="AK843" s="5">
        <f>IF(SUM(AR843:BC843)&gt;0.3*AF843,1,0)</f>
      </c>
      <c r="AL843" s="3"/>
      <c r="AM843" s="6">
        <f>(F843/100)*AM$41</f>
      </c>
      <c r="AN843" s="6">
        <f>(G843/100)*AN$41</f>
      </c>
      <c r="AO843" s="6">
        <f>(H843/1000000)*AO$41</f>
      </c>
      <c r="AP843" s="6">
        <f>(I843/100)*AP$41</f>
      </c>
      <c r="AQ843" s="6">
        <f>(J843/1000000)*AQ$41</f>
      </c>
      <c r="AR843" s="6">
        <f>(K843/100)*AR$41</f>
      </c>
      <c r="AS843" s="6">
        <f>(L843/100)*AS$41</f>
      </c>
      <c r="AT843" s="6">
        <f>(M843/100)*AT$41</f>
      </c>
      <c r="AU843" s="6">
        <f>(N843/100)*AU$41</f>
      </c>
      <c r="AV843" s="6">
        <f>(O843/1000000)*AV$41</f>
      </c>
      <c r="AW843" s="6">
        <f>(P843/100)*AW$41</f>
      </c>
      <c r="AX843" s="6">
        <f>(Q843/100)*AX$41</f>
      </c>
      <c r="AY843" s="6">
        <f>(R843/100)*AY$41</f>
      </c>
      <c r="AZ843" s="6">
        <f>(S843/100)*AZ$41</f>
      </c>
      <c r="BA843" s="6">
        <f>(T843/100)*BA$41</f>
      </c>
      <c r="BB843" s="6">
        <f>(U843/100)*BB$41</f>
      </c>
      <c r="BC843" s="6"/>
      <c r="BD843" s="3"/>
      <c r="BE843" s="3"/>
      <c r="BF843" s="7">
        <f>AF843*E843</f>
      </c>
      <c r="BG843" s="6"/>
      <c r="BH843" s="3"/>
      <c r="BI843" s="6"/>
    </row>
    <row x14ac:dyDescent="0.25" r="844" customHeight="1" ht="12.75">
      <c r="A844" s="5" t="s">
        <v>510</v>
      </c>
      <c r="B844" s="38" t="s">
        <v>859</v>
      </c>
      <c r="C844" s="43" t="s">
        <v>870</v>
      </c>
      <c r="D844" s="34"/>
      <c r="E844" s="6">
        <v>1.32</v>
      </c>
      <c r="F844" s="6"/>
      <c r="G844" s="6">
        <v>1.89</v>
      </c>
      <c r="H844" s="7"/>
      <c r="I844" s="6">
        <v>2.15</v>
      </c>
      <c r="J844" s="6"/>
      <c r="K844" s="7"/>
      <c r="L844" s="6">
        <v>0.15</v>
      </c>
      <c r="M844" s="6">
        <v>0.16</v>
      </c>
      <c r="N844" s="23"/>
      <c r="O844" s="5"/>
      <c r="P844" s="6"/>
      <c r="Q844" s="6"/>
      <c r="R844" s="6"/>
      <c r="S844" s="6"/>
      <c r="T844" s="6"/>
      <c r="U844" s="6"/>
      <c r="V844" s="5"/>
      <c r="W844" s="6"/>
      <c r="X844" s="6">
        <f>E844*F844/100</f>
      </c>
      <c r="Y844" s="6">
        <f>E844*G844/100</f>
      </c>
      <c r="Z844" s="7">
        <f>E844*H844</f>
      </c>
      <c r="AA844" s="7">
        <f>E844*J844</f>
      </c>
      <c r="AB844" s="6">
        <f>E844*I844/100</f>
      </c>
      <c r="AC844" s="15">
        <f>X844+Y844+AB844</f>
      </c>
      <c r="AD844" s="6">
        <f>F844+G844+I844</f>
      </c>
      <c r="AE844" s="3"/>
      <c r="AF844" s="6">
        <f>SUM(AM844:BC844)</f>
      </c>
      <c r="AG844" s="5">
        <f>IF(SUM(AM844:AO844)&gt;0.7*AF844,1,0)</f>
      </c>
      <c r="AH844" s="5">
        <f>IF(AN844&gt;0.4*AF844,1,0)</f>
      </c>
      <c r="AI844" s="5">
        <f>IF(SUM(AP844:AQ844)&gt;0.3*AF844,1,0)</f>
      </c>
      <c r="AJ844" s="5">
        <f>IF(AQ844&gt;0.2*AF844,1,0)</f>
      </c>
      <c r="AK844" s="5">
        <f>IF(SUM(AR844:BC844)&gt;0.3*AF844,1,0)</f>
      </c>
      <c r="AL844" s="3"/>
      <c r="AM844" s="6">
        <f>(F844/100)*AM$41</f>
      </c>
      <c r="AN844" s="6">
        <f>(G844/100)*AN$41</f>
      </c>
      <c r="AO844" s="6">
        <f>(H844/1000000)*AO$41</f>
      </c>
      <c r="AP844" s="6">
        <f>(I844/100)*AP$41</f>
      </c>
      <c r="AQ844" s="6">
        <f>(J844/1000000)*AQ$41</f>
      </c>
      <c r="AR844" s="6">
        <f>(K844/100)*AR$41</f>
      </c>
      <c r="AS844" s="6">
        <f>(L844/100)*AS$41</f>
      </c>
      <c r="AT844" s="6">
        <f>(M844/100)*AT$41</f>
      </c>
      <c r="AU844" s="6">
        <f>(N844/100)*AU$41</f>
      </c>
      <c r="AV844" s="6">
        <f>(O844/1000000)*AV$41</f>
      </c>
      <c r="AW844" s="6">
        <f>(P844/100)*AW$41</f>
      </c>
      <c r="AX844" s="6">
        <f>(Q844/100)*AX$41</f>
      </c>
      <c r="AY844" s="6">
        <f>(R844/100)*AY$41</f>
      </c>
      <c r="AZ844" s="6">
        <f>(S844/100)*AZ$41</f>
      </c>
      <c r="BA844" s="6">
        <f>(T844/100)*BA$41</f>
      </c>
      <c r="BB844" s="6">
        <f>(U844/100)*BB$41</f>
      </c>
      <c r="BC844" s="6"/>
      <c r="BD844" s="3"/>
      <c r="BE844" s="3"/>
      <c r="BF844" s="7">
        <f>AF844*E844</f>
      </c>
      <c r="BG844" s="6"/>
      <c r="BH844" s="3"/>
      <c r="BI844" s="6"/>
    </row>
    <row x14ac:dyDescent="0.25" r="845" customHeight="1" ht="12.75">
      <c r="A845" s="5" t="s">
        <v>225</v>
      </c>
      <c r="B845" s="38" t="s">
        <v>859</v>
      </c>
      <c r="C845" s="43" t="s">
        <v>870</v>
      </c>
      <c r="D845" s="34"/>
      <c r="E845" s="23">
        <v>0.41634999999999994</v>
      </c>
      <c r="F845" s="7">
        <v>5.892510940314641</v>
      </c>
      <c r="G845" s="6">
        <v>5.516998486850007</v>
      </c>
      <c r="H845" s="7">
        <v>247.09447837156242</v>
      </c>
      <c r="I845" s="6"/>
      <c r="J845" s="6">
        <v>0.9504208478443618</v>
      </c>
      <c r="K845" s="7"/>
      <c r="L845" s="6"/>
      <c r="M845" s="6"/>
      <c r="N845" s="23"/>
      <c r="O845" s="5"/>
      <c r="P845" s="6"/>
      <c r="Q845" s="6"/>
      <c r="R845" s="6"/>
      <c r="S845" s="6"/>
      <c r="T845" s="6"/>
      <c r="U845" s="6"/>
      <c r="V845" s="5"/>
      <c r="W845" s="6"/>
      <c r="X845" s="6">
        <f>E845*F845/100</f>
      </c>
      <c r="Y845" s="6">
        <f>E845*G845/100</f>
      </c>
      <c r="Z845" s="7">
        <f>E845*H845</f>
      </c>
      <c r="AA845" s="7">
        <f>E845*J845</f>
      </c>
      <c r="AB845" s="6">
        <f>E845*I845/100</f>
      </c>
      <c r="AC845" s="15">
        <f>X845+Y845+AB845</f>
      </c>
      <c r="AD845" s="6">
        <f>F845+G845+I845</f>
      </c>
      <c r="AE845" s="3"/>
      <c r="AF845" s="6">
        <f>SUM(AM845:BC845)</f>
      </c>
      <c r="AG845" s="5">
        <f>IF(SUM(AM845:AO845)&gt;0.7*AF845,1,0)</f>
      </c>
      <c r="AH845" s="5">
        <f>IF(AN845&gt;0.4*AF845,1,0)</f>
      </c>
      <c r="AI845" s="5">
        <f>IF(SUM(AP845:AQ845)&gt;0.3*AF845,1,0)</f>
      </c>
      <c r="AJ845" s="5">
        <f>IF(AQ845&gt;0.2*AF845,1,0)</f>
      </c>
      <c r="AK845" s="5">
        <f>IF(SUM(AR845:BC845)&gt;0.3*AF845,1,0)</f>
      </c>
      <c r="AL845" s="3"/>
      <c r="AM845" s="6">
        <f>(F845/100)*AM$41</f>
      </c>
      <c r="AN845" s="6">
        <f>(G845/100)*AN$41</f>
      </c>
      <c r="AO845" s="6">
        <f>(H845/1000000)*AO$41</f>
      </c>
      <c r="AP845" s="6">
        <f>(I845/100)*AP$41</f>
      </c>
      <c r="AQ845" s="6">
        <f>(J845/1000000)*AQ$41</f>
      </c>
      <c r="AR845" s="6">
        <f>(K845/100)*AR$41</f>
      </c>
      <c r="AS845" s="6">
        <f>(L845/100)*AS$41</f>
      </c>
      <c r="AT845" s="6">
        <f>(M845/100)*AT$41</f>
      </c>
      <c r="AU845" s="6">
        <f>(N845/100)*AU$41</f>
      </c>
      <c r="AV845" s="6">
        <f>(O845/1000000)*AV$41</f>
      </c>
      <c r="AW845" s="6">
        <f>(P845/100)*AW$41</f>
      </c>
      <c r="AX845" s="6">
        <f>(Q845/100)*AX$41</f>
      </c>
      <c r="AY845" s="6">
        <f>(R845/100)*AY$41</f>
      </c>
      <c r="AZ845" s="6">
        <f>(S845/100)*AZ$41</f>
      </c>
      <c r="BA845" s="6">
        <f>(T845/100)*BA$41</f>
      </c>
      <c r="BB845" s="6">
        <f>(U845/100)*BB$41</f>
      </c>
      <c r="BC845" s="6"/>
      <c r="BD845" s="3"/>
      <c r="BE845" s="3"/>
      <c r="BF845" s="7">
        <f>AF845*E845</f>
      </c>
      <c r="BG845" s="6"/>
      <c r="BH845" s="3"/>
      <c r="BI845" s="6"/>
    </row>
    <row x14ac:dyDescent="0.25" r="846" customHeight="1" ht="12.75">
      <c r="A846" s="5" t="s">
        <v>800</v>
      </c>
      <c r="B846" s="38" t="s">
        <v>859</v>
      </c>
      <c r="C846" s="43" t="s">
        <v>870</v>
      </c>
      <c r="D846" s="34"/>
      <c r="E846" s="23">
        <v>1.388915</v>
      </c>
      <c r="F846" s="6"/>
      <c r="G846" s="6">
        <v>3.17</v>
      </c>
      <c r="H846" s="7"/>
      <c r="I846" s="6"/>
      <c r="J846" s="6">
        <v>1.77</v>
      </c>
      <c r="K846" s="7"/>
      <c r="L846" s="6"/>
      <c r="M846" s="6"/>
      <c r="N846" s="23"/>
      <c r="O846" s="5"/>
      <c r="P846" s="6"/>
      <c r="Q846" s="6"/>
      <c r="R846" s="6"/>
      <c r="S846" s="6"/>
      <c r="T846" s="6"/>
      <c r="U846" s="6"/>
      <c r="V846" s="5"/>
      <c r="W846" s="6"/>
      <c r="X846" s="6">
        <f>E846*F846/100</f>
      </c>
      <c r="Y846" s="6">
        <f>E846*G846/100</f>
      </c>
      <c r="Z846" s="7">
        <f>E846*H846</f>
      </c>
      <c r="AA846" s="7">
        <f>E846*J846</f>
      </c>
      <c r="AB846" s="6">
        <f>E846*I846/100</f>
      </c>
      <c r="AC846" s="15">
        <f>X846+Y846+AB846</f>
      </c>
      <c r="AD846" s="6">
        <f>F846+G846+I846</f>
      </c>
      <c r="AE846" s="3"/>
      <c r="AF846" s="6">
        <f>SUM(AM846:BC846)</f>
      </c>
      <c r="AG846" s="5">
        <f>IF(SUM(AM846:AO846)&gt;0.7*AF846,1,0)</f>
      </c>
      <c r="AH846" s="5">
        <f>IF(AN846&gt;0.4*AF846,1,0)</f>
      </c>
      <c r="AI846" s="5">
        <f>IF(SUM(AP846:AQ846)&gt;0.3*AF846,1,0)</f>
      </c>
      <c r="AJ846" s="5">
        <f>IF(AQ846&gt;0.2*AF846,1,0)</f>
      </c>
      <c r="AK846" s="5">
        <f>IF(SUM(AR846:BC846)&gt;0.3*AF846,1,0)</f>
      </c>
      <c r="AL846" s="3"/>
      <c r="AM846" s="6">
        <f>(F846/100)*AM$41</f>
      </c>
      <c r="AN846" s="6">
        <f>(G846/100)*AN$41</f>
      </c>
      <c r="AO846" s="6">
        <f>(H846/1000000)*AO$41</f>
      </c>
      <c r="AP846" s="6">
        <f>(I846/100)*AP$41</f>
      </c>
      <c r="AQ846" s="6">
        <f>(J846/1000000)*AQ$41</f>
      </c>
      <c r="AR846" s="6">
        <f>(K846/100)*AR$41</f>
      </c>
      <c r="AS846" s="6">
        <f>(L846/100)*AS$41</f>
      </c>
      <c r="AT846" s="6">
        <f>(M846/100)*AT$41</f>
      </c>
      <c r="AU846" s="6">
        <f>(N846/100)*AU$41</f>
      </c>
      <c r="AV846" s="6">
        <f>(O846/1000000)*AV$41</f>
      </c>
      <c r="AW846" s="6">
        <f>(P846/100)*AW$41</f>
      </c>
      <c r="AX846" s="6">
        <f>(Q846/100)*AX$41</f>
      </c>
      <c r="AY846" s="6">
        <f>(R846/100)*AY$41</f>
      </c>
      <c r="AZ846" s="6">
        <f>(S846/100)*AZ$41</f>
      </c>
      <c r="BA846" s="6">
        <f>(T846/100)*BA$41</f>
      </c>
      <c r="BB846" s="6">
        <f>(U846/100)*BB$41</f>
      </c>
      <c r="BC846" s="6"/>
      <c r="BD846" s="3"/>
      <c r="BE846" s="3"/>
      <c r="BF846" s="7">
        <f>AF846*E846</f>
      </c>
      <c r="BG846" s="6"/>
      <c r="BH846" s="3"/>
      <c r="BI846" s="6"/>
    </row>
    <row x14ac:dyDescent="0.25" r="847" customHeight="1" ht="12.75">
      <c r="A847" s="5" t="s">
        <v>192</v>
      </c>
      <c r="B847" s="38" t="s">
        <v>859</v>
      </c>
      <c r="C847" s="43" t="s">
        <v>870</v>
      </c>
      <c r="D847" s="34"/>
      <c r="E847" s="6">
        <v>0.375</v>
      </c>
      <c r="F847" s="6">
        <v>4.8</v>
      </c>
      <c r="G847" s="6">
        <v>6.1</v>
      </c>
      <c r="H847" s="5">
        <v>55</v>
      </c>
      <c r="I847" s="6">
        <v>0.5</v>
      </c>
      <c r="J847" s="7">
        <v>4</v>
      </c>
      <c r="K847" s="7"/>
      <c r="L847" s="6"/>
      <c r="M847" s="6"/>
      <c r="N847" s="23"/>
      <c r="O847" s="5"/>
      <c r="P847" s="6"/>
      <c r="Q847" s="6"/>
      <c r="R847" s="6"/>
      <c r="S847" s="6"/>
      <c r="T847" s="6"/>
      <c r="U847" s="6"/>
      <c r="V847" s="5"/>
      <c r="W847" s="6"/>
      <c r="X847" s="6">
        <f>E847*F847/100</f>
      </c>
      <c r="Y847" s="6">
        <f>E847*G847/100</f>
      </c>
      <c r="Z847" s="7">
        <f>E847*H847</f>
      </c>
      <c r="AA847" s="7">
        <f>E847*J847</f>
      </c>
      <c r="AB847" s="6">
        <f>E847*I847/100</f>
      </c>
      <c r="AC847" s="15">
        <f>X847+Y847+AB847</f>
      </c>
      <c r="AD847" s="6">
        <f>F847+G847+I847</f>
      </c>
      <c r="AE847" s="3"/>
      <c r="AF847" s="6">
        <f>SUM(AM847:BC847)</f>
      </c>
      <c r="AG847" s="5">
        <f>IF(SUM(AM847:AO847)&gt;0.7*AF847,1,0)</f>
      </c>
      <c r="AH847" s="5">
        <f>IF(AN847&gt;0.4*AF847,1,0)</f>
      </c>
      <c r="AI847" s="5">
        <f>IF(SUM(AP847:AQ847)&gt;0.3*AF847,1,0)</f>
      </c>
      <c r="AJ847" s="5">
        <f>IF(AQ847&gt;0.2*AF847,1,0)</f>
      </c>
      <c r="AK847" s="5">
        <f>IF(SUM(AR847:BC847)&gt;0.3*AF847,1,0)</f>
      </c>
      <c r="AL847" s="3"/>
      <c r="AM847" s="6">
        <f>(F847/100)*AM$41</f>
      </c>
      <c r="AN847" s="6">
        <f>(G847/100)*AN$41</f>
      </c>
      <c r="AO847" s="6">
        <f>(H847/1000000)*AO$41</f>
      </c>
      <c r="AP847" s="6">
        <f>(I847/100)*AP$41</f>
      </c>
      <c r="AQ847" s="6">
        <f>(J847/1000000)*AQ$41</f>
      </c>
      <c r="AR847" s="6">
        <f>(K847/100)*AR$41</f>
      </c>
      <c r="AS847" s="6">
        <f>(L847/100)*AS$41</f>
      </c>
      <c r="AT847" s="6">
        <f>(M847/100)*AT$41</f>
      </c>
      <c r="AU847" s="6">
        <f>(N847/100)*AU$41</f>
      </c>
      <c r="AV847" s="6">
        <f>(O847/1000000)*AV$41</f>
      </c>
      <c r="AW847" s="6">
        <f>(P847/100)*AW$41</f>
      </c>
      <c r="AX847" s="6">
        <f>(Q847/100)*AX$41</f>
      </c>
      <c r="AY847" s="6">
        <f>(R847/100)*AY$41</f>
      </c>
      <c r="AZ847" s="6">
        <f>(S847/100)*AZ$41</f>
      </c>
      <c r="BA847" s="6">
        <f>(T847/100)*BA$41</f>
      </c>
      <c r="BB847" s="6">
        <f>(U847/100)*BB$41</f>
      </c>
      <c r="BC847" s="6"/>
      <c r="BD847" s="3"/>
      <c r="BE847" s="3"/>
      <c r="BF847" s="7">
        <f>AF847*E847</f>
      </c>
      <c r="BG847" s="6"/>
      <c r="BH847" s="3"/>
      <c r="BI847" s="6"/>
    </row>
    <row x14ac:dyDescent="0.25" r="848" customHeight="1" ht="12.75">
      <c r="A848" s="5" t="s">
        <v>444</v>
      </c>
      <c r="B848" s="38" t="s">
        <v>859</v>
      </c>
      <c r="C848" s="43" t="s">
        <v>870</v>
      </c>
      <c r="D848" s="34"/>
      <c r="E848" s="6">
        <v>1.13</v>
      </c>
      <c r="F848" s="6"/>
      <c r="G848" s="7">
        <v>0.2938053097345133</v>
      </c>
      <c r="H848" s="7">
        <v>20.244247787610618</v>
      </c>
      <c r="I848" s="7">
        <v>3.346902654867257</v>
      </c>
      <c r="J848" s="7">
        <v>0.815929203539823</v>
      </c>
      <c r="K848" s="7"/>
      <c r="L848" s="6"/>
      <c r="M848" s="6"/>
      <c r="N848" s="23"/>
      <c r="O848" s="5"/>
      <c r="P848" s="6"/>
      <c r="Q848" s="6"/>
      <c r="R848" s="6"/>
      <c r="S848" s="6"/>
      <c r="T848" s="6"/>
      <c r="U848" s="6"/>
      <c r="V848" s="5"/>
      <c r="W848" s="6"/>
      <c r="X848" s="6">
        <f>E848*F848/100</f>
      </c>
      <c r="Y848" s="6">
        <f>E848*G848/100</f>
      </c>
      <c r="Z848" s="7">
        <f>E848*H848</f>
      </c>
      <c r="AA848" s="7">
        <f>E848*J848</f>
      </c>
      <c r="AB848" s="6">
        <f>E848*I848/100</f>
      </c>
      <c r="AC848" s="15">
        <f>X848+Y848+AB848</f>
      </c>
      <c r="AD848" s="6">
        <f>F848+G848+I848</f>
      </c>
      <c r="AE848" s="3"/>
      <c r="AF848" s="6">
        <f>SUM(AM848:BC848)</f>
      </c>
      <c r="AG848" s="5">
        <f>IF(SUM(AM848:AO848)&gt;0.7*AF848,1,0)</f>
      </c>
      <c r="AH848" s="5">
        <f>IF(AN848&gt;0.4*AF848,1,0)</f>
      </c>
      <c r="AI848" s="5">
        <f>IF(SUM(AP848:AQ848)&gt;0.3*AF848,1,0)</f>
      </c>
      <c r="AJ848" s="5">
        <f>IF(AQ848&gt;0.2*AF848,1,0)</f>
      </c>
      <c r="AK848" s="5">
        <f>IF(SUM(AR848:BC848)&gt;0.3*AF848,1,0)</f>
      </c>
      <c r="AL848" s="3"/>
      <c r="AM848" s="6">
        <f>(F848/100)*AM$41</f>
      </c>
      <c r="AN848" s="6">
        <f>(G848/100)*AN$41</f>
      </c>
      <c r="AO848" s="6">
        <f>(H848/1000000)*AO$41</f>
      </c>
      <c r="AP848" s="6">
        <f>(I848/100)*AP$41</f>
      </c>
      <c r="AQ848" s="6">
        <f>(J848/1000000)*AQ$41</f>
      </c>
      <c r="AR848" s="6">
        <f>(K848/100)*AR$41</f>
      </c>
      <c r="AS848" s="6">
        <f>(L848/100)*AS$41</f>
      </c>
      <c r="AT848" s="6">
        <f>(M848/100)*AT$41</f>
      </c>
      <c r="AU848" s="6">
        <f>(N848/100)*AU$41</f>
      </c>
      <c r="AV848" s="6">
        <f>(O848/1000000)*AV$41</f>
      </c>
      <c r="AW848" s="6">
        <f>(P848/100)*AW$41</f>
      </c>
      <c r="AX848" s="6">
        <f>(Q848/100)*AX$41</f>
      </c>
      <c r="AY848" s="6">
        <f>(R848/100)*AY$41</f>
      </c>
      <c r="AZ848" s="6">
        <f>(S848/100)*AZ$41</f>
      </c>
      <c r="BA848" s="6">
        <f>(T848/100)*BA$41</f>
      </c>
      <c r="BB848" s="6">
        <f>(U848/100)*BB$41</f>
      </c>
      <c r="BC848" s="6"/>
      <c r="BD848" s="3"/>
      <c r="BE848" s="3"/>
      <c r="BF848" s="7">
        <f>AF848*E848</f>
      </c>
      <c r="BG848" s="6"/>
      <c r="BH848" s="3"/>
      <c r="BI848" s="6"/>
    </row>
    <row x14ac:dyDescent="0.25" r="849" customHeight="1" ht="12.75">
      <c r="A849" s="5" t="s">
        <v>722</v>
      </c>
      <c r="B849" s="38" t="s">
        <v>859</v>
      </c>
      <c r="C849" s="43" t="s">
        <v>870</v>
      </c>
      <c r="D849" s="34"/>
      <c r="E849" s="7">
        <v>1</v>
      </c>
      <c r="F849" s="6"/>
      <c r="G849" s="6">
        <v>2.06</v>
      </c>
      <c r="H849" s="7"/>
      <c r="I849" s="6">
        <v>1.97</v>
      </c>
      <c r="J849" s="7"/>
      <c r="K849" s="7"/>
      <c r="L849" s="6"/>
      <c r="M849" s="6"/>
      <c r="N849" s="23"/>
      <c r="O849" s="5"/>
      <c r="P849" s="6"/>
      <c r="Q849" s="6"/>
      <c r="R849" s="6"/>
      <c r="S849" s="6"/>
      <c r="T849" s="6"/>
      <c r="U849" s="6"/>
      <c r="V849" s="5"/>
      <c r="W849" s="6"/>
      <c r="X849" s="6">
        <f>E849*F849/100</f>
      </c>
      <c r="Y849" s="6">
        <f>E849*G849/100</f>
      </c>
      <c r="Z849" s="7">
        <f>E849*H849</f>
      </c>
      <c r="AA849" s="7">
        <f>E849*J849</f>
      </c>
      <c r="AB849" s="6">
        <f>E849*I849/100</f>
      </c>
      <c r="AC849" s="15">
        <f>X849+Y849+AB849</f>
      </c>
      <c r="AD849" s="6">
        <f>F849+G849+I849</f>
      </c>
      <c r="AE849" s="3"/>
      <c r="AF849" s="6">
        <f>SUM(AM849:BC849)</f>
      </c>
      <c r="AG849" s="5">
        <f>IF(SUM(AM849:AO849)&gt;0.7*AF849,1,0)</f>
      </c>
      <c r="AH849" s="5">
        <f>IF(AN849&gt;0.4*AF849,1,0)</f>
      </c>
      <c r="AI849" s="5">
        <f>IF(SUM(AP849:AQ849)&gt;0.3*AF849,1,0)</f>
      </c>
      <c r="AJ849" s="5">
        <f>IF(AQ849&gt;0.2*AF849,1,0)</f>
      </c>
      <c r="AK849" s="5">
        <f>IF(SUM(AR849:BC849)&gt;0.3*AF849,1,0)</f>
      </c>
      <c r="AL849" s="3"/>
      <c r="AM849" s="6">
        <f>(F849/100)*AM$41</f>
      </c>
      <c r="AN849" s="6">
        <f>(G849/100)*AN$41</f>
      </c>
      <c r="AO849" s="6">
        <f>(H849/1000000)*AO$41</f>
      </c>
      <c r="AP849" s="6">
        <f>(I849/100)*AP$41</f>
      </c>
      <c r="AQ849" s="6">
        <f>(J849/1000000)*AQ$41</f>
      </c>
      <c r="AR849" s="6">
        <f>(K849/100)*AR$41</f>
      </c>
      <c r="AS849" s="6">
        <f>(L849/100)*AS$41</f>
      </c>
      <c r="AT849" s="6">
        <f>(M849/100)*AT$41</f>
      </c>
      <c r="AU849" s="6">
        <f>(N849/100)*AU$41</f>
      </c>
      <c r="AV849" s="6">
        <f>(O849/1000000)*AV$41</f>
      </c>
      <c r="AW849" s="6">
        <f>(P849/100)*AW$41</f>
      </c>
      <c r="AX849" s="6">
        <f>(Q849/100)*AX$41</f>
      </c>
      <c r="AY849" s="6">
        <f>(R849/100)*AY$41</f>
      </c>
      <c r="AZ849" s="6">
        <f>(S849/100)*AZ$41</f>
      </c>
      <c r="BA849" s="6">
        <f>(T849/100)*BA$41</f>
      </c>
      <c r="BB849" s="6">
        <f>(U849/100)*BB$41</f>
      </c>
      <c r="BC849" s="6"/>
      <c r="BD849" s="3"/>
      <c r="BE849" s="3"/>
      <c r="BF849" s="7">
        <f>AF849*E849</f>
      </c>
      <c r="BG849" s="6"/>
      <c r="BH849" s="3"/>
      <c r="BI849" s="6"/>
    </row>
    <row x14ac:dyDescent="0.25" r="850" customHeight="1" ht="12.75">
      <c r="A850" s="5" t="s">
        <v>427</v>
      </c>
      <c r="B850" s="38" t="s">
        <v>859</v>
      </c>
      <c r="C850" s="43" t="s">
        <v>870</v>
      </c>
      <c r="D850" s="34"/>
      <c r="E850" s="6">
        <v>0.48</v>
      </c>
      <c r="F850" s="6"/>
      <c r="G850" s="6">
        <v>7.97</v>
      </c>
      <c r="H850" s="6">
        <v>23.3</v>
      </c>
      <c r="I850" s="6">
        <v>0.4</v>
      </c>
      <c r="J850" s="6">
        <v>1.9</v>
      </c>
      <c r="K850" s="7"/>
      <c r="L850" s="6"/>
      <c r="M850" s="6"/>
      <c r="N850" s="23"/>
      <c r="O850" s="5"/>
      <c r="P850" s="6"/>
      <c r="Q850" s="6"/>
      <c r="R850" s="6"/>
      <c r="S850" s="6"/>
      <c r="T850" s="6"/>
      <c r="U850" s="6"/>
      <c r="V850" s="5"/>
      <c r="W850" s="6"/>
      <c r="X850" s="6">
        <f>E850*F850/100</f>
      </c>
      <c r="Y850" s="6">
        <f>E850*G850/100</f>
      </c>
      <c r="Z850" s="7">
        <f>E850*H850</f>
      </c>
      <c r="AA850" s="7">
        <f>E850*J850</f>
      </c>
      <c r="AB850" s="6">
        <f>E850*I850/100</f>
      </c>
      <c r="AC850" s="15">
        <f>X850+Y850+AB850</f>
      </c>
      <c r="AD850" s="6">
        <f>F850+G850+I850</f>
      </c>
      <c r="AE850" s="3"/>
      <c r="AF850" s="6">
        <f>SUM(AM850:BC850)</f>
      </c>
      <c r="AG850" s="5">
        <f>IF(SUM(AM850:AO850)&gt;0.7*AF850,1,0)</f>
      </c>
      <c r="AH850" s="5">
        <f>IF(AN850&gt;0.4*AF850,1,0)</f>
      </c>
      <c r="AI850" s="5">
        <f>IF(SUM(AP850:AQ850)&gt;0.3*AF850,1,0)</f>
      </c>
      <c r="AJ850" s="5">
        <f>IF(AQ850&gt;0.2*AF850,1,0)</f>
      </c>
      <c r="AK850" s="5">
        <f>IF(SUM(AR850:BC850)&gt;0.3*AF850,1,0)</f>
      </c>
      <c r="AL850" s="3"/>
      <c r="AM850" s="6">
        <f>(F850/100)*AM$41</f>
      </c>
      <c r="AN850" s="6">
        <f>(G850/100)*AN$41</f>
      </c>
      <c r="AO850" s="6">
        <f>(H850/1000000)*AO$41</f>
      </c>
      <c r="AP850" s="6">
        <f>(I850/100)*AP$41</f>
      </c>
      <c r="AQ850" s="6">
        <f>(J850/1000000)*AQ$41</f>
      </c>
      <c r="AR850" s="6">
        <f>(K850/100)*AR$41</f>
      </c>
      <c r="AS850" s="6">
        <f>(L850/100)*AS$41</f>
      </c>
      <c r="AT850" s="6">
        <f>(M850/100)*AT$41</f>
      </c>
      <c r="AU850" s="6">
        <f>(N850/100)*AU$41</f>
      </c>
      <c r="AV850" s="6">
        <f>(O850/1000000)*AV$41</f>
      </c>
      <c r="AW850" s="6">
        <f>(P850/100)*AW$41</f>
      </c>
      <c r="AX850" s="6">
        <f>(Q850/100)*AX$41</f>
      </c>
      <c r="AY850" s="6">
        <f>(R850/100)*AY$41</f>
      </c>
      <c r="AZ850" s="6">
        <f>(S850/100)*AZ$41</f>
      </c>
      <c r="BA850" s="6">
        <f>(T850/100)*BA$41</f>
      </c>
      <c r="BB850" s="6">
        <f>(U850/100)*BB$41</f>
      </c>
      <c r="BC850" s="6"/>
      <c r="BD850" s="3"/>
      <c r="BE850" s="3"/>
      <c r="BF850" s="7">
        <f>AF850*E850</f>
      </c>
      <c r="BG850" s="6"/>
      <c r="BH850" s="3"/>
      <c r="BI850" s="6"/>
    </row>
    <row x14ac:dyDescent="0.25" r="851" customHeight="1" ht="12.75">
      <c r="A851" s="5" t="s">
        <v>716</v>
      </c>
      <c r="B851" s="38" t="s">
        <v>859</v>
      </c>
      <c r="C851" s="43" t="s">
        <v>870</v>
      </c>
      <c r="D851" s="34"/>
      <c r="E851" s="5">
        <v>1</v>
      </c>
      <c r="F851" s="6"/>
      <c r="G851" s="5">
        <v>2</v>
      </c>
      <c r="H851" s="7"/>
      <c r="I851" s="5">
        <v>2</v>
      </c>
      <c r="J851" s="6"/>
      <c r="K851" s="7"/>
      <c r="L851" s="6"/>
      <c r="M851" s="6"/>
      <c r="N851" s="23"/>
      <c r="O851" s="5"/>
      <c r="P851" s="6"/>
      <c r="Q851" s="6"/>
      <c r="R851" s="6"/>
      <c r="S851" s="6"/>
      <c r="T851" s="6"/>
      <c r="U851" s="6"/>
      <c r="V851" s="5"/>
      <c r="W851" s="6"/>
      <c r="X851" s="6">
        <f>E851*F851/100</f>
      </c>
      <c r="Y851" s="6">
        <f>E851*G851/100</f>
      </c>
      <c r="Z851" s="7">
        <f>E851*H851</f>
      </c>
      <c r="AA851" s="7">
        <f>E851*J851</f>
      </c>
      <c r="AB851" s="6">
        <f>E851*I851/100</f>
      </c>
      <c r="AC851" s="15">
        <f>X851+Y851+AB851</f>
      </c>
      <c r="AD851" s="6">
        <f>F851+G851+I851</f>
      </c>
      <c r="AE851" s="3"/>
      <c r="AF851" s="6">
        <f>SUM(AM851:BC851)</f>
      </c>
      <c r="AG851" s="5">
        <f>IF(SUM(AM851:AO851)&gt;0.7*AF851,1,0)</f>
      </c>
      <c r="AH851" s="5">
        <f>IF(AN851&gt;0.4*AF851,1,0)</f>
      </c>
      <c r="AI851" s="5">
        <f>IF(SUM(AP851:AQ851)&gt;0.3*AF851,1,0)</f>
      </c>
      <c r="AJ851" s="5">
        <f>IF(AQ851&gt;0.2*AF851,1,0)</f>
      </c>
      <c r="AK851" s="5">
        <f>IF(SUM(AR851:BC851)&gt;0.3*AF851,1,0)</f>
      </c>
      <c r="AL851" s="3"/>
      <c r="AM851" s="6">
        <f>(F851/100)*AM$41</f>
      </c>
      <c r="AN851" s="6">
        <f>(G851/100)*AN$41</f>
      </c>
      <c r="AO851" s="6">
        <f>(H851/1000000)*AO$41</f>
      </c>
      <c r="AP851" s="6">
        <f>(I851/100)*AP$41</f>
      </c>
      <c r="AQ851" s="6">
        <f>(J851/1000000)*AQ$41</f>
      </c>
      <c r="AR851" s="6">
        <f>(K851/100)*AR$41</f>
      </c>
      <c r="AS851" s="6">
        <f>(L851/100)*AS$41</f>
      </c>
      <c r="AT851" s="6">
        <f>(M851/100)*AT$41</f>
      </c>
      <c r="AU851" s="6">
        <f>(N851/100)*AU$41</f>
      </c>
      <c r="AV851" s="6">
        <f>(O851/1000000)*AV$41</f>
      </c>
      <c r="AW851" s="6">
        <f>(P851/100)*AW$41</f>
      </c>
      <c r="AX851" s="6">
        <f>(Q851/100)*AX$41</f>
      </c>
      <c r="AY851" s="6">
        <f>(R851/100)*AY$41</f>
      </c>
      <c r="AZ851" s="6">
        <f>(S851/100)*AZ$41</f>
      </c>
      <c r="BA851" s="6">
        <f>(T851/100)*BA$41</f>
      </c>
      <c r="BB851" s="6">
        <f>(U851/100)*BB$41</f>
      </c>
      <c r="BC851" s="6"/>
      <c r="BD851" s="3"/>
      <c r="BE851" s="3"/>
      <c r="BF851" s="7">
        <f>AF851*E851</f>
      </c>
      <c r="BG851" s="6"/>
      <c r="BH851" s="3"/>
      <c r="BI851" s="6"/>
    </row>
    <row x14ac:dyDescent="0.25" r="852" customHeight="1" ht="12.75">
      <c r="A852" s="5" t="s">
        <v>797</v>
      </c>
      <c r="B852" s="38" t="s">
        <v>859</v>
      </c>
      <c r="C852" s="43" t="s">
        <v>870</v>
      </c>
      <c r="D852" s="34"/>
      <c r="E852" s="6">
        <v>1.015</v>
      </c>
      <c r="F852" s="6"/>
      <c r="G852" s="6">
        <v>2.96</v>
      </c>
      <c r="H852" s="6">
        <v>21.9</v>
      </c>
      <c r="I852" s="6">
        <v>0.83</v>
      </c>
      <c r="J852" s="6"/>
      <c r="K852" s="7"/>
      <c r="L852" s="6"/>
      <c r="M852" s="6"/>
      <c r="N852" s="23"/>
      <c r="O852" s="5"/>
      <c r="P852" s="6"/>
      <c r="Q852" s="6"/>
      <c r="R852" s="6"/>
      <c r="S852" s="6"/>
      <c r="T852" s="6"/>
      <c r="U852" s="6"/>
      <c r="V852" s="5"/>
      <c r="W852" s="6"/>
      <c r="X852" s="6">
        <f>E852*F852/100</f>
      </c>
      <c r="Y852" s="6">
        <f>E852*G852/100</f>
      </c>
      <c r="Z852" s="7">
        <f>E852*H852</f>
      </c>
      <c r="AA852" s="7">
        <f>E852*J852</f>
      </c>
      <c r="AB852" s="6">
        <f>E852*I852/100</f>
      </c>
      <c r="AC852" s="15">
        <f>X852+Y852+AB852</f>
      </c>
      <c r="AD852" s="6">
        <f>F852+G852+I852</f>
      </c>
      <c r="AE852" s="3"/>
      <c r="AF852" s="6">
        <f>SUM(AM852:BC852)</f>
      </c>
      <c r="AG852" s="5">
        <f>IF(SUM(AM852:AO852)&gt;0.7*AF852,1,0)</f>
      </c>
      <c r="AH852" s="5">
        <f>IF(AN852&gt;0.4*AF852,1,0)</f>
      </c>
      <c r="AI852" s="5">
        <f>IF(SUM(AP852:AQ852)&gt;0.3*AF852,1,0)</f>
      </c>
      <c r="AJ852" s="5">
        <f>IF(AQ852&gt;0.2*AF852,1,0)</f>
      </c>
      <c r="AK852" s="5">
        <f>IF(SUM(AR852:BC852)&gt;0.3*AF852,1,0)</f>
      </c>
      <c r="AL852" s="3"/>
      <c r="AM852" s="6">
        <f>(F852/100)*AM$41</f>
      </c>
      <c r="AN852" s="6">
        <f>(G852/100)*AN$41</f>
      </c>
      <c r="AO852" s="6">
        <f>(H852/1000000)*AO$41</f>
      </c>
      <c r="AP852" s="6">
        <f>(I852/100)*AP$41</f>
      </c>
      <c r="AQ852" s="6">
        <f>(J852/1000000)*AQ$41</f>
      </c>
      <c r="AR852" s="6">
        <f>(K852/100)*AR$41</f>
      </c>
      <c r="AS852" s="6">
        <f>(L852/100)*AS$41</f>
      </c>
      <c r="AT852" s="6">
        <f>(M852/100)*AT$41</f>
      </c>
      <c r="AU852" s="6">
        <f>(N852/100)*AU$41</f>
      </c>
      <c r="AV852" s="6">
        <f>(O852/1000000)*AV$41</f>
      </c>
      <c r="AW852" s="6">
        <f>(P852/100)*AW$41</f>
      </c>
      <c r="AX852" s="6">
        <f>(Q852/100)*AX$41</f>
      </c>
      <c r="AY852" s="6">
        <f>(R852/100)*AY$41</f>
      </c>
      <c r="AZ852" s="6">
        <f>(S852/100)*AZ$41</f>
      </c>
      <c r="BA852" s="6">
        <f>(T852/100)*BA$41</f>
      </c>
      <c r="BB852" s="6">
        <f>(U852/100)*BB$41</f>
      </c>
      <c r="BC852" s="6"/>
      <c r="BD852" s="3"/>
      <c r="BE852" s="3"/>
      <c r="BF852" s="7">
        <f>AF852*E852</f>
      </c>
      <c r="BG852" s="6"/>
      <c r="BH852" s="3"/>
      <c r="BI852" s="6"/>
    </row>
    <row x14ac:dyDescent="0.25" r="853" customHeight="1" ht="12.75">
      <c r="A853" s="5" t="s">
        <v>385</v>
      </c>
      <c r="B853" s="38" t="s">
        <v>859</v>
      </c>
      <c r="C853" s="43" t="s">
        <v>870</v>
      </c>
      <c r="D853" s="34"/>
      <c r="E853" s="23">
        <v>0.35</v>
      </c>
      <c r="F853" s="6"/>
      <c r="G853" s="6">
        <v>7.84</v>
      </c>
      <c r="H853" s="6">
        <v>22.31</v>
      </c>
      <c r="I853" s="6">
        <v>1.35</v>
      </c>
      <c r="J853" s="6"/>
      <c r="K853" s="7"/>
      <c r="L853" s="6"/>
      <c r="M853" s="6"/>
      <c r="N853" s="23"/>
      <c r="O853" s="5"/>
      <c r="P853" s="6"/>
      <c r="Q853" s="6"/>
      <c r="R853" s="6"/>
      <c r="S853" s="6"/>
      <c r="T853" s="6"/>
      <c r="U853" s="6"/>
      <c r="V853" s="5"/>
      <c r="W853" s="6"/>
      <c r="X853" s="6">
        <f>E853*F853/100</f>
      </c>
      <c r="Y853" s="6">
        <f>E853*G853/100</f>
      </c>
      <c r="Z853" s="7">
        <f>E853*H853</f>
      </c>
      <c r="AA853" s="7">
        <f>E853*J853</f>
      </c>
      <c r="AB853" s="6">
        <f>E853*I853/100</f>
      </c>
      <c r="AC853" s="15">
        <f>X853+Y853+AB853</f>
      </c>
      <c r="AD853" s="6">
        <f>F853+G853+I853</f>
      </c>
      <c r="AE853" s="3"/>
      <c r="AF853" s="6">
        <f>SUM(AM853:BC853)</f>
      </c>
      <c r="AG853" s="5">
        <f>IF(SUM(AM853:AO853)&gt;0.7*AF853,1,0)</f>
      </c>
      <c r="AH853" s="5">
        <f>IF(AN853&gt;0.4*AF853,1,0)</f>
      </c>
      <c r="AI853" s="5">
        <f>IF(SUM(AP853:AQ853)&gt;0.3*AF853,1,0)</f>
      </c>
      <c r="AJ853" s="5">
        <f>IF(AQ853&gt;0.2*AF853,1,0)</f>
      </c>
      <c r="AK853" s="5">
        <f>IF(SUM(AR853:BC853)&gt;0.3*AF853,1,0)</f>
      </c>
      <c r="AL853" s="3"/>
      <c r="AM853" s="6">
        <f>(F853/100)*AM$41</f>
      </c>
      <c r="AN853" s="6">
        <f>(G853/100)*AN$41</f>
      </c>
      <c r="AO853" s="6">
        <f>(H853/1000000)*AO$41</f>
      </c>
      <c r="AP853" s="6">
        <f>(I853/100)*AP$41</f>
      </c>
      <c r="AQ853" s="6">
        <f>(J853/1000000)*AQ$41</f>
      </c>
      <c r="AR853" s="6">
        <f>(K853/100)*AR$41</f>
      </c>
      <c r="AS853" s="6">
        <f>(L853/100)*AS$41</f>
      </c>
      <c r="AT853" s="6">
        <f>(M853/100)*AT$41</f>
      </c>
      <c r="AU853" s="6">
        <f>(N853/100)*AU$41</f>
      </c>
      <c r="AV853" s="6">
        <f>(O853/1000000)*AV$41</f>
      </c>
      <c r="AW853" s="6">
        <f>(P853/100)*AW$41</f>
      </c>
      <c r="AX853" s="6">
        <f>(Q853/100)*AX$41</f>
      </c>
      <c r="AY853" s="6">
        <f>(R853/100)*AY$41</f>
      </c>
      <c r="AZ853" s="6">
        <f>(S853/100)*AZ$41</f>
      </c>
      <c r="BA853" s="6">
        <f>(T853/100)*BA$41</f>
      </c>
      <c r="BB853" s="6">
        <f>(U853/100)*BB$41</f>
      </c>
      <c r="BC853" s="6"/>
      <c r="BD853" s="3"/>
      <c r="BE853" s="3"/>
      <c r="BF853" s="7">
        <f>AF853*E853</f>
      </c>
      <c r="BG853" s="6"/>
      <c r="BH853" s="3"/>
      <c r="BI853" s="6"/>
    </row>
    <row x14ac:dyDescent="0.25" r="854" customHeight="1" ht="12.75">
      <c r="A854" s="5" t="s">
        <v>445</v>
      </c>
      <c r="B854" s="38" t="s">
        <v>859</v>
      </c>
      <c r="C854" s="43" t="s">
        <v>870</v>
      </c>
      <c r="D854" s="34"/>
      <c r="E854" s="23">
        <v>0.523849</v>
      </c>
      <c r="F854" s="6">
        <v>0.87</v>
      </c>
      <c r="G854" s="6">
        <v>3.65</v>
      </c>
      <c r="H854" s="6">
        <v>49.7</v>
      </c>
      <c r="I854" s="6">
        <v>1.45</v>
      </c>
      <c r="J854" s="6">
        <v>1.41</v>
      </c>
      <c r="K854" s="7"/>
      <c r="L854" s="6"/>
      <c r="M854" s="6"/>
      <c r="N854" s="23"/>
      <c r="O854" s="5"/>
      <c r="P854" s="6"/>
      <c r="Q854" s="6"/>
      <c r="R854" s="6"/>
      <c r="S854" s="6"/>
      <c r="T854" s="6"/>
      <c r="U854" s="6"/>
      <c r="V854" s="5"/>
      <c r="W854" s="6"/>
      <c r="X854" s="6">
        <f>E854*F854/100</f>
      </c>
      <c r="Y854" s="6">
        <f>E854*G854/100</f>
      </c>
      <c r="Z854" s="7">
        <f>E854*H854</f>
      </c>
      <c r="AA854" s="7">
        <f>E854*J854</f>
      </c>
      <c r="AB854" s="6">
        <f>E854*I854/100</f>
      </c>
      <c r="AC854" s="15">
        <f>X854+Y854+AB854</f>
      </c>
      <c r="AD854" s="6">
        <f>F854+G854+I854</f>
      </c>
      <c r="AE854" s="3"/>
      <c r="AF854" s="6">
        <f>SUM(AM854:BC854)</f>
      </c>
      <c r="AG854" s="5">
        <f>IF(SUM(AM854:AO854)&gt;0.7*AF854,1,0)</f>
      </c>
      <c r="AH854" s="5">
        <f>IF(AN854&gt;0.4*AF854,1,0)</f>
      </c>
      <c r="AI854" s="5">
        <f>IF(SUM(AP854:AQ854)&gt;0.3*AF854,1,0)</f>
      </c>
      <c r="AJ854" s="5">
        <f>IF(AQ854&gt;0.2*AF854,1,0)</f>
      </c>
      <c r="AK854" s="5">
        <f>IF(SUM(AR854:BC854)&gt;0.3*AF854,1,0)</f>
      </c>
      <c r="AL854" s="3"/>
      <c r="AM854" s="6">
        <f>(F854/100)*AM$41</f>
      </c>
      <c r="AN854" s="6">
        <f>(G854/100)*AN$41</f>
      </c>
      <c r="AO854" s="6">
        <f>(H854/1000000)*AO$41</f>
      </c>
      <c r="AP854" s="6">
        <f>(I854/100)*AP$41</f>
      </c>
      <c r="AQ854" s="6">
        <f>(J854/1000000)*AQ$41</f>
      </c>
      <c r="AR854" s="6">
        <f>(K854/100)*AR$41</f>
      </c>
      <c r="AS854" s="6">
        <f>(L854/100)*AS$41</f>
      </c>
      <c r="AT854" s="6">
        <f>(M854/100)*AT$41</f>
      </c>
      <c r="AU854" s="6">
        <f>(N854/100)*AU$41</f>
      </c>
      <c r="AV854" s="6">
        <f>(O854/1000000)*AV$41</f>
      </c>
      <c r="AW854" s="6">
        <f>(P854/100)*AW$41</f>
      </c>
      <c r="AX854" s="6">
        <f>(Q854/100)*AX$41</f>
      </c>
      <c r="AY854" s="6">
        <f>(R854/100)*AY$41</f>
      </c>
      <c r="AZ854" s="6">
        <f>(S854/100)*AZ$41</f>
      </c>
      <c r="BA854" s="6">
        <f>(T854/100)*BA$41</f>
      </c>
      <c r="BB854" s="6">
        <f>(U854/100)*BB$41</f>
      </c>
      <c r="BC854" s="6"/>
      <c r="BD854" s="3"/>
      <c r="BE854" s="3"/>
      <c r="BF854" s="7">
        <f>AF854*E854</f>
      </c>
      <c r="BG854" s="6"/>
      <c r="BH854" s="3"/>
      <c r="BI854" s="6"/>
    </row>
    <row x14ac:dyDescent="0.25" r="855" customHeight="1" ht="12.75">
      <c r="A855" s="5" t="s">
        <v>121</v>
      </c>
      <c r="B855" s="38" t="s">
        <v>859</v>
      </c>
      <c r="C855" s="43" t="s">
        <v>870</v>
      </c>
      <c r="D855" s="34"/>
      <c r="E855" s="23">
        <v>0.317485</v>
      </c>
      <c r="F855" s="6">
        <v>0.65</v>
      </c>
      <c r="G855" s="6">
        <v>6.6</v>
      </c>
      <c r="H855" s="7">
        <v>140.54</v>
      </c>
      <c r="I855" s="6">
        <v>1.6</v>
      </c>
      <c r="J855" s="6">
        <v>4.11</v>
      </c>
      <c r="K855" s="7"/>
      <c r="L855" s="6"/>
      <c r="M855" s="6"/>
      <c r="N855" s="23"/>
      <c r="O855" s="5"/>
      <c r="P855" s="6"/>
      <c r="Q855" s="6"/>
      <c r="R855" s="6"/>
      <c r="S855" s="6"/>
      <c r="T855" s="6"/>
      <c r="U855" s="6"/>
      <c r="V855" s="5"/>
      <c r="W855" s="6"/>
      <c r="X855" s="6">
        <f>E855*F855/100</f>
      </c>
      <c r="Y855" s="6">
        <f>E855*G855/100</f>
      </c>
      <c r="Z855" s="7">
        <f>E855*H855</f>
      </c>
      <c r="AA855" s="7">
        <f>E855*J855</f>
      </c>
      <c r="AB855" s="6">
        <f>E855*I855/100</f>
      </c>
      <c r="AC855" s="15">
        <f>X855+Y855+AB855</f>
      </c>
      <c r="AD855" s="6">
        <f>F855+G855+I855</f>
      </c>
      <c r="AE855" s="3"/>
      <c r="AF855" s="6">
        <f>SUM(AM855:BC855)</f>
      </c>
      <c r="AG855" s="5">
        <f>IF(SUM(AM855:AO855)&gt;0.7*AF855,1,0)</f>
      </c>
      <c r="AH855" s="5">
        <f>IF(AN855&gt;0.4*AF855,1,0)</f>
      </c>
      <c r="AI855" s="5">
        <f>IF(SUM(AP855:AQ855)&gt;0.3*AF855,1,0)</f>
      </c>
      <c r="AJ855" s="5">
        <f>IF(AQ855&gt;0.2*AF855,1,0)</f>
      </c>
      <c r="AK855" s="5">
        <f>IF(SUM(AR855:BC855)&gt;0.3*AF855,1,0)</f>
      </c>
      <c r="AL855" s="3"/>
      <c r="AM855" s="6">
        <f>(F855/100)*AM$41</f>
      </c>
      <c r="AN855" s="6">
        <f>(G855/100)*AN$41</f>
      </c>
      <c r="AO855" s="6">
        <f>(H855/1000000)*AO$41</f>
      </c>
      <c r="AP855" s="6">
        <f>(I855/100)*AP$41</f>
      </c>
      <c r="AQ855" s="6">
        <f>(J855/1000000)*AQ$41</f>
      </c>
      <c r="AR855" s="6">
        <f>(K855/100)*AR$41</f>
      </c>
      <c r="AS855" s="6">
        <f>(L855/100)*AS$41</f>
      </c>
      <c r="AT855" s="6">
        <f>(M855/100)*AT$41</f>
      </c>
      <c r="AU855" s="6">
        <f>(N855/100)*AU$41</f>
      </c>
      <c r="AV855" s="6">
        <f>(O855/1000000)*AV$41</f>
      </c>
      <c r="AW855" s="6">
        <f>(P855/100)*AW$41</f>
      </c>
      <c r="AX855" s="6">
        <f>(Q855/100)*AX$41</f>
      </c>
      <c r="AY855" s="6">
        <f>(R855/100)*AY$41</f>
      </c>
      <c r="AZ855" s="6">
        <f>(S855/100)*AZ$41</f>
      </c>
      <c r="BA855" s="6">
        <f>(T855/100)*BA$41</f>
      </c>
      <c r="BB855" s="6">
        <f>(U855/100)*BB$41</f>
      </c>
      <c r="BC855" s="6"/>
      <c r="BD855" s="3"/>
      <c r="BE855" s="3"/>
      <c r="BF855" s="7">
        <f>AF855*E855</f>
      </c>
      <c r="BG855" s="6"/>
      <c r="BH855" s="3"/>
      <c r="BI855" s="6"/>
    </row>
    <row x14ac:dyDescent="0.25" r="856" customHeight="1" ht="12.75">
      <c r="A856" s="5" t="s">
        <v>450</v>
      </c>
      <c r="B856" s="38" t="s">
        <v>859</v>
      </c>
      <c r="C856" s="43" t="s">
        <v>870</v>
      </c>
      <c r="D856" s="34"/>
      <c r="E856" s="6">
        <v>0.3</v>
      </c>
      <c r="F856" s="6">
        <v>0.5</v>
      </c>
      <c r="G856" s="6">
        <v>6.4</v>
      </c>
      <c r="H856" s="7"/>
      <c r="I856" s="6">
        <v>1.4</v>
      </c>
      <c r="J856" s="6"/>
      <c r="K856" s="7"/>
      <c r="L856" s="6"/>
      <c r="M856" s="6"/>
      <c r="N856" s="23"/>
      <c r="O856" s="5"/>
      <c r="P856" s="6"/>
      <c r="Q856" s="6"/>
      <c r="R856" s="6"/>
      <c r="S856" s="6"/>
      <c r="T856" s="6"/>
      <c r="U856" s="6"/>
      <c r="V856" s="5"/>
      <c r="W856" s="6"/>
      <c r="X856" s="6">
        <f>E856*F856/100</f>
      </c>
      <c r="Y856" s="6">
        <f>E856*G856/100</f>
      </c>
      <c r="Z856" s="7">
        <f>E856*H856</f>
      </c>
      <c r="AA856" s="7">
        <f>E856*J856</f>
      </c>
      <c r="AB856" s="6">
        <f>E856*I856/100</f>
      </c>
      <c r="AC856" s="15">
        <f>X856+Y856+AB856</f>
      </c>
      <c r="AD856" s="6">
        <f>F856+G856+I856</f>
      </c>
      <c r="AE856" s="3"/>
      <c r="AF856" s="6">
        <f>SUM(AM856:BC856)</f>
      </c>
      <c r="AG856" s="5">
        <f>IF(SUM(AM856:AO856)&gt;0.7*AF856,1,0)</f>
      </c>
      <c r="AH856" s="5">
        <f>IF(AN856&gt;0.4*AF856,1,0)</f>
      </c>
      <c r="AI856" s="5">
        <f>IF(SUM(AP856:AQ856)&gt;0.3*AF856,1,0)</f>
      </c>
      <c r="AJ856" s="5">
        <f>IF(AQ856&gt;0.2*AF856,1,0)</f>
      </c>
      <c r="AK856" s="5">
        <f>IF(SUM(AR856:BC856)&gt;0.3*AF856,1,0)</f>
      </c>
      <c r="AL856" s="3"/>
      <c r="AM856" s="6">
        <f>(F856/100)*AM$41</f>
      </c>
      <c r="AN856" s="6">
        <f>(G856/100)*AN$41</f>
      </c>
      <c r="AO856" s="6">
        <f>(H856/1000000)*AO$41</f>
      </c>
      <c r="AP856" s="6">
        <f>(I856/100)*AP$41</f>
      </c>
      <c r="AQ856" s="6">
        <f>(J856/1000000)*AQ$41</f>
      </c>
      <c r="AR856" s="6">
        <f>(K856/100)*AR$41</f>
      </c>
      <c r="AS856" s="6">
        <f>(L856/100)*AS$41</f>
      </c>
      <c r="AT856" s="6">
        <f>(M856/100)*AT$41</f>
      </c>
      <c r="AU856" s="6">
        <f>(N856/100)*AU$41</f>
      </c>
      <c r="AV856" s="6">
        <f>(O856/1000000)*AV$41</f>
      </c>
      <c r="AW856" s="6">
        <f>(P856/100)*AW$41</f>
      </c>
      <c r="AX856" s="6">
        <f>(Q856/100)*AX$41</f>
      </c>
      <c r="AY856" s="6">
        <f>(R856/100)*AY$41</f>
      </c>
      <c r="AZ856" s="6">
        <f>(S856/100)*AZ$41</f>
      </c>
      <c r="BA856" s="6">
        <f>(T856/100)*BA$41</f>
      </c>
      <c r="BB856" s="6">
        <f>(U856/100)*BB$41</f>
      </c>
      <c r="BC856" s="6"/>
      <c r="BD856" s="3"/>
      <c r="BE856" s="3"/>
      <c r="BF856" s="7">
        <f>AF856*E856</f>
      </c>
      <c r="BG856" s="6"/>
      <c r="BH856" s="3"/>
      <c r="BI856" s="6"/>
    </row>
    <row x14ac:dyDescent="0.25" r="857" customHeight="1" ht="12.75">
      <c r="A857" s="5" t="s">
        <v>687</v>
      </c>
      <c r="B857" s="38" t="s">
        <v>859</v>
      </c>
      <c r="C857" s="43" t="s">
        <v>870</v>
      </c>
      <c r="D857" s="34"/>
      <c r="E857" s="6">
        <v>0.6</v>
      </c>
      <c r="F857" s="6"/>
      <c r="G857" s="6">
        <v>1.8</v>
      </c>
      <c r="H857" s="5">
        <v>50</v>
      </c>
      <c r="I857" s="6">
        <v>1.8</v>
      </c>
      <c r="J857" s="6"/>
      <c r="K857" s="7"/>
      <c r="L857" s="6"/>
      <c r="M857" s="6"/>
      <c r="N857" s="23"/>
      <c r="O857" s="5"/>
      <c r="P857" s="6"/>
      <c r="Q857" s="6"/>
      <c r="R857" s="6"/>
      <c r="S857" s="6"/>
      <c r="T857" s="6"/>
      <c r="U857" s="6"/>
      <c r="V857" s="5"/>
      <c r="W857" s="6"/>
      <c r="X857" s="6">
        <f>E857*F857/100</f>
      </c>
      <c r="Y857" s="6">
        <f>E857*G857/100</f>
      </c>
      <c r="Z857" s="7">
        <f>E857*H857</f>
      </c>
      <c r="AA857" s="7">
        <f>E857*J857</f>
      </c>
      <c r="AB857" s="6">
        <f>E857*I857/100</f>
      </c>
      <c r="AC857" s="15">
        <f>X857+Y857+AB857</f>
      </c>
      <c r="AD857" s="6">
        <f>F857+G857+I857</f>
      </c>
      <c r="AE857" s="3"/>
      <c r="AF857" s="6">
        <f>SUM(AM857:BC857)</f>
      </c>
      <c r="AG857" s="5">
        <f>IF(SUM(AM857:AO857)&gt;0.7*AF857,1,0)</f>
      </c>
      <c r="AH857" s="5">
        <f>IF(AN857&gt;0.4*AF857,1,0)</f>
      </c>
      <c r="AI857" s="5">
        <f>IF(SUM(AP857:AQ857)&gt;0.3*AF857,1,0)</f>
      </c>
      <c r="AJ857" s="5">
        <f>IF(AQ857&gt;0.2*AF857,1,0)</f>
      </c>
      <c r="AK857" s="5">
        <f>IF(SUM(AR857:BC857)&gt;0.3*AF857,1,0)</f>
      </c>
      <c r="AL857" s="3"/>
      <c r="AM857" s="6">
        <f>(F857/100)*AM$41</f>
      </c>
      <c r="AN857" s="6">
        <f>(G857/100)*AN$41</f>
      </c>
      <c r="AO857" s="6">
        <f>(H857/1000000)*AO$41</f>
      </c>
      <c r="AP857" s="6">
        <f>(I857/100)*AP$41</f>
      </c>
      <c r="AQ857" s="6">
        <f>(J857/1000000)*AQ$41</f>
      </c>
      <c r="AR857" s="6">
        <f>(K857/100)*AR$41</f>
      </c>
      <c r="AS857" s="6">
        <f>(L857/100)*AS$41</f>
      </c>
      <c r="AT857" s="6">
        <f>(M857/100)*AT$41</f>
      </c>
      <c r="AU857" s="6">
        <f>(N857/100)*AU$41</f>
      </c>
      <c r="AV857" s="6">
        <f>(O857/1000000)*AV$41</f>
      </c>
      <c r="AW857" s="6">
        <f>(P857/100)*AW$41</f>
      </c>
      <c r="AX857" s="6">
        <f>(Q857/100)*AX$41</f>
      </c>
      <c r="AY857" s="6">
        <f>(R857/100)*AY$41</f>
      </c>
      <c r="AZ857" s="6">
        <f>(S857/100)*AZ$41</f>
      </c>
      <c r="BA857" s="6">
        <f>(T857/100)*BA$41</f>
      </c>
      <c r="BB857" s="6">
        <f>(U857/100)*BB$41</f>
      </c>
      <c r="BC857" s="6"/>
      <c r="BD857" s="3"/>
      <c r="BE857" s="3"/>
      <c r="BF857" s="7">
        <f>AF857*E857</f>
      </c>
      <c r="BG857" s="6"/>
      <c r="BH857" s="3"/>
      <c r="BI857" s="6"/>
    </row>
    <row x14ac:dyDescent="0.25" r="858" customHeight="1" ht="12.75">
      <c r="A858" s="5" t="s">
        <v>838</v>
      </c>
      <c r="B858" s="38" t="s">
        <v>859</v>
      </c>
      <c r="C858" s="43" t="s">
        <v>870</v>
      </c>
      <c r="D858" s="34"/>
      <c r="E858" s="6">
        <v>2.7</v>
      </c>
      <c r="F858" s="6">
        <v>0.01</v>
      </c>
      <c r="G858" s="6">
        <v>0.2</v>
      </c>
      <c r="H858" s="5">
        <v>34</v>
      </c>
      <c r="I858" s="6">
        <v>0.5</v>
      </c>
      <c r="J858" s="6">
        <v>0.3</v>
      </c>
      <c r="K858" s="7"/>
      <c r="L858" s="6"/>
      <c r="M858" s="6"/>
      <c r="N858" s="23"/>
      <c r="O858" s="5"/>
      <c r="P858" s="6"/>
      <c r="Q858" s="6"/>
      <c r="R858" s="6"/>
      <c r="S858" s="6"/>
      <c r="T858" s="6"/>
      <c r="U858" s="6"/>
      <c r="V858" s="5"/>
      <c r="W858" s="6"/>
      <c r="X858" s="6">
        <f>E858*F858/100</f>
      </c>
      <c r="Y858" s="6">
        <f>E858*G858/100</f>
      </c>
      <c r="Z858" s="7">
        <f>E858*H858</f>
      </c>
      <c r="AA858" s="7">
        <f>E858*J858</f>
      </c>
      <c r="AB858" s="6">
        <f>E858*I858/100</f>
      </c>
      <c r="AC858" s="15">
        <f>X858+Y858+AB858</f>
      </c>
      <c r="AD858" s="6">
        <f>F858+G858+I858</f>
      </c>
      <c r="AE858" s="3"/>
      <c r="AF858" s="6">
        <f>SUM(AM858:BC858)</f>
      </c>
      <c r="AG858" s="5">
        <f>IF(SUM(AM858:AO858)&gt;0.7*AF858,1,0)</f>
      </c>
      <c r="AH858" s="5">
        <f>IF(AN858&gt;0.4*AF858,1,0)</f>
      </c>
      <c r="AI858" s="5">
        <f>IF(SUM(AP858:AQ858)&gt;0.3*AF858,1,0)</f>
      </c>
      <c r="AJ858" s="5">
        <f>IF(AQ858&gt;0.2*AF858,1,0)</f>
      </c>
      <c r="AK858" s="5">
        <f>IF(SUM(AR858:BC858)&gt;0.3*AF858,1,0)</f>
      </c>
      <c r="AL858" s="3"/>
      <c r="AM858" s="6">
        <f>(F858/100)*AM$41</f>
      </c>
      <c r="AN858" s="6">
        <f>(G858/100)*AN$41</f>
      </c>
      <c r="AO858" s="6">
        <f>(H858/1000000)*AO$41</f>
      </c>
      <c r="AP858" s="6">
        <f>(I858/100)*AP$41</f>
      </c>
      <c r="AQ858" s="6">
        <f>(J858/1000000)*AQ$41</f>
      </c>
      <c r="AR858" s="6">
        <f>(K858/100)*AR$41</f>
      </c>
      <c r="AS858" s="6">
        <f>(L858/100)*AS$41</f>
      </c>
      <c r="AT858" s="6">
        <f>(M858/100)*AT$41</f>
      </c>
      <c r="AU858" s="6">
        <f>(N858/100)*AU$41</f>
      </c>
      <c r="AV858" s="6">
        <f>(O858/1000000)*AV$41</f>
      </c>
      <c r="AW858" s="6">
        <f>(P858/100)*AW$41</f>
      </c>
      <c r="AX858" s="6">
        <f>(Q858/100)*AX$41</f>
      </c>
      <c r="AY858" s="6">
        <f>(R858/100)*AY$41</f>
      </c>
      <c r="AZ858" s="6">
        <f>(S858/100)*AZ$41</f>
      </c>
      <c r="BA858" s="6">
        <f>(T858/100)*BA$41</f>
      </c>
      <c r="BB858" s="6">
        <f>(U858/100)*BB$41</f>
      </c>
      <c r="BC858" s="6"/>
      <c r="BD858" s="3"/>
      <c r="BE858" s="3"/>
      <c r="BF858" s="7">
        <f>AF858*E858</f>
      </c>
      <c r="BG858" s="6"/>
      <c r="BH858" s="3"/>
      <c r="BI858" s="6"/>
    </row>
    <row x14ac:dyDescent="0.25" r="859" customHeight="1" ht="12.75">
      <c r="A859" s="5" t="s">
        <v>199</v>
      </c>
      <c r="B859" s="38" t="s">
        <v>859</v>
      </c>
      <c r="C859" s="43" t="s">
        <v>870</v>
      </c>
      <c r="D859" s="34"/>
      <c r="E859" s="6">
        <v>0.131</v>
      </c>
      <c r="F859" s="6">
        <v>2.69</v>
      </c>
      <c r="G859" s="6">
        <v>8.43</v>
      </c>
      <c r="H859" s="5">
        <v>101</v>
      </c>
      <c r="I859" s="6">
        <v>0.28</v>
      </c>
      <c r="J859" s="6">
        <v>3.1</v>
      </c>
      <c r="K859" s="7"/>
      <c r="L859" s="6"/>
      <c r="M859" s="6"/>
      <c r="N859" s="23"/>
      <c r="O859" s="5"/>
      <c r="P859" s="6"/>
      <c r="Q859" s="6"/>
      <c r="R859" s="6"/>
      <c r="S859" s="6"/>
      <c r="T859" s="6"/>
      <c r="U859" s="6"/>
      <c r="V859" s="5"/>
      <c r="W859" s="6"/>
      <c r="X859" s="6">
        <f>E859*F859/100</f>
      </c>
      <c r="Y859" s="6">
        <f>E859*G859/100</f>
      </c>
      <c r="Z859" s="7">
        <f>E859*H859</f>
      </c>
      <c r="AA859" s="7">
        <f>E859*J859</f>
      </c>
      <c r="AB859" s="6">
        <f>E859*I859/100</f>
      </c>
      <c r="AC859" s="15">
        <f>X859+Y859+AB859</f>
      </c>
      <c r="AD859" s="6">
        <f>F859+G859+I859</f>
      </c>
      <c r="AE859" s="3"/>
      <c r="AF859" s="6">
        <f>SUM(AM859:BC859)</f>
      </c>
      <c r="AG859" s="5">
        <f>IF(SUM(AM859:AO859)&gt;0.7*AF859,1,0)</f>
      </c>
      <c r="AH859" s="5">
        <f>IF(AN859&gt;0.4*AF859,1,0)</f>
      </c>
      <c r="AI859" s="5">
        <f>IF(SUM(AP859:AQ859)&gt;0.3*AF859,1,0)</f>
      </c>
      <c r="AJ859" s="5">
        <f>IF(AQ859&gt;0.2*AF859,1,0)</f>
      </c>
      <c r="AK859" s="5">
        <f>IF(SUM(AR859:BC859)&gt;0.3*AF859,1,0)</f>
      </c>
      <c r="AL859" s="3"/>
      <c r="AM859" s="6">
        <f>(F859/100)*AM$41</f>
      </c>
      <c r="AN859" s="6">
        <f>(G859/100)*AN$41</f>
      </c>
      <c r="AO859" s="6">
        <f>(H859/1000000)*AO$41</f>
      </c>
      <c r="AP859" s="6">
        <f>(I859/100)*AP$41</f>
      </c>
      <c r="AQ859" s="6">
        <f>(J859/1000000)*AQ$41</f>
      </c>
      <c r="AR859" s="6">
        <f>(K859/100)*AR$41</f>
      </c>
      <c r="AS859" s="6">
        <f>(L859/100)*AS$41</f>
      </c>
      <c r="AT859" s="6">
        <f>(M859/100)*AT$41</f>
      </c>
      <c r="AU859" s="6">
        <f>(N859/100)*AU$41</f>
      </c>
      <c r="AV859" s="6">
        <f>(O859/1000000)*AV$41</f>
      </c>
      <c r="AW859" s="6">
        <f>(P859/100)*AW$41</f>
      </c>
      <c r="AX859" s="6">
        <f>(Q859/100)*AX$41</f>
      </c>
      <c r="AY859" s="6">
        <f>(R859/100)*AY$41</f>
      </c>
      <c r="AZ859" s="6">
        <f>(S859/100)*AZ$41</f>
      </c>
      <c r="BA859" s="6">
        <f>(T859/100)*BA$41</f>
      </c>
      <c r="BB859" s="6">
        <f>(U859/100)*BB$41</f>
      </c>
      <c r="BC859" s="6"/>
      <c r="BD859" s="3"/>
      <c r="BE859" s="3"/>
      <c r="BF859" s="7">
        <f>AF859*E859</f>
      </c>
      <c r="BG859" s="6"/>
      <c r="BH859" s="3"/>
      <c r="BI859" s="6"/>
    </row>
    <row x14ac:dyDescent="0.25" r="860" customHeight="1" ht="12.75">
      <c r="A860" s="5" t="s">
        <v>579</v>
      </c>
      <c r="B860" s="38" t="s">
        <v>859</v>
      </c>
      <c r="C860" s="43" t="s">
        <v>870</v>
      </c>
      <c r="D860" s="34"/>
      <c r="E860" s="6">
        <v>0.5</v>
      </c>
      <c r="F860" s="6"/>
      <c r="G860" s="6">
        <v>0.85</v>
      </c>
      <c r="H860" s="6">
        <v>14.8</v>
      </c>
      <c r="I860" s="6">
        <v>2.1</v>
      </c>
      <c r="J860" s="6">
        <v>1.6</v>
      </c>
      <c r="K860" s="7"/>
      <c r="L860" s="6"/>
      <c r="M860" s="6"/>
      <c r="N860" s="23"/>
      <c r="O860" s="5"/>
      <c r="P860" s="6"/>
      <c r="Q860" s="6"/>
      <c r="R860" s="6"/>
      <c r="S860" s="6"/>
      <c r="T860" s="6"/>
      <c r="U860" s="6"/>
      <c r="V860" s="5"/>
      <c r="W860" s="6"/>
      <c r="X860" s="6">
        <f>E860*F860/100</f>
      </c>
      <c r="Y860" s="6">
        <f>E860*G860/100</f>
      </c>
      <c r="Z860" s="7">
        <f>E860*H860</f>
      </c>
      <c r="AA860" s="7">
        <f>E860*J860</f>
      </c>
      <c r="AB860" s="6">
        <f>E860*I860/100</f>
      </c>
      <c r="AC860" s="15">
        <f>X860+Y860+AB860</f>
      </c>
      <c r="AD860" s="6">
        <f>F860+G860+I860</f>
      </c>
      <c r="AE860" s="3"/>
      <c r="AF860" s="6">
        <f>SUM(AM860:BC860)</f>
      </c>
      <c r="AG860" s="5">
        <f>IF(SUM(AM860:AO860)&gt;0.7*AF860,1,0)</f>
      </c>
      <c r="AH860" s="5">
        <f>IF(AN860&gt;0.4*AF860,1,0)</f>
      </c>
      <c r="AI860" s="5">
        <f>IF(SUM(AP860:AQ860)&gt;0.3*AF860,1,0)</f>
      </c>
      <c r="AJ860" s="5">
        <f>IF(AQ860&gt;0.2*AF860,1,0)</f>
      </c>
      <c r="AK860" s="5">
        <f>IF(SUM(AR860:BC860)&gt;0.3*AF860,1,0)</f>
      </c>
      <c r="AL860" s="3"/>
      <c r="AM860" s="6">
        <f>(F860/100)*AM$41</f>
      </c>
      <c r="AN860" s="6">
        <f>(G860/100)*AN$41</f>
      </c>
      <c r="AO860" s="6">
        <f>(H860/1000000)*AO$41</f>
      </c>
      <c r="AP860" s="6">
        <f>(I860/100)*AP$41</f>
      </c>
      <c r="AQ860" s="6">
        <f>(J860/1000000)*AQ$41</f>
      </c>
      <c r="AR860" s="6">
        <f>(K860/100)*AR$41</f>
      </c>
      <c r="AS860" s="6">
        <f>(L860/100)*AS$41</f>
      </c>
      <c r="AT860" s="6">
        <f>(M860/100)*AT$41</f>
      </c>
      <c r="AU860" s="6">
        <f>(N860/100)*AU$41</f>
      </c>
      <c r="AV860" s="6">
        <f>(O860/1000000)*AV$41</f>
      </c>
      <c r="AW860" s="6">
        <f>(P860/100)*AW$41</f>
      </c>
      <c r="AX860" s="6">
        <f>(Q860/100)*AX$41</f>
      </c>
      <c r="AY860" s="6">
        <f>(R860/100)*AY$41</f>
      </c>
      <c r="AZ860" s="6">
        <f>(S860/100)*AZ$41</f>
      </c>
      <c r="BA860" s="6">
        <f>(T860/100)*BA$41</f>
      </c>
      <c r="BB860" s="6">
        <f>(U860/100)*BB$41</f>
      </c>
      <c r="BC860" s="6"/>
      <c r="BD860" s="3"/>
      <c r="BE860" s="3"/>
      <c r="BF860" s="7">
        <f>AF860*E860</f>
      </c>
      <c r="BG860" s="6"/>
      <c r="BH860" s="3"/>
      <c r="BI860" s="6"/>
    </row>
    <row x14ac:dyDescent="0.25" r="861" customHeight="1" ht="12.75">
      <c r="A861" s="5" t="s">
        <v>202</v>
      </c>
      <c r="B861" s="38" t="s">
        <v>859</v>
      </c>
      <c r="C861" s="43" t="s">
        <v>870</v>
      </c>
      <c r="D861" s="34"/>
      <c r="E861" s="6">
        <v>0.11699999999999999</v>
      </c>
      <c r="F861" s="7">
        <v>3.142735042735043</v>
      </c>
      <c r="G861" s="7">
        <v>9.093162393162395</v>
      </c>
      <c r="H861" s="31">
        <v>47.35897435897436</v>
      </c>
      <c r="I861" s="6">
        <v>0.18299145299145303</v>
      </c>
      <c r="J861" s="6">
        <v>0.6235897435897436</v>
      </c>
      <c r="K861" s="7"/>
      <c r="L861" s="6"/>
      <c r="M861" s="6"/>
      <c r="N861" s="23"/>
      <c r="O861" s="5"/>
      <c r="P861" s="6"/>
      <c r="Q861" s="6"/>
      <c r="R861" s="6"/>
      <c r="S861" s="6"/>
      <c r="T861" s="6"/>
      <c r="U861" s="6"/>
      <c r="V861" s="5"/>
      <c r="W861" s="6"/>
      <c r="X861" s="6">
        <f>E861*F861/100</f>
      </c>
      <c r="Y861" s="6">
        <f>E861*G861/100</f>
      </c>
      <c r="Z861" s="7">
        <f>E861*H861</f>
      </c>
      <c r="AA861" s="7">
        <f>E861*J861</f>
      </c>
      <c r="AB861" s="6">
        <f>E861*I861/100</f>
      </c>
      <c r="AC861" s="15">
        <f>X861+Y861+AB861</f>
      </c>
      <c r="AD861" s="6">
        <f>F861+G861+I861</f>
      </c>
      <c r="AE861" s="3"/>
      <c r="AF861" s="6">
        <f>SUM(AM861:BC861)</f>
      </c>
      <c r="AG861" s="5">
        <f>IF(SUM(AM861:AO861)&gt;0.7*AF861,1,0)</f>
      </c>
      <c r="AH861" s="5">
        <f>IF(AN861&gt;0.4*AF861,1,0)</f>
      </c>
      <c r="AI861" s="5">
        <f>IF(SUM(AP861:AQ861)&gt;0.3*AF861,1,0)</f>
      </c>
      <c r="AJ861" s="5">
        <f>IF(AQ861&gt;0.2*AF861,1,0)</f>
      </c>
      <c r="AK861" s="5">
        <f>IF(SUM(AR861:BC861)&gt;0.3*AF861,1,0)</f>
      </c>
      <c r="AL861" s="3"/>
      <c r="AM861" s="6">
        <f>(F861/100)*AM$41</f>
      </c>
      <c r="AN861" s="6">
        <f>(G861/100)*AN$41</f>
      </c>
      <c r="AO861" s="6">
        <f>(H861/1000000)*AO$41</f>
      </c>
      <c r="AP861" s="6">
        <f>(I861/100)*AP$41</f>
      </c>
      <c r="AQ861" s="6">
        <f>(J861/1000000)*AQ$41</f>
      </c>
      <c r="AR861" s="6">
        <f>(K861/100)*AR$41</f>
      </c>
      <c r="AS861" s="6">
        <f>(L861/100)*AS$41</f>
      </c>
      <c r="AT861" s="6">
        <f>(M861/100)*AT$41</f>
      </c>
      <c r="AU861" s="6">
        <f>(N861/100)*AU$41</f>
      </c>
      <c r="AV861" s="6">
        <f>(O861/1000000)*AV$41</f>
      </c>
      <c r="AW861" s="6">
        <f>(P861/100)*AW$41</f>
      </c>
      <c r="AX861" s="6">
        <f>(Q861/100)*AX$41</f>
      </c>
      <c r="AY861" s="6">
        <f>(R861/100)*AY$41</f>
      </c>
      <c r="AZ861" s="6">
        <f>(S861/100)*AZ$41</f>
      </c>
      <c r="BA861" s="6">
        <f>(T861/100)*BA$41</f>
      </c>
      <c r="BB861" s="6">
        <f>(U861/100)*BB$41</f>
      </c>
      <c r="BC861" s="6"/>
      <c r="BD861" s="3"/>
      <c r="BE861" s="3"/>
      <c r="BF861" s="7">
        <f>AF861*E861</f>
      </c>
      <c r="BG861" s="6"/>
      <c r="BH861" s="3"/>
      <c r="BI861" s="6"/>
    </row>
    <row x14ac:dyDescent="0.25" r="862" customHeight="1" ht="12.75">
      <c r="A862" s="5" t="s">
        <v>718</v>
      </c>
      <c r="B862" s="38" t="s">
        <v>859</v>
      </c>
      <c r="C862" s="43" t="s">
        <v>870</v>
      </c>
      <c r="D862" s="34"/>
      <c r="E862" s="6">
        <v>0.2531088</v>
      </c>
      <c r="F862" s="6"/>
      <c r="G862" s="6">
        <v>4.38</v>
      </c>
      <c r="H862" s="6">
        <v>42.16</v>
      </c>
      <c r="I862" s="6">
        <v>0.77</v>
      </c>
      <c r="J862" s="6"/>
      <c r="K862" s="7"/>
      <c r="L862" s="6"/>
      <c r="M862" s="6"/>
      <c r="N862" s="23"/>
      <c r="O862" s="5"/>
      <c r="P862" s="6"/>
      <c r="Q862" s="6"/>
      <c r="R862" s="6"/>
      <c r="S862" s="6"/>
      <c r="T862" s="6"/>
      <c r="U862" s="6"/>
      <c r="V862" s="5"/>
      <c r="W862" s="6"/>
      <c r="X862" s="6">
        <f>E862*F862/100</f>
      </c>
      <c r="Y862" s="6">
        <f>E862*G862/100</f>
      </c>
      <c r="Z862" s="7">
        <f>E862*H862</f>
      </c>
      <c r="AA862" s="7">
        <f>E862*J862</f>
      </c>
      <c r="AB862" s="6">
        <f>E862*I862/100</f>
      </c>
      <c r="AC862" s="15">
        <f>X862+Y862+AB862</f>
      </c>
      <c r="AD862" s="6">
        <f>F862+G862+I862</f>
      </c>
      <c r="AE862" s="3"/>
      <c r="AF862" s="6">
        <f>SUM(AM862:BC862)</f>
      </c>
      <c r="AG862" s="5">
        <f>IF(SUM(AM862:AO862)&gt;0.7*AF862,1,0)</f>
      </c>
      <c r="AH862" s="5">
        <f>IF(AN862&gt;0.4*AF862,1,0)</f>
      </c>
      <c r="AI862" s="5">
        <f>IF(SUM(AP862:AQ862)&gt;0.3*AF862,1,0)</f>
      </c>
      <c r="AJ862" s="5">
        <f>IF(AQ862&gt;0.2*AF862,1,0)</f>
      </c>
      <c r="AK862" s="5">
        <f>IF(SUM(AR862:BC862)&gt;0.3*AF862,1,0)</f>
      </c>
      <c r="AL862" s="3"/>
      <c r="AM862" s="6">
        <f>(F862/100)*AM$41</f>
      </c>
      <c r="AN862" s="6">
        <f>(G862/100)*AN$41</f>
      </c>
      <c r="AO862" s="6">
        <f>(H862/1000000)*AO$41</f>
      </c>
      <c r="AP862" s="6">
        <f>(I862/100)*AP$41</f>
      </c>
      <c r="AQ862" s="6">
        <f>(J862/1000000)*AQ$41</f>
      </c>
      <c r="AR862" s="6">
        <f>(K862/100)*AR$41</f>
      </c>
      <c r="AS862" s="6">
        <f>(L862/100)*AS$41</f>
      </c>
      <c r="AT862" s="6">
        <f>(M862/100)*AT$41</f>
      </c>
      <c r="AU862" s="6">
        <f>(N862/100)*AU$41</f>
      </c>
      <c r="AV862" s="6">
        <f>(O862/1000000)*AV$41</f>
      </c>
      <c r="AW862" s="6">
        <f>(P862/100)*AW$41</f>
      </c>
      <c r="AX862" s="6">
        <f>(Q862/100)*AX$41</f>
      </c>
      <c r="AY862" s="6">
        <f>(R862/100)*AY$41</f>
      </c>
      <c r="AZ862" s="6">
        <f>(S862/100)*AZ$41</f>
      </c>
      <c r="BA862" s="6">
        <f>(T862/100)*BA$41</f>
      </c>
      <c r="BB862" s="6">
        <f>(U862/100)*BB$41</f>
      </c>
      <c r="BC862" s="6"/>
      <c r="BD862" s="3"/>
      <c r="BE862" s="3"/>
      <c r="BF862" s="7">
        <f>AF862*E862</f>
      </c>
      <c r="BG862" s="6"/>
      <c r="BH862" s="3"/>
      <c r="BI862" s="6"/>
    </row>
    <row x14ac:dyDescent="0.25" r="863" customHeight="1" ht="12.75">
      <c r="A863" s="5" t="s">
        <v>447</v>
      </c>
      <c r="B863" s="38" t="s">
        <v>859</v>
      </c>
      <c r="C863" s="43" t="s">
        <v>870</v>
      </c>
      <c r="D863" s="34"/>
      <c r="E863" s="23">
        <v>0.496568</v>
      </c>
      <c r="F863" s="6">
        <v>1.7199240184627282</v>
      </c>
      <c r="G863" s="6">
        <v>0.2643362238404408</v>
      </c>
      <c r="H863" s="7">
        <v>277.3401583066166</v>
      </c>
      <c r="I863" s="6">
        <v>0.1764511607675082</v>
      </c>
      <c r="J863" s="6">
        <v>1.56979803370334</v>
      </c>
      <c r="K863" s="7"/>
      <c r="L863" s="6"/>
      <c r="M863" s="6"/>
      <c r="N863" s="23"/>
      <c r="O863" s="5"/>
      <c r="P863" s="6"/>
      <c r="Q863" s="6"/>
      <c r="R863" s="6"/>
      <c r="S863" s="6"/>
      <c r="T863" s="6"/>
      <c r="U863" s="6"/>
      <c r="V863" s="5"/>
      <c r="W863" s="6"/>
      <c r="X863" s="6">
        <f>E863*F863/100</f>
      </c>
      <c r="Y863" s="6">
        <f>E863*G863/100</f>
      </c>
      <c r="Z863" s="7">
        <f>E863*H863</f>
      </c>
      <c r="AA863" s="7">
        <f>E863*J863</f>
      </c>
      <c r="AB863" s="6">
        <f>E863*I863/100</f>
      </c>
      <c r="AC863" s="15">
        <f>X863+Y863+AB863</f>
      </c>
      <c r="AD863" s="6">
        <f>F863+G863+I863</f>
      </c>
      <c r="AE863" s="3"/>
      <c r="AF863" s="6">
        <f>SUM(AM863:BC863)</f>
      </c>
      <c r="AG863" s="5">
        <f>IF(SUM(AM863:AO863)&gt;0.7*AF863,1,0)</f>
      </c>
      <c r="AH863" s="5">
        <f>IF(AN863&gt;0.4*AF863,1,0)</f>
      </c>
      <c r="AI863" s="5">
        <f>IF(SUM(AP863:AQ863)&gt;0.3*AF863,1,0)</f>
      </c>
      <c r="AJ863" s="5">
        <f>IF(AQ863&gt;0.2*AF863,1,0)</f>
      </c>
      <c r="AK863" s="5">
        <f>IF(SUM(AR863:BC863)&gt;0.3*AF863,1,0)</f>
      </c>
      <c r="AL863" s="3"/>
      <c r="AM863" s="6">
        <f>(F863/100)*AM$41</f>
      </c>
      <c r="AN863" s="6">
        <f>(G863/100)*AN$41</f>
      </c>
      <c r="AO863" s="6">
        <f>(H863/1000000)*AO$41</f>
      </c>
      <c r="AP863" s="6">
        <f>(I863/100)*AP$41</f>
      </c>
      <c r="AQ863" s="6">
        <f>(J863/1000000)*AQ$41</f>
      </c>
      <c r="AR863" s="6">
        <f>(K863/100)*AR$41</f>
      </c>
      <c r="AS863" s="6">
        <f>(L863/100)*AS$41</f>
      </c>
      <c r="AT863" s="6">
        <f>(M863/100)*AT$41</f>
      </c>
      <c r="AU863" s="6">
        <f>(N863/100)*AU$41</f>
      </c>
      <c r="AV863" s="6">
        <f>(O863/1000000)*AV$41</f>
      </c>
      <c r="AW863" s="6">
        <f>(P863/100)*AW$41</f>
      </c>
      <c r="AX863" s="6">
        <f>(Q863/100)*AX$41</f>
      </c>
      <c r="AY863" s="6">
        <f>(R863/100)*AY$41</f>
      </c>
      <c r="AZ863" s="6">
        <f>(S863/100)*AZ$41</f>
      </c>
      <c r="BA863" s="6">
        <f>(T863/100)*BA$41</f>
      </c>
      <c r="BB863" s="6">
        <f>(U863/100)*BB$41</f>
      </c>
      <c r="BC863" s="6"/>
      <c r="BD863" s="3"/>
      <c r="BE863" s="3"/>
      <c r="BF863" s="7">
        <f>AF863*E863</f>
      </c>
      <c r="BG863" s="6"/>
      <c r="BH863" s="3"/>
      <c r="BI863" s="6"/>
    </row>
    <row x14ac:dyDescent="0.25" r="864" customHeight="1" ht="12.75">
      <c r="A864" s="5" t="s">
        <v>807</v>
      </c>
      <c r="B864" s="38" t="s">
        <v>859</v>
      </c>
      <c r="C864" s="43" t="s">
        <v>870</v>
      </c>
      <c r="D864" s="34" t="s">
        <v>870</v>
      </c>
      <c r="E864" s="23">
        <v>0.296</v>
      </c>
      <c r="F864" s="6">
        <v>0.7649999999999999</v>
      </c>
      <c r="G864" s="6">
        <v>2.575</v>
      </c>
      <c r="H864" s="7">
        <v>52.3</v>
      </c>
      <c r="I864" s="6">
        <v>0.195</v>
      </c>
      <c r="J864" s="6"/>
      <c r="K864" s="7"/>
      <c r="L864" s="6"/>
      <c r="M864" s="6"/>
      <c r="N864" s="23"/>
      <c r="O864" s="5"/>
      <c r="P864" s="6"/>
      <c r="Q864" s="6"/>
      <c r="R864" s="6"/>
      <c r="S864" s="6"/>
      <c r="T864" s="6"/>
      <c r="U864" s="6"/>
      <c r="V864" s="5"/>
      <c r="W864" s="6"/>
      <c r="X864" s="6">
        <f>E864*F864/100</f>
      </c>
      <c r="Y864" s="6">
        <f>E864*G864/100</f>
      </c>
      <c r="Z864" s="7">
        <f>E864*H864</f>
      </c>
      <c r="AA864" s="7">
        <f>E864*J864</f>
      </c>
      <c r="AB864" s="6">
        <f>E864*I864/100</f>
      </c>
      <c r="AC864" s="15">
        <f>X864+Y864+AB864</f>
      </c>
      <c r="AD864" s="6">
        <f>F864+G864+I864</f>
      </c>
      <c r="AE864" s="3"/>
      <c r="AF864" s="6">
        <f>SUM(AM864:BC864)</f>
      </c>
      <c r="AG864" s="5">
        <f>IF(SUM(AM864:AO864)&gt;0.7*AF864,1,0)</f>
      </c>
      <c r="AH864" s="5">
        <f>IF(AN864&gt;0.4*AF864,1,0)</f>
      </c>
      <c r="AI864" s="5">
        <f>IF(SUM(AP864:AQ864)&gt;0.3*AF864,1,0)</f>
      </c>
      <c r="AJ864" s="5">
        <f>IF(AQ864&gt;0.2*AF864,1,0)</f>
      </c>
      <c r="AK864" s="5">
        <f>IF(SUM(AR864:BC864)&gt;0.3*AF864,1,0)</f>
      </c>
      <c r="AL864" s="3"/>
      <c r="AM864" s="6">
        <f>(F864/100)*AM$41</f>
      </c>
      <c r="AN864" s="6">
        <f>(G864/100)*AN$41</f>
      </c>
      <c r="AO864" s="6">
        <f>(H864/1000000)*AO$41</f>
      </c>
      <c r="AP864" s="6">
        <f>(I864/100)*AP$41</f>
      </c>
      <c r="AQ864" s="6">
        <f>(J864/1000000)*AQ$41</f>
      </c>
      <c r="AR864" s="6">
        <f>(K864/100)*AR$41</f>
      </c>
      <c r="AS864" s="6">
        <f>(L864/100)*AS$41</f>
      </c>
      <c r="AT864" s="6">
        <f>(M864/100)*AT$41</f>
      </c>
      <c r="AU864" s="6">
        <f>(N864/100)*AU$41</f>
      </c>
      <c r="AV864" s="6">
        <f>(O864/1000000)*AV$41</f>
      </c>
      <c r="AW864" s="6">
        <f>(P864/100)*AW$41</f>
      </c>
      <c r="AX864" s="6">
        <f>(Q864/100)*AX$41</f>
      </c>
      <c r="AY864" s="6">
        <f>(R864/100)*AY$41</f>
      </c>
      <c r="AZ864" s="6">
        <f>(S864/100)*AZ$41</f>
      </c>
      <c r="BA864" s="6">
        <f>(T864/100)*BA$41</f>
      </c>
      <c r="BB864" s="6">
        <f>(U864/100)*BB$41</f>
      </c>
      <c r="BC864" s="6"/>
      <c r="BD864" s="3"/>
      <c r="BE864" s="3"/>
      <c r="BF864" s="7">
        <f>AF864*E864</f>
      </c>
      <c r="BG864" s="6"/>
      <c r="BH864" s="3"/>
      <c r="BI864" s="6"/>
    </row>
    <row x14ac:dyDescent="0.25" r="865" customHeight="1" ht="12.75">
      <c r="A865" s="5" t="s">
        <v>549</v>
      </c>
      <c r="B865" s="38" t="s">
        <v>859</v>
      </c>
      <c r="C865" s="43" t="s">
        <v>870</v>
      </c>
      <c r="D865" s="34"/>
      <c r="E865" s="23">
        <v>0.249906</v>
      </c>
      <c r="F865" s="6">
        <v>1.24</v>
      </c>
      <c r="G865" s="6">
        <v>2.19</v>
      </c>
      <c r="H865" s="6">
        <v>226.6</v>
      </c>
      <c r="I865" s="6">
        <v>0.28</v>
      </c>
      <c r="J865" s="6">
        <v>0.58</v>
      </c>
      <c r="K865" s="7"/>
      <c r="L865" s="6"/>
      <c r="M865" s="6"/>
      <c r="N865" s="23"/>
      <c r="O865" s="5"/>
      <c r="P865" s="6"/>
      <c r="Q865" s="6"/>
      <c r="R865" s="6"/>
      <c r="S865" s="6"/>
      <c r="T865" s="6"/>
      <c r="U865" s="6"/>
      <c r="V865" s="5"/>
      <c r="W865" s="6"/>
      <c r="X865" s="6">
        <f>E865*F865/100</f>
      </c>
      <c r="Y865" s="6">
        <f>E865*G865/100</f>
      </c>
      <c r="Z865" s="7">
        <f>E865*H865</f>
      </c>
      <c r="AA865" s="7">
        <f>E865*J865</f>
      </c>
      <c r="AB865" s="6">
        <f>E865*I865/100</f>
      </c>
      <c r="AC865" s="15">
        <f>X865+Y865+AB865</f>
      </c>
      <c r="AD865" s="6">
        <f>F865+G865+I865</f>
      </c>
      <c r="AE865" s="3"/>
      <c r="AF865" s="6">
        <f>SUM(AM865:BC865)</f>
      </c>
      <c r="AG865" s="5">
        <f>IF(SUM(AM865:AO865)&gt;0.7*AF865,1,0)</f>
      </c>
      <c r="AH865" s="5">
        <f>IF(AN865&gt;0.4*AF865,1,0)</f>
      </c>
      <c r="AI865" s="5">
        <f>IF(SUM(AP865:AQ865)&gt;0.3*AF865,1,0)</f>
      </c>
      <c r="AJ865" s="5">
        <f>IF(AQ865&gt;0.2*AF865,1,0)</f>
      </c>
      <c r="AK865" s="5">
        <f>IF(SUM(AR865:BC865)&gt;0.3*AF865,1,0)</f>
      </c>
      <c r="AL865" s="3"/>
      <c r="AM865" s="6">
        <f>(F865/100)*AM$41</f>
      </c>
      <c r="AN865" s="6">
        <f>(G865/100)*AN$41</f>
      </c>
      <c r="AO865" s="6">
        <f>(H865/1000000)*AO$41</f>
      </c>
      <c r="AP865" s="6">
        <f>(I865/100)*AP$41</f>
      </c>
      <c r="AQ865" s="6">
        <f>(J865/1000000)*AQ$41</f>
      </c>
      <c r="AR865" s="6">
        <f>(K865/100)*AR$41</f>
      </c>
      <c r="AS865" s="6">
        <f>(L865/100)*AS$41</f>
      </c>
      <c r="AT865" s="6">
        <f>(M865/100)*AT$41</f>
      </c>
      <c r="AU865" s="6">
        <f>(N865/100)*AU$41</f>
      </c>
      <c r="AV865" s="6">
        <f>(O865/1000000)*AV$41</f>
      </c>
      <c r="AW865" s="6">
        <f>(P865/100)*AW$41</f>
      </c>
      <c r="AX865" s="6">
        <f>(Q865/100)*AX$41</f>
      </c>
      <c r="AY865" s="6">
        <f>(R865/100)*AY$41</f>
      </c>
      <c r="AZ865" s="6">
        <f>(S865/100)*AZ$41</f>
      </c>
      <c r="BA865" s="6">
        <f>(T865/100)*BA$41</f>
      </c>
      <c r="BB865" s="6">
        <f>(U865/100)*BB$41</f>
      </c>
      <c r="BC865" s="6"/>
      <c r="BD865" s="3"/>
      <c r="BE865" s="3"/>
      <c r="BF865" s="7">
        <f>AF865*E865</f>
      </c>
      <c r="BG865" s="6"/>
      <c r="BH865" s="3"/>
      <c r="BI865" s="6"/>
    </row>
    <row x14ac:dyDescent="0.25" r="866" customHeight="1" ht="12.75">
      <c r="A866" s="5" t="s">
        <v>819</v>
      </c>
      <c r="B866" s="38" t="s">
        <v>859</v>
      </c>
      <c r="C866" s="43" t="s">
        <v>870</v>
      </c>
      <c r="D866" s="34"/>
      <c r="E866" s="23">
        <v>0.259637</v>
      </c>
      <c r="F866" s="6"/>
      <c r="G866" s="6">
        <v>3.05</v>
      </c>
      <c r="H866" s="7"/>
      <c r="I866" s="6"/>
      <c r="J866" s="6">
        <v>0.58</v>
      </c>
      <c r="K866" s="7"/>
      <c r="L866" s="6"/>
      <c r="M866" s="6"/>
      <c r="N866" s="23"/>
      <c r="O866" s="5"/>
      <c r="P866" s="6"/>
      <c r="Q866" s="6"/>
      <c r="R866" s="6"/>
      <c r="S866" s="6"/>
      <c r="T866" s="6"/>
      <c r="U866" s="6"/>
      <c r="V866" s="5"/>
      <c r="W866" s="6"/>
      <c r="X866" s="6">
        <f>E866*F866/100</f>
      </c>
      <c r="Y866" s="6">
        <f>E866*G866/100</f>
      </c>
      <c r="Z866" s="7">
        <f>E866*H866</f>
      </c>
      <c r="AA866" s="7">
        <f>E866*J866</f>
      </c>
      <c r="AB866" s="6">
        <f>E866*I866/100</f>
      </c>
      <c r="AC866" s="15">
        <f>X866+Y866+AB866</f>
      </c>
      <c r="AD866" s="6">
        <f>F866+G866+I866</f>
      </c>
      <c r="AE866" s="3"/>
      <c r="AF866" s="6">
        <f>SUM(AM866:BC866)</f>
      </c>
      <c r="AG866" s="5">
        <f>IF(SUM(AM866:AO866)&gt;0.7*AF866,1,0)</f>
      </c>
      <c r="AH866" s="5">
        <f>IF(AN866&gt;0.4*AF866,1,0)</f>
      </c>
      <c r="AI866" s="5">
        <f>IF(SUM(AP866:AQ866)&gt;0.3*AF866,1,0)</f>
      </c>
      <c r="AJ866" s="5">
        <f>IF(AQ866&gt;0.2*AF866,1,0)</f>
      </c>
      <c r="AK866" s="5">
        <f>IF(SUM(AR866:BC866)&gt;0.3*AF866,1,0)</f>
      </c>
      <c r="AL866" s="3"/>
      <c r="AM866" s="6">
        <f>(F866/100)*AM$41</f>
      </c>
      <c r="AN866" s="6">
        <f>(G866/100)*AN$41</f>
      </c>
      <c r="AO866" s="6">
        <f>(H866/1000000)*AO$41</f>
      </c>
      <c r="AP866" s="6">
        <f>(I866/100)*AP$41</f>
      </c>
      <c r="AQ866" s="6">
        <f>(J866/1000000)*AQ$41</f>
      </c>
      <c r="AR866" s="6">
        <f>(K866/100)*AR$41</f>
      </c>
      <c r="AS866" s="6">
        <f>(L866/100)*AS$41</f>
      </c>
      <c r="AT866" s="6">
        <f>(M866/100)*AT$41</f>
      </c>
      <c r="AU866" s="6">
        <f>(N866/100)*AU$41</f>
      </c>
      <c r="AV866" s="6">
        <f>(O866/1000000)*AV$41</f>
      </c>
      <c r="AW866" s="6">
        <f>(P866/100)*AW$41</f>
      </c>
      <c r="AX866" s="6">
        <f>(Q866/100)*AX$41</f>
      </c>
      <c r="AY866" s="6">
        <f>(R866/100)*AY$41</f>
      </c>
      <c r="AZ866" s="6">
        <f>(S866/100)*AZ$41</f>
      </c>
      <c r="BA866" s="6">
        <f>(T866/100)*BA$41</f>
      </c>
      <c r="BB866" s="6">
        <f>(U866/100)*BB$41</f>
      </c>
      <c r="BC866" s="6"/>
      <c r="BD866" s="3"/>
      <c r="BE866" s="3"/>
      <c r="BF866" s="7">
        <f>AF866*E866</f>
      </c>
      <c r="BG866" s="6"/>
      <c r="BH866" s="3"/>
      <c r="BI866" s="6"/>
    </row>
    <row x14ac:dyDescent="0.25" r="867" customHeight="1" ht="12.75">
      <c r="A867" s="5" t="s">
        <v>65</v>
      </c>
      <c r="B867" s="38" t="s">
        <v>859</v>
      </c>
      <c r="C867" s="43" t="s">
        <v>870</v>
      </c>
      <c r="D867" s="34"/>
      <c r="E867" s="23">
        <v>0.07503</v>
      </c>
      <c r="F867" s="7">
        <v>1.3128082100493135</v>
      </c>
      <c r="G867" s="7">
        <v>7.131280821004931</v>
      </c>
      <c r="H867" s="31">
        <v>130.18842063174728</v>
      </c>
      <c r="I867" s="7">
        <v>0.516206850593096</v>
      </c>
      <c r="J867" s="6">
        <v>8.759230974276957</v>
      </c>
      <c r="K867" s="7"/>
      <c r="L867" s="6"/>
      <c r="M867" s="6"/>
      <c r="N867" s="23"/>
      <c r="O867" s="5"/>
      <c r="P867" s="6"/>
      <c r="Q867" s="6"/>
      <c r="R867" s="6"/>
      <c r="S867" s="6"/>
      <c r="T867" s="6"/>
      <c r="U867" s="6"/>
      <c r="V867" s="5"/>
      <c r="W867" s="6"/>
      <c r="X867" s="6">
        <f>E867*F867/100</f>
      </c>
      <c r="Y867" s="6">
        <f>E867*G867/100</f>
      </c>
      <c r="Z867" s="7">
        <f>E867*H867</f>
      </c>
      <c r="AA867" s="7">
        <f>E867*J867</f>
      </c>
      <c r="AB867" s="6">
        <f>E867*I867/100</f>
      </c>
      <c r="AC867" s="15">
        <f>X867+Y867+AB867</f>
      </c>
      <c r="AD867" s="6">
        <f>F867+G867+I867</f>
      </c>
      <c r="AE867" s="3"/>
      <c r="AF867" s="6">
        <f>SUM(AM867:BC867)</f>
      </c>
      <c r="AG867" s="5">
        <f>IF(SUM(AM867:AO867)&gt;0.7*AF867,1,0)</f>
      </c>
      <c r="AH867" s="5">
        <f>IF(AN867&gt;0.4*AF867,1,0)</f>
      </c>
      <c r="AI867" s="5">
        <f>IF(SUM(AP867:AQ867)&gt;0.3*AF867,1,0)</f>
      </c>
      <c r="AJ867" s="5">
        <f>IF(AQ867&gt;0.2*AF867,1,0)</f>
      </c>
      <c r="AK867" s="5">
        <f>IF(SUM(AR867:BC867)&gt;0.3*AF867,1,0)</f>
      </c>
      <c r="AL867" s="3"/>
      <c r="AM867" s="6">
        <f>(F867/100)*AM$41</f>
      </c>
      <c r="AN867" s="6">
        <f>(G867/100)*AN$41</f>
      </c>
      <c r="AO867" s="6">
        <f>(H867/1000000)*AO$41</f>
      </c>
      <c r="AP867" s="6">
        <f>(I867/100)*AP$41</f>
      </c>
      <c r="AQ867" s="6">
        <f>(J867/1000000)*AQ$41</f>
      </c>
      <c r="AR867" s="6">
        <f>(K867/100)*AR$41</f>
      </c>
      <c r="AS867" s="6">
        <f>(L867/100)*AS$41</f>
      </c>
      <c r="AT867" s="6">
        <f>(M867/100)*AT$41</f>
      </c>
      <c r="AU867" s="6">
        <f>(N867/100)*AU$41</f>
      </c>
      <c r="AV867" s="6">
        <f>(O867/1000000)*AV$41</f>
      </c>
      <c r="AW867" s="6">
        <f>(P867/100)*AW$41</f>
      </c>
      <c r="AX867" s="6">
        <f>(Q867/100)*AX$41</f>
      </c>
      <c r="AY867" s="6">
        <f>(R867/100)*AY$41</f>
      </c>
      <c r="AZ867" s="6">
        <f>(S867/100)*AZ$41</f>
      </c>
      <c r="BA867" s="6">
        <f>(T867/100)*BA$41</f>
      </c>
      <c r="BB867" s="6">
        <f>(U867/100)*BB$41</f>
      </c>
      <c r="BC867" s="6"/>
      <c r="BD867" s="3"/>
      <c r="BE867" s="3"/>
      <c r="BF867" s="7">
        <f>AF867*E867</f>
      </c>
      <c r="BG867" s="6"/>
      <c r="BH867" s="3"/>
      <c r="BI867" s="6"/>
    </row>
    <row x14ac:dyDescent="0.25" r="868" customHeight="1" ht="12.75">
      <c r="A868" s="5" t="s">
        <v>632</v>
      </c>
      <c r="B868" s="38" t="s">
        <v>859</v>
      </c>
      <c r="C868" s="43" t="s">
        <v>870</v>
      </c>
      <c r="D868" s="34"/>
      <c r="E868" s="6">
        <v>0.0988848</v>
      </c>
      <c r="F868" s="6">
        <v>0.61</v>
      </c>
      <c r="G868" s="6">
        <v>5.2</v>
      </c>
      <c r="H868" s="7"/>
      <c r="I868" s="6">
        <v>0.26</v>
      </c>
      <c r="J868" s="6"/>
      <c r="K868" s="7"/>
      <c r="L868" s="6"/>
      <c r="M868" s="6"/>
      <c r="N868" s="23"/>
      <c r="O868" s="5"/>
      <c r="P868" s="6"/>
      <c r="Q868" s="6"/>
      <c r="R868" s="6"/>
      <c r="S868" s="6"/>
      <c r="T868" s="6"/>
      <c r="U868" s="6"/>
      <c r="V868" s="5"/>
      <c r="W868" s="6"/>
      <c r="X868" s="6">
        <f>E868*F868/100</f>
      </c>
      <c r="Y868" s="6">
        <f>E868*G868/100</f>
      </c>
      <c r="Z868" s="7">
        <f>E868*H868</f>
      </c>
      <c r="AA868" s="7">
        <f>E868*J868</f>
      </c>
      <c r="AB868" s="6">
        <f>E868*I868/100</f>
      </c>
      <c r="AC868" s="15">
        <f>X868+Y868+AB868</f>
      </c>
      <c r="AD868" s="6">
        <f>F868+G868+I868</f>
      </c>
      <c r="AE868" s="3"/>
      <c r="AF868" s="6">
        <f>SUM(AM868:BC868)</f>
      </c>
      <c r="AG868" s="5">
        <f>IF(SUM(AM868:AO868)&gt;0.7*AF868,1,0)</f>
      </c>
      <c r="AH868" s="5">
        <f>IF(AN868&gt;0.4*AF868,1,0)</f>
      </c>
      <c r="AI868" s="5">
        <f>IF(SUM(AP868:AQ868)&gt;0.3*AF868,1,0)</f>
      </c>
      <c r="AJ868" s="5">
        <f>IF(AQ868&gt;0.2*AF868,1,0)</f>
      </c>
      <c r="AK868" s="5">
        <f>IF(SUM(AR868:BC868)&gt;0.3*AF868,1,0)</f>
      </c>
      <c r="AL868" s="3"/>
      <c r="AM868" s="6">
        <f>(F868/100)*AM$41</f>
      </c>
      <c r="AN868" s="6">
        <f>(G868/100)*AN$41</f>
      </c>
      <c r="AO868" s="6">
        <f>(H868/1000000)*AO$41</f>
      </c>
      <c r="AP868" s="6">
        <f>(I868/100)*AP$41</f>
      </c>
      <c r="AQ868" s="6">
        <f>(J868/1000000)*AQ$41</f>
      </c>
      <c r="AR868" s="6">
        <f>(K868/100)*AR$41</f>
      </c>
      <c r="AS868" s="6">
        <f>(L868/100)*AS$41</f>
      </c>
      <c r="AT868" s="6">
        <f>(M868/100)*AT$41</f>
      </c>
      <c r="AU868" s="6">
        <f>(N868/100)*AU$41</f>
      </c>
      <c r="AV868" s="6">
        <f>(O868/1000000)*AV$41</f>
      </c>
      <c r="AW868" s="6">
        <f>(P868/100)*AW$41</f>
      </c>
      <c r="AX868" s="6">
        <f>(Q868/100)*AX$41</f>
      </c>
      <c r="AY868" s="6">
        <f>(R868/100)*AY$41</f>
      </c>
      <c r="AZ868" s="6">
        <f>(S868/100)*AZ$41</f>
      </c>
      <c r="BA868" s="6">
        <f>(T868/100)*BA$41</f>
      </c>
      <c r="BB868" s="6">
        <f>(U868/100)*BB$41</f>
      </c>
      <c r="BC868" s="6"/>
      <c r="BD868" s="3"/>
      <c r="BE868" s="3"/>
      <c r="BF868" s="7">
        <f>AF868*E868</f>
      </c>
      <c r="BG868" s="6"/>
      <c r="BH868" s="3"/>
      <c r="BI868" s="6"/>
    </row>
    <row x14ac:dyDescent="0.25" r="869" customHeight="1" ht="12.75">
      <c r="A869" s="5" t="s">
        <v>842</v>
      </c>
      <c r="B869" s="38" t="s">
        <v>859</v>
      </c>
      <c r="C869" s="43" t="s">
        <v>870</v>
      </c>
      <c r="D869" s="34"/>
      <c r="E869" s="6">
        <v>0.7</v>
      </c>
      <c r="F869" s="6"/>
      <c r="G869" s="6">
        <v>0.09</v>
      </c>
      <c r="H869" s="7"/>
      <c r="I869" s="6">
        <v>0.72</v>
      </c>
      <c r="J869" s="6">
        <v>0.3</v>
      </c>
      <c r="K869" s="7"/>
      <c r="L869" s="6">
        <v>0.03</v>
      </c>
      <c r="M869" s="6">
        <v>0.09</v>
      </c>
      <c r="N869" s="23"/>
      <c r="O869" s="5"/>
      <c r="P869" s="6"/>
      <c r="Q869" s="6"/>
      <c r="R869" s="6"/>
      <c r="S869" s="6"/>
      <c r="T869" s="6"/>
      <c r="U869" s="6"/>
      <c r="V869" s="5"/>
      <c r="W869" s="6"/>
      <c r="X869" s="6">
        <f>E869*F869/100</f>
      </c>
      <c r="Y869" s="6">
        <f>E869*G869/100</f>
      </c>
      <c r="Z869" s="7">
        <f>E869*H869</f>
      </c>
      <c r="AA869" s="7">
        <f>E869*J869</f>
      </c>
      <c r="AB869" s="6">
        <f>E869*I869/100</f>
      </c>
      <c r="AC869" s="15">
        <f>X869+Y869+AB869</f>
      </c>
      <c r="AD869" s="6">
        <f>F869+G869+I869</f>
      </c>
      <c r="AE869" s="3"/>
      <c r="AF869" s="6">
        <f>SUM(AM869:BC869)</f>
      </c>
      <c r="AG869" s="5">
        <f>IF(SUM(AM869:AO869)&gt;0.7*AF869,1,0)</f>
      </c>
      <c r="AH869" s="5">
        <f>IF(AN869&gt;0.4*AF869,1,0)</f>
      </c>
      <c r="AI869" s="5">
        <f>IF(SUM(AP869:AQ869)&gt;0.3*AF869,1,0)</f>
      </c>
      <c r="AJ869" s="5">
        <f>IF(AQ869&gt;0.2*AF869,1,0)</f>
      </c>
      <c r="AK869" s="5">
        <f>IF(SUM(AR869:BC869)&gt;0.3*AF869,1,0)</f>
      </c>
      <c r="AL869" s="3"/>
      <c r="AM869" s="6">
        <f>(F869/100)*AM$41</f>
      </c>
      <c r="AN869" s="6">
        <f>(G869/100)*AN$41</f>
      </c>
      <c r="AO869" s="6">
        <f>(H869/1000000)*AO$41</f>
      </c>
      <c r="AP869" s="6">
        <f>(I869/100)*AP$41</f>
      </c>
      <c r="AQ869" s="6">
        <f>(J869/1000000)*AQ$41</f>
      </c>
      <c r="AR869" s="6">
        <f>(K869/100)*AR$41</f>
      </c>
      <c r="AS869" s="6">
        <f>(L869/100)*AS$41</f>
      </c>
      <c r="AT869" s="6">
        <f>(M869/100)*AT$41</f>
      </c>
      <c r="AU869" s="6">
        <f>(N869/100)*AU$41</f>
      </c>
      <c r="AV869" s="6">
        <f>(O869/1000000)*AV$41</f>
      </c>
      <c r="AW869" s="6">
        <f>(P869/100)*AW$41</f>
      </c>
      <c r="AX869" s="6">
        <f>(Q869/100)*AX$41</f>
      </c>
      <c r="AY869" s="6">
        <f>(R869/100)*AY$41</f>
      </c>
      <c r="AZ869" s="6">
        <f>(S869/100)*AZ$41</f>
      </c>
      <c r="BA869" s="6">
        <f>(T869/100)*BA$41</f>
      </c>
      <c r="BB869" s="6">
        <f>(U869/100)*BB$41</f>
      </c>
      <c r="BC869" s="6"/>
      <c r="BD869" s="3"/>
      <c r="BE869" s="3"/>
      <c r="BF869" s="7">
        <f>AF869*E869</f>
      </c>
      <c r="BG869" s="6"/>
      <c r="BH869" s="3"/>
      <c r="BI869" s="6"/>
    </row>
    <row x14ac:dyDescent="0.25" r="870" customHeight="1" ht="12.75">
      <c r="A870" s="5" t="s">
        <v>726</v>
      </c>
      <c r="B870" s="38" t="s">
        <v>859</v>
      </c>
      <c r="C870" s="43" t="s">
        <v>870</v>
      </c>
      <c r="D870" s="34"/>
      <c r="E870" s="6">
        <v>0.1</v>
      </c>
      <c r="F870" s="6"/>
      <c r="G870" s="6">
        <v>3.5</v>
      </c>
      <c r="H870" s="5">
        <v>42</v>
      </c>
      <c r="I870" s="6">
        <v>0.8</v>
      </c>
      <c r="J870" s="6">
        <v>0.52</v>
      </c>
      <c r="K870" s="7"/>
      <c r="L870" s="6"/>
      <c r="M870" s="6"/>
      <c r="N870" s="23"/>
      <c r="O870" s="5"/>
      <c r="P870" s="6"/>
      <c r="Q870" s="6"/>
      <c r="R870" s="6"/>
      <c r="S870" s="6"/>
      <c r="T870" s="6"/>
      <c r="U870" s="6"/>
      <c r="V870" s="5"/>
      <c r="W870" s="6"/>
      <c r="X870" s="6">
        <f>E870*F870/100</f>
      </c>
      <c r="Y870" s="6">
        <f>E870*G870/100</f>
      </c>
      <c r="Z870" s="7">
        <f>E870*H870</f>
      </c>
      <c r="AA870" s="7">
        <f>E870*J870</f>
      </c>
      <c r="AB870" s="6">
        <f>E870*I870/100</f>
      </c>
      <c r="AC870" s="15">
        <f>X870+Y870+AB870</f>
      </c>
      <c r="AD870" s="6">
        <f>F870+G870+I870</f>
      </c>
      <c r="AE870" s="3"/>
      <c r="AF870" s="6">
        <f>SUM(AM870:BC870)</f>
      </c>
      <c r="AG870" s="5">
        <f>IF(SUM(AM870:AO870)&gt;0.7*AF870,1,0)</f>
      </c>
      <c r="AH870" s="5">
        <f>IF(AN870&gt;0.4*AF870,1,0)</f>
      </c>
      <c r="AI870" s="5">
        <f>IF(SUM(AP870:AQ870)&gt;0.3*AF870,1,0)</f>
      </c>
      <c r="AJ870" s="5">
        <f>IF(AQ870&gt;0.2*AF870,1,0)</f>
      </c>
      <c r="AK870" s="5">
        <f>IF(SUM(AR870:BC870)&gt;0.3*AF870,1,0)</f>
      </c>
      <c r="AL870" s="3"/>
      <c r="AM870" s="6">
        <f>(F870/100)*AM$41</f>
      </c>
      <c r="AN870" s="6">
        <f>(G870/100)*AN$41</f>
      </c>
      <c r="AO870" s="6">
        <f>(H870/1000000)*AO$41</f>
      </c>
      <c r="AP870" s="6">
        <f>(I870/100)*AP$41</f>
      </c>
      <c r="AQ870" s="6">
        <f>(J870/1000000)*AQ$41</f>
      </c>
      <c r="AR870" s="6">
        <f>(K870/100)*AR$41</f>
      </c>
      <c r="AS870" s="6">
        <f>(L870/100)*AS$41</f>
      </c>
      <c r="AT870" s="6">
        <f>(M870/100)*AT$41</f>
      </c>
      <c r="AU870" s="6">
        <f>(N870/100)*AU$41</f>
      </c>
      <c r="AV870" s="6">
        <f>(O870/1000000)*AV$41</f>
      </c>
      <c r="AW870" s="6">
        <f>(P870/100)*AW$41</f>
      </c>
      <c r="AX870" s="6">
        <f>(Q870/100)*AX$41</f>
      </c>
      <c r="AY870" s="6">
        <f>(R870/100)*AY$41</f>
      </c>
      <c r="AZ870" s="6">
        <f>(S870/100)*AZ$41</f>
      </c>
      <c r="BA870" s="6">
        <f>(T870/100)*BA$41</f>
      </c>
      <c r="BB870" s="6">
        <f>(U870/100)*BB$41</f>
      </c>
      <c r="BC870" s="6"/>
      <c r="BD870" s="3"/>
      <c r="BE870" s="3"/>
      <c r="BF870" s="7">
        <f>AF870*E870</f>
      </c>
      <c r="BG870" s="6"/>
      <c r="BH870" s="3"/>
      <c r="BI870" s="6"/>
    </row>
    <row x14ac:dyDescent="0.25" r="871" customHeight="1" ht="12.75">
      <c r="A871" s="5" t="s">
        <v>525</v>
      </c>
      <c r="B871" s="38" t="s">
        <v>859</v>
      </c>
      <c r="C871" s="43" t="s">
        <v>870</v>
      </c>
      <c r="D871" s="34"/>
      <c r="E871" s="6">
        <v>0.03</v>
      </c>
      <c r="F871" s="6"/>
      <c r="G871" s="6">
        <v>5.51</v>
      </c>
      <c r="H871" s="7"/>
      <c r="I871" s="6">
        <v>1.8</v>
      </c>
      <c r="J871" s="6"/>
      <c r="K871" s="7"/>
      <c r="L871" s="6"/>
      <c r="M871" s="6"/>
      <c r="N871" s="23"/>
      <c r="O871" s="5"/>
      <c r="P871" s="6"/>
      <c r="Q871" s="6"/>
      <c r="R871" s="6"/>
      <c r="S871" s="6"/>
      <c r="T871" s="6"/>
      <c r="U871" s="6"/>
      <c r="V871" s="5"/>
      <c r="W871" s="6"/>
      <c r="X871" s="6">
        <f>E871*F871/100</f>
      </c>
      <c r="Y871" s="6">
        <f>E871*G871/100</f>
      </c>
      <c r="Z871" s="7">
        <f>E871*H871</f>
      </c>
      <c r="AA871" s="7">
        <f>E871*J871</f>
      </c>
      <c r="AB871" s="6">
        <f>E871*I871/100</f>
      </c>
      <c r="AC871" s="15">
        <f>X871+Y871+AB871</f>
      </c>
      <c r="AD871" s="6">
        <f>F871+G871+I871</f>
      </c>
      <c r="AE871" s="3"/>
      <c r="AF871" s="6">
        <f>SUM(AM871:BC871)</f>
      </c>
      <c r="AG871" s="5">
        <f>IF(SUM(AM871:AO871)&gt;0.7*AF871,1,0)</f>
      </c>
      <c r="AH871" s="5">
        <f>IF(AN871&gt;0.4*AF871,1,0)</f>
      </c>
      <c r="AI871" s="5">
        <f>IF(SUM(AP871:AQ871)&gt;0.3*AF871,1,0)</f>
      </c>
      <c r="AJ871" s="5">
        <f>IF(AQ871&gt;0.2*AF871,1,0)</f>
      </c>
      <c r="AK871" s="5">
        <f>IF(SUM(AR871:BC871)&gt;0.3*AF871,1,0)</f>
      </c>
      <c r="AL871" s="3"/>
      <c r="AM871" s="6">
        <f>(F871/100)*AM$41</f>
      </c>
      <c r="AN871" s="6">
        <f>(G871/100)*AN$41</f>
      </c>
      <c r="AO871" s="6">
        <f>(H871/1000000)*AO$41</f>
      </c>
      <c r="AP871" s="6">
        <f>(I871/100)*AP$41</f>
      </c>
      <c r="AQ871" s="6">
        <f>(J871/1000000)*AQ$41</f>
      </c>
      <c r="AR871" s="6">
        <f>(K871/100)*AR$41</f>
      </c>
      <c r="AS871" s="6">
        <f>(L871/100)*AS$41</f>
      </c>
      <c r="AT871" s="6">
        <f>(M871/100)*AT$41</f>
      </c>
      <c r="AU871" s="6">
        <f>(N871/100)*AU$41</f>
      </c>
      <c r="AV871" s="6">
        <f>(O871/1000000)*AV$41</f>
      </c>
      <c r="AW871" s="6">
        <f>(P871/100)*AW$41</f>
      </c>
      <c r="AX871" s="6">
        <f>(Q871/100)*AX$41</f>
      </c>
      <c r="AY871" s="6">
        <f>(R871/100)*AY$41</f>
      </c>
      <c r="AZ871" s="6">
        <f>(S871/100)*AZ$41</f>
      </c>
      <c r="BA871" s="6">
        <f>(T871/100)*BA$41</f>
      </c>
      <c r="BB871" s="6">
        <f>(U871/100)*BB$41</f>
      </c>
      <c r="BC871" s="6"/>
      <c r="BD871" s="3"/>
      <c r="BE871" s="3"/>
      <c r="BF871" s="7">
        <f>AF871*E871</f>
      </c>
      <c r="BG871" s="6"/>
      <c r="BH871" s="3"/>
      <c r="BI871" s="6"/>
    </row>
    <row x14ac:dyDescent="0.25" r="872" customHeight="1" ht="12.75">
      <c r="A872" s="5" t="s">
        <v>848</v>
      </c>
      <c r="B872" s="38" t="s">
        <v>859</v>
      </c>
      <c r="C872" s="43" t="s">
        <v>870</v>
      </c>
      <c r="D872" s="34"/>
      <c r="E872" s="6">
        <v>0.4</v>
      </c>
      <c r="F872" s="6"/>
      <c r="G872" s="6">
        <v>0.1</v>
      </c>
      <c r="H872" s="7"/>
      <c r="I872" s="6">
        <v>0.44</v>
      </c>
      <c r="J872" s="6"/>
      <c r="K872" s="7"/>
      <c r="L872" s="6">
        <v>0.18</v>
      </c>
      <c r="M872" s="6">
        <v>0.07</v>
      </c>
      <c r="N872" s="23"/>
      <c r="O872" s="5"/>
      <c r="P872" s="6"/>
      <c r="Q872" s="6"/>
      <c r="R872" s="6"/>
      <c r="S872" s="6"/>
      <c r="T872" s="6"/>
      <c r="U872" s="6"/>
      <c r="V872" s="5"/>
      <c r="W872" s="6"/>
      <c r="X872" s="6">
        <f>E872*F872/100</f>
      </c>
      <c r="Y872" s="6">
        <f>E872*G872/100</f>
      </c>
      <c r="Z872" s="7">
        <f>E872*H872</f>
      </c>
      <c r="AA872" s="7">
        <f>E872*J872</f>
      </c>
      <c r="AB872" s="6">
        <f>E872*I872/100</f>
      </c>
      <c r="AC872" s="15">
        <f>X872+Y872+AB872</f>
      </c>
      <c r="AD872" s="6">
        <f>F872+G872+I872</f>
      </c>
      <c r="AE872" s="3"/>
      <c r="AF872" s="6">
        <f>SUM(AM872:BC872)</f>
      </c>
      <c r="AG872" s="5">
        <f>IF(SUM(AM872:AO872)&gt;0.7*AF872,1,0)</f>
      </c>
      <c r="AH872" s="5">
        <f>IF(AN872&gt;0.4*AF872,1,0)</f>
      </c>
      <c r="AI872" s="5">
        <f>IF(SUM(AP872:AQ872)&gt;0.3*AF872,1,0)</f>
      </c>
      <c r="AJ872" s="5">
        <f>IF(AQ872&gt;0.2*AF872,1,0)</f>
      </c>
      <c r="AK872" s="5">
        <f>IF(SUM(AR872:BC872)&gt;0.3*AF872,1,0)</f>
      </c>
      <c r="AL872" s="3"/>
      <c r="AM872" s="6">
        <f>(F872/100)*AM$41</f>
      </c>
      <c r="AN872" s="6">
        <f>(G872/100)*AN$41</f>
      </c>
      <c r="AO872" s="6">
        <f>(H872/1000000)*AO$41</f>
      </c>
      <c r="AP872" s="6">
        <f>(I872/100)*AP$41</f>
      </c>
      <c r="AQ872" s="6">
        <f>(J872/1000000)*AQ$41</f>
      </c>
      <c r="AR872" s="6">
        <f>(K872/100)*AR$41</f>
      </c>
      <c r="AS872" s="6">
        <f>(L872/100)*AS$41</f>
      </c>
      <c r="AT872" s="6">
        <f>(M872/100)*AT$41</f>
      </c>
      <c r="AU872" s="6">
        <f>(N872/100)*AU$41</f>
      </c>
      <c r="AV872" s="6">
        <f>(O872/1000000)*AV$41</f>
      </c>
      <c r="AW872" s="6">
        <f>(P872/100)*AW$41</f>
      </c>
      <c r="AX872" s="6">
        <f>(Q872/100)*AX$41</f>
      </c>
      <c r="AY872" s="6">
        <f>(R872/100)*AY$41</f>
      </c>
      <c r="AZ872" s="6">
        <f>(S872/100)*AZ$41</f>
      </c>
      <c r="BA872" s="6">
        <f>(T872/100)*BA$41</f>
      </c>
      <c r="BB872" s="6">
        <f>(U872/100)*BB$41</f>
      </c>
      <c r="BC872" s="6"/>
      <c r="BD872" s="3"/>
      <c r="BE872" s="3"/>
      <c r="BF872" s="7">
        <f>AF872*E872</f>
      </c>
      <c r="BG872" s="6"/>
      <c r="BH872" s="3"/>
      <c r="BI872" s="6"/>
    </row>
    <row x14ac:dyDescent="0.25" r="873" customHeight="1" ht="12.75">
      <c r="A873" s="5" t="s">
        <v>854</v>
      </c>
      <c r="B873" s="38" t="s">
        <v>859</v>
      </c>
      <c r="C873" s="43" t="s">
        <v>870</v>
      </c>
      <c r="D873" s="34"/>
      <c r="E873" s="6">
        <v>0.54</v>
      </c>
      <c r="F873" s="6">
        <v>0.13</v>
      </c>
      <c r="G873" s="6">
        <v>0.26</v>
      </c>
      <c r="H873" s="7"/>
      <c r="I873" s="6"/>
      <c r="J873" s="6"/>
      <c r="K873" s="7"/>
      <c r="L873" s="6"/>
      <c r="M873" s="6"/>
      <c r="N873" s="23"/>
      <c r="O873" s="5"/>
      <c r="P873" s="6"/>
      <c r="Q873" s="6"/>
      <c r="R873" s="6"/>
      <c r="S873" s="6"/>
      <c r="T873" s="6"/>
      <c r="U873" s="6"/>
      <c r="V873" s="5"/>
      <c r="W873" s="6"/>
      <c r="X873" s="6">
        <f>E873*F873/100</f>
      </c>
      <c r="Y873" s="6">
        <f>E873*G873/100</f>
      </c>
      <c r="Z873" s="7">
        <f>E873*H873</f>
      </c>
      <c r="AA873" s="7">
        <f>E873*J873</f>
      </c>
      <c r="AB873" s="6">
        <f>E873*I873/100</f>
      </c>
      <c r="AC873" s="15">
        <f>X873+Y873+AB873</f>
      </c>
      <c r="AD873" s="6">
        <f>F873+G873+I873</f>
      </c>
      <c r="AE873" s="3"/>
      <c r="AF873" s="6">
        <f>SUM(AM873:BC873)</f>
      </c>
      <c r="AG873" s="5">
        <f>IF(SUM(AM873:AO873)&gt;0.7*AF873,1,0)</f>
      </c>
      <c r="AH873" s="5">
        <f>IF(AN873&gt;0.4*AF873,1,0)</f>
      </c>
      <c r="AI873" s="5">
        <f>IF(SUM(AP873:AQ873)&gt;0.3*AF873,1,0)</f>
      </c>
      <c r="AJ873" s="5">
        <f>IF(AQ873&gt;0.2*AF873,1,0)</f>
      </c>
      <c r="AK873" s="5">
        <f>IF(SUM(AR873:BC873)&gt;0.3*AF873,1,0)</f>
      </c>
      <c r="AL873" s="3"/>
      <c r="AM873" s="6">
        <f>(F873/100)*AM$41</f>
      </c>
      <c r="AN873" s="6">
        <f>(G873/100)*AN$41</f>
      </c>
      <c r="AO873" s="6">
        <f>(H873/1000000)*AO$41</f>
      </c>
      <c r="AP873" s="6">
        <f>(I873/100)*AP$41</f>
      </c>
      <c r="AQ873" s="6">
        <f>(J873/1000000)*AQ$41</f>
      </c>
      <c r="AR873" s="6">
        <f>(K873/100)*AR$41</f>
      </c>
      <c r="AS873" s="6">
        <f>(L873/100)*AS$41</f>
      </c>
      <c r="AT873" s="6">
        <f>(M873/100)*AT$41</f>
      </c>
      <c r="AU873" s="6">
        <f>(N873/100)*AU$41</f>
      </c>
      <c r="AV873" s="6">
        <f>(O873/1000000)*AV$41</f>
      </c>
      <c r="AW873" s="6">
        <f>(P873/100)*AW$41</f>
      </c>
      <c r="AX873" s="6">
        <f>(Q873/100)*AX$41</f>
      </c>
      <c r="AY873" s="6">
        <f>(R873/100)*AY$41</f>
      </c>
      <c r="AZ873" s="6">
        <f>(S873/100)*AZ$41</f>
      </c>
      <c r="BA873" s="6">
        <f>(T873/100)*BA$41</f>
      </c>
      <c r="BB873" s="6">
        <f>(U873/100)*BB$41</f>
      </c>
      <c r="BC873" s="6"/>
      <c r="BD873" s="3"/>
      <c r="BE873" s="3"/>
      <c r="BF873" s="7">
        <f>AF873*E873</f>
      </c>
      <c r="BG873" s="6"/>
      <c r="BH873" s="3"/>
      <c r="BI873" s="6"/>
    </row>
    <row x14ac:dyDescent="0.25" r="874" customHeight="1" ht="12.75">
      <c r="A874" s="5" t="s">
        <v>203</v>
      </c>
      <c r="B874" s="38" t="s">
        <v>859</v>
      </c>
      <c r="C874" s="43" t="s">
        <v>1081</v>
      </c>
      <c r="D874" s="34"/>
      <c r="E874" s="5">
        <v>50</v>
      </c>
      <c r="F874" s="5">
        <v>5</v>
      </c>
      <c r="G874" s="6"/>
      <c r="H874" s="5">
        <v>40</v>
      </c>
      <c r="I874" s="6"/>
      <c r="J874" s="6"/>
      <c r="K874" s="7"/>
      <c r="L874" s="6"/>
      <c r="M874" s="6"/>
      <c r="N874" s="23"/>
      <c r="O874" s="5"/>
      <c r="P874" s="6"/>
      <c r="Q874" s="6"/>
      <c r="R874" s="6"/>
      <c r="S874" s="6"/>
      <c r="T874" s="6"/>
      <c r="U874" s="6"/>
      <c r="V874" s="5"/>
      <c r="W874" s="6"/>
      <c r="X874" s="6">
        <f>E874*F874/100</f>
      </c>
      <c r="Y874" s="6">
        <f>E874*G874/100</f>
      </c>
      <c r="Z874" s="7">
        <f>E874*H874</f>
      </c>
      <c r="AA874" s="7">
        <f>E874*J874</f>
      </c>
      <c r="AB874" s="6">
        <f>E874*I874/100</f>
      </c>
      <c r="AC874" s="15">
        <f>X874+Y874+AB874</f>
      </c>
      <c r="AD874" s="6">
        <f>F874+G874+I874</f>
      </c>
      <c r="AE874" s="3"/>
      <c r="AF874" s="6">
        <f>SUM(AM874:BC874)</f>
      </c>
      <c r="AG874" s="5">
        <f>IF(SUM(AM874:AO874)&gt;0.7*AF874,1,0)</f>
      </c>
      <c r="AH874" s="5">
        <f>IF(AN874&gt;0.4*AF874,1,0)</f>
      </c>
      <c r="AI874" s="5">
        <f>IF(SUM(AP874:AQ874)&gt;0.3*AF874,1,0)</f>
      </c>
      <c r="AJ874" s="5">
        <f>IF(AQ874&gt;0.2*AF874,1,0)</f>
      </c>
      <c r="AK874" s="5">
        <f>IF(SUM(AR874:BC874)&gt;0.3*AF874,1,0)</f>
      </c>
      <c r="AL874" s="3"/>
      <c r="AM874" s="6">
        <f>(F874/100)*AM$41</f>
      </c>
      <c r="AN874" s="6">
        <f>(G874/100)*AN$41</f>
      </c>
      <c r="AO874" s="6">
        <f>(H874/1000000)*AO$41</f>
      </c>
      <c r="AP874" s="6">
        <f>(I874/100)*AP$41</f>
      </c>
      <c r="AQ874" s="6">
        <f>(J874/1000000)*AQ$41</f>
      </c>
      <c r="AR874" s="6">
        <f>(K874/100)*AR$41</f>
      </c>
      <c r="AS874" s="6">
        <f>(L874/100)*AS$41</f>
      </c>
      <c r="AT874" s="6">
        <f>(M874/100)*AT$41</f>
      </c>
      <c r="AU874" s="6">
        <f>(N874/100)*AU$41</f>
      </c>
      <c r="AV874" s="6">
        <f>(O874/1000000)*AV$41</f>
      </c>
      <c r="AW874" s="6">
        <f>(P874/100)*AW$41</f>
      </c>
      <c r="AX874" s="6">
        <f>(Q874/100)*AX$41</f>
      </c>
      <c r="AY874" s="6">
        <f>(R874/100)*AY$41</f>
      </c>
      <c r="AZ874" s="6">
        <f>(S874/100)*AZ$41</f>
      </c>
      <c r="BA874" s="6">
        <f>(T874/100)*BA$41</f>
      </c>
      <c r="BB874" s="6">
        <f>(U874/100)*BB$41</f>
      </c>
      <c r="BC874" s="6"/>
      <c r="BD874" s="3"/>
      <c r="BE874" s="3"/>
      <c r="BF874" s="7">
        <f>AF874*E874</f>
      </c>
      <c r="BG874" s="6"/>
      <c r="BH874" s="3"/>
      <c r="BI874" s="6"/>
    </row>
    <row x14ac:dyDescent="0.25" r="875" customHeight="1" ht="12.75">
      <c r="A875" s="5" t="s">
        <v>429</v>
      </c>
      <c r="B875" s="38" t="s">
        <v>859</v>
      </c>
      <c r="C875" s="43" t="s">
        <v>1081</v>
      </c>
      <c r="D875" s="34"/>
      <c r="E875" s="6">
        <v>1.3</v>
      </c>
      <c r="F875" s="6">
        <v>1.6</v>
      </c>
      <c r="G875" s="6">
        <v>4.96</v>
      </c>
      <c r="H875" s="31">
        <v>117.24206349206351</v>
      </c>
      <c r="I875" s="6">
        <v>1.03</v>
      </c>
      <c r="J875" s="6">
        <v>0.2742504409171076</v>
      </c>
      <c r="K875" s="7"/>
      <c r="L875" s="6"/>
      <c r="M875" s="6"/>
      <c r="N875" s="23"/>
      <c r="O875" s="5"/>
      <c r="P875" s="6"/>
      <c r="Q875" s="6"/>
      <c r="R875" s="6"/>
      <c r="S875" s="6"/>
      <c r="T875" s="6"/>
      <c r="U875" s="6"/>
      <c r="V875" s="5"/>
      <c r="W875" s="6"/>
      <c r="X875" s="6">
        <f>E875*F875/100</f>
      </c>
      <c r="Y875" s="6">
        <f>E875*G875/100</f>
      </c>
      <c r="Z875" s="7">
        <f>E875*H875</f>
      </c>
      <c r="AA875" s="7">
        <f>E875*J875</f>
      </c>
      <c r="AB875" s="6">
        <f>E875*I875/100</f>
      </c>
      <c r="AC875" s="15">
        <f>X875+Y875+AB875</f>
      </c>
      <c r="AD875" s="6">
        <f>F875+G875+I875</f>
      </c>
      <c r="AE875" s="3"/>
      <c r="AF875" s="6">
        <f>SUM(AM875:BC875)</f>
      </c>
      <c r="AG875" s="5">
        <f>IF(SUM(AM875:AO875)&gt;0.7*AF875,1,0)</f>
      </c>
      <c r="AH875" s="5">
        <f>IF(AN875&gt;0.4*AF875,1,0)</f>
      </c>
      <c r="AI875" s="5">
        <f>IF(SUM(AP875:AQ875)&gt;0.3*AF875,1,0)</f>
      </c>
      <c r="AJ875" s="5">
        <f>IF(AQ875&gt;0.2*AF875,1,0)</f>
      </c>
      <c r="AK875" s="5">
        <f>IF(SUM(AR875:BC875)&gt;0.3*AF875,1,0)</f>
      </c>
      <c r="AL875" s="3"/>
      <c r="AM875" s="6">
        <f>(F875/100)*AM$41</f>
      </c>
      <c r="AN875" s="6">
        <f>(G875/100)*AN$41</f>
      </c>
      <c r="AO875" s="6">
        <f>(H875/1000000)*AO$41</f>
      </c>
      <c r="AP875" s="6">
        <f>(I875/100)*AP$41</f>
      </c>
      <c r="AQ875" s="6">
        <f>(J875/1000000)*AQ$41</f>
      </c>
      <c r="AR875" s="6">
        <f>(K875/100)*AR$41</f>
      </c>
      <c r="AS875" s="6">
        <f>(L875/100)*AS$41</f>
      </c>
      <c r="AT875" s="6">
        <f>(M875/100)*AT$41</f>
      </c>
      <c r="AU875" s="6">
        <f>(N875/100)*AU$41</f>
      </c>
      <c r="AV875" s="6">
        <f>(O875/1000000)*AV$41</f>
      </c>
      <c r="AW875" s="6">
        <f>(P875/100)*AW$41</f>
      </c>
      <c r="AX875" s="6">
        <f>(Q875/100)*AX$41</f>
      </c>
      <c r="AY875" s="6">
        <f>(R875/100)*AY$41</f>
      </c>
      <c r="AZ875" s="6">
        <f>(S875/100)*AZ$41</f>
      </c>
      <c r="BA875" s="6">
        <f>(T875/100)*BA$41</f>
      </c>
      <c r="BB875" s="6">
        <f>(U875/100)*BB$41</f>
      </c>
      <c r="BC875" s="6"/>
      <c r="BD875" s="3"/>
      <c r="BE875" s="3"/>
      <c r="BF875" s="7">
        <f>AF875*E875</f>
      </c>
      <c r="BG875" s="6"/>
      <c r="BH875" s="3"/>
      <c r="BI875" s="6"/>
    </row>
    <row x14ac:dyDescent="0.25" r="876" customHeight="1" ht="12.75">
      <c r="A876" s="5" t="s">
        <v>818</v>
      </c>
      <c r="B876" s="38" t="s">
        <v>859</v>
      </c>
      <c r="C876" s="43" t="s">
        <v>1081</v>
      </c>
      <c r="D876" s="34"/>
      <c r="E876" s="23">
        <v>2.5465104</v>
      </c>
      <c r="F876" s="6"/>
      <c r="G876" s="6">
        <v>0.96</v>
      </c>
      <c r="H876" s="7">
        <v>38.052248677248684</v>
      </c>
      <c r="I876" s="6">
        <v>1.12</v>
      </c>
      <c r="J876" s="6"/>
      <c r="K876" s="7"/>
      <c r="L876" s="6"/>
      <c r="M876" s="6"/>
      <c r="N876" s="23"/>
      <c r="O876" s="5"/>
      <c r="P876" s="6"/>
      <c r="Q876" s="6"/>
      <c r="R876" s="6"/>
      <c r="S876" s="6"/>
      <c r="T876" s="6"/>
      <c r="U876" s="6"/>
      <c r="V876" s="5"/>
      <c r="W876" s="6"/>
      <c r="X876" s="6">
        <f>E876*F876/100</f>
      </c>
      <c r="Y876" s="6">
        <f>E876*G876/100</f>
      </c>
      <c r="Z876" s="7">
        <f>E876*H876</f>
      </c>
      <c r="AA876" s="7">
        <f>E876*J876</f>
      </c>
      <c r="AB876" s="6">
        <f>E876*I876/100</f>
      </c>
      <c r="AC876" s="15">
        <f>X876+Y876+AB876</f>
      </c>
      <c r="AD876" s="6">
        <f>F876+G876+I876</f>
      </c>
      <c r="AE876" s="3"/>
      <c r="AF876" s="6">
        <f>SUM(AM876:BC876)</f>
      </c>
      <c r="AG876" s="5">
        <f>IF(SUM(AM876:AO876)&gt;0.7*AF876,1,0)</f>
      </c>
      <c r="AH876" s="5">
        <f>IF(AN876&gt;0.4*AF876,1,0)</f>
      </c>
      <c r="AI876" s="5">
        <f>IF(SUM(AP876:AQ876)&gt;0.3*AF876,1,0)</f>
      </c>
      <c r="AJ876" s="5">
        <f>IF(AQ876&gt;0.2*AF876,1,0)</f>
      </c>
      <c r="AK876" s="5">
        <f>IF(SUM(AR876:BC876)&gt;0.3*AF876,1,0)</f>
      </c>
      <c r="AL876" s="3"/>
      <c r="AM876" s="6">
        <f>(F876/100)*AM$41</f>
      </c>
      <c r="AN876" s="6">
        <f>(G876/100)*AN$41</f>
      </c>
      <c r="AO876" s="6">
        <f>(H876/1000000)*AO$41</f>
      </c>
      <c r="AP876" s="6">
        <f>(I876/100)*AP$41</f>
      </c>
      <c r="AQ876" s="6">
        <f>(J876/1000000)*AQ$41</f>
      </c>
      <c r="AR876" s="6">
        <f>(K876/100)*AR$41</f>
      </c>
      <c r="AS876" s="6">
        <f>(L876/100)*AS$41</f>
      </c>
      <c r="AT876" s="6">
        <f>(M876/100)*AT$41</f>
      </c>
      <c r="AU876" s="6">
        <f>(N876/100)*AU$41</f>
      </c>
      <c r="AV876" s="6">
        <f>(O876/1000000)*AV$41</f>
      </c>
      <c r="AW876" s="6">
        <f>(P876/100)*AW$41</f>
      </c>
      <c r="AX876" s="6">
        <f>(Q876/100)*AX$41</f>
      </c>
      <c r="AY876" s="6">
        <f>(R876/100)*AY$41</f>
      </c>
      <c r="AZ876" s="6">
        <f>(S876/100)*AZ$41</f>
      </c>
      <c r="BA876" s="6">
        <f>(T876/100)*BA$41</f>
      </c>
      <c r="BB876" s="6">
        <f>(U876/100)*BB$41</f>
      </c>
      <c r="BC876" s="6"/>
      <c r="BD876" s="3"/>
      <c r="BE876" s="3"/>
      <c r="BF876" s="7">
        <f>AF876*E876</f>
      </c>
      <c r="BG876" s="6"/>
      <c r="BH876" s="3"/>
      <c r="BI876" s="6"/>
    </row>
    <row x14ac:dyDescent="0.25" r="877" customHeight="1" ht="12.75">
      <c r="A877" s="5" t="s">
        <v>747</v>
      </c>
      <c r="B877" s="38" t="s">
        <v>859</v>
      </c>
      <c r="C877" s="43" t="s">
        <v>1081</v>
      </c>
      <c r="D877" s="34"/>
      <c r="E877" s="6">
        <v>0.2</v>
      </c>
      <c r="F877" s="6"/>
      <c r="G877" s="6">
        <v>0.25</v>
      </c>
      <c r="H877" s="5">
        <v>52</v>
      </c>
      <c r="I877" s="6">
        <v>1.95</v>
      </c>
      <c r="J877" s="6"/>
      <c r="K877" s="7"/>
      <c r="L877" s="6"/>
      <c r="M877" s="6"/>
      <c r="N877" s="23"/>
      <c r="O877" s="5"/>
      <c r="P877" s="6"/>
      <c r="Q877" s="6"/>
      <c r="R877" s="6"/>
      <c r="S877" s="6"/>
      <c r="T877" s="6"/>
      <c r="U877" s="6"/>
      <c r="V877" s="5"/>
      <c r="W877" s="6"/>
      <c r="X877" s="6">
        <f>E877*F877/100</f>
      </c>
      <c r="Y877" s="6">
        <f>E877*G877/100</f>
      </c>
      <c r="Z877" s="7">
        <f>E877*H877</f>
      </c>
      <c r="AA877" s="7">
        <f>E877*J877</f>
      </c>
      <c r="AB877" s="6">
        <f>E877*I877/100</f>
      </c>
      <c r="AC877" s="15">
        <f>X877+Y877+AB877</f>
      </c>
      <c r="AD877" s="6">
        <f>F877+G877+I877</f>
      </c>
      <c r="AE877" s="3"/>
      <c r="AF877" s="6">
        <f>SUM(AM877:BC877)</f>
      </c>
      <c r="AG877" s="5">
        <f>IF(SUM(AM877:AO877)&gt;0.7*AF877,1,0)</f>
      </c>
      <c r="AH877" s="5">
        <f>IF(AN877&gt;0.4*AF877,1,0)</f>
      </c>
      <c r="AI877" s="5">
        <f>IF(SUM(AP877:AQ877)&gt;0.3*AF877,1,0)</f>
      </c>
      <c r="AJ877" s="5">
        <f>IF(AQ877&gt;0.2*AF877,1,0)</f>
      </c>
      <c r="AK877" s="5">
        <f>IF(SUM(AR877:BC877)&gt;0.3*AF877,1,0)</f>
      </c>
      <c r="AL877" s="3"/>
      <c r="AM877" s="6">
        <f>(F877/100)*AM$41</f>
      </c>
      <c r="AN877" s="6">
        <f>(G877/100)*AN$41</f>
      </c>
      <c r="AO877" s="6">
        <f>(H877/1000000)*AO$41</f>
      </c>
      <c r="AP877" s="6">
        <f>(I877/100)*AP$41</f>
      </c>
      <c r="AQ877" s="6">
        <f>(J877/1000000)*AQ$41</f>
      </c>
      <c r="AR877" s="6">
        <f>(K877/100)*AR$41</f>
      </c>
      <c r="AS877" s="6">
        <f>(L877/100)*AS$41</f>
      </c>
      <c r="AT877" s="6">
        <f>(M877/100)*AT$41</f>
      </c>
      <c r="AU877" s="6">
        <f>(N877/100)*AU$41</f>
      </c>
      <c r="AV877" s="6">
        <f>(O877/1000000)*AV$41</f>
      </c>
      <c r="AW877" s="6">
        <f>(P877/100)*AW$41</f>
      </c>
      <c r="AX877" s="6">
        <f>(Q877/100)*AX$41</f>
      </c>
      <c r="AY877" s="6">
        <f>(R877/100)*AY$41</f>
      </c>
      <c r="AZ877" s="6">
        <f>(S877/100)*AZ$41</f>
      </c>
      <c r="BA877" s="6">
        <f>(T877/100)*BA$41</f>
      </c>
      <c r="BB877" s="6">
        <f>(U877/100)*BB$41</f>
      </c>
      <c r="BC877" s="6"/>
      <c r="BD877" s="3"/>
      <c r="BE877" s="3"/>
      <c r="BF877" s="7">
        <f>AF877*E877</f>
      </c>
      <c r="BG877" s="6"/>
      <c r="BH877" s="3"/>
      <c r="BI877" s="6"/>
    </row>
    <row x14ac:dyDescent="0.25" r="878" customHeight="1" ht="12.75">
      <c r="A878" s="5" t="s">
        <v>1082</v>
      </c>
      <c r="B878" s="16" t="s">
        <v>871</v>
      </c>
      <c r="C878" s="43" t="s">
        <v>870</v>
      </c>
      <c r="D878" s="34" t="s">
        <v>1013</v>
      </c>
      <c r="E878" s="7">
        <v>2</v>
      </c>
      <c r="F878" s="6"/>
      <c r="G878" s="5">
        <v>22</v>
      </c>
      <c r="H878" s="7"/>
      <c r="I878" s="6"/>
      <c r="J878" s="6"/>
      <c r="K878" s="7"/>
      <c r="L878" s="6"/>
      <c r="M878" s="6"/>
      <c r="N878" s="23"/>
      <c r="O878" s="5"/>
      <c r="P878" s="6"/>
      <c r="Q878" s="6"/>
      <c r="R878" s="6"/>
      <c r="S878" s="6"/>
      <c r="T878" s="6"/>
      <c r="U878" s="6"/>
      <c r="V878" s="5"/>
      <c r="W878" s="6"/>
      <c r="X878" s="6">
        <f>E878*F878/100</f>
      </c>
      <c r="Y878" s="6">
        <f>E878*G878/100</f>
      </c>
      <c r="Z878" s="7">
        <f>E878*H878</f>
      </c>
      <c r="AA878" s="7">
        <f>E878*J878</f>
      </c>
      <c r="AB878" s="6">
        <f>E878*I878/100</f>
      </c>
      <c r="AC878" s="15">
        <f>X878+Y878+AB878</f>
      </c>
      <c r="AD878" s="6">
        <f>F878+G878+I878</f>
      </c>
      <c r="AE878" s="3"/>
      <c r="AF878" s="6">
        <f>SUM(AM878:BC878)</f>
      </c>
      <c r="AG878" s="5">
        <f>IF(SUM(AM878:AO878)&gt;0.7*AF878,1,0)</f>
      </c>
      <c r="AH878" s="5">
        <f>IF(AN878&gt;0.4*AF878,1,0)</f>
      </c>
      <c r="AI878" s="5">
        <f>IF(SUM(AP878:AQ878)&gt;0.3*AF878,1,0)</f>
      </c>
      <c r="AJ878" s="5">
        <f>IF(AQ878&gt;0.2*AF878,1,0)</f>
      </c>
      <c r="AK878" s="5">
        <f>IF(SUM(AR878:BC878)&gt;0.3*AF878,1,0)</f>
      </c>
      <c r="AL878" s="3"/>
      <c r="AM878" s="6">
        <f>(F878/100)*AM$41</f>
      </c>
      <c r="AN878" s="6">
        <f>(G878/100)*AN$41</f>
      </c>
      <c r="AO878" s="6">
        <f>(H878/1000000)*AO$41</f>
      </c>
      <c r="AP878" s="6">
        <f>(I878/100)*AP$41</f>
      </c>
      <c r="AQ878" s="6">
        <f>(J878/1000000)*AQ$41</f>
      </c>
      <c r="AR878" s="6">
        <f>(K878/100)*AR$41</f>
      </c>
      <c r="AS878" s="6">
        <f>(L878/100)*AS$41</f>
      </c>
      <c r="AT878" s="6">
        <f>(M878/100)*AT$41</f>
      </c>
      <c r="AU878" s="6">
        <f>(N878/100)*AU$41</f>
      </c>
      <c r="AV878" s="6">
        <f>(O878/1000000)*AV$41</f>
      </c>
      <c r="AW878" s="6">
        <f>(P878/100)*AW$41</f>
      </c>
      <c r="AX878" s="6">
        <f>(Q878/100)*AX$41</f>
      </c>
      <c r="AY878" s="6">
        <f>(R878/100)*AY$41</f>
      </c>
      <c r="AZ878" s="6">
        <f>(S878/100)*AZ$41</f>
      </c>
      <c r="BA878" s="6">
        <f>(T878/100)*BA$41</f>
      </c>
      <c r="BB878" s="6">
        <f>(U878/100)*BB$41</f>
      </c>
      <c r="BC878" s="6"/>
      <c r="BD878" s="3"/>
      <c r="BE878" s="3"/>
      <c r="BF878" s="7">
        <f>AF878*E878</f>
      </c>
      <c r="BG878" s="6"/>
      <c r="BH878" s="3"/>
      <c r="BI878" s="6"/>
    </row>
    <row x14ac:dyDescent="0.25" r="879" customHeight="1" ht="12.75">
      <c r="A879" s="5" t="s">
        <v>1083</v>
      </c>
      <c r="B879" s="16" t="s">
        <v>872</v>
      </c>
      <c r="C879" s="43" t="s">
        <v>1046</v>
      </c>
      <c r="D879" s="34" t="s">
        <v>1046</v>
      </c>
      <c r="E879" s="6">
        <v>0.42</v>
      </c>
      <c r="F879" s="6">
        <v>1.5</v>
      </c>
      <c r="G879" s="6">
        <v>13.6</v>
      </c>
      <c r="H879" s="5">
        <v>55</v>
      </c>
      <c r="I879" s="6"/>
      <c r="J879" s="6"/>
      <c r="K879" s="7"/>
      <c r="L879" s="6"/>
      <c r="M879" s="6"/>
      <c r="N879" s="23"/>
      <c r="O879" s="5">
        <v>48</v>
      </c>
      <c r="P879" s="6"/>
      <c r="Q879" s="6"/>
      <c r="R879" s="6"/>
      <c r="S879" s="6"/>
      <c r="T879" s="6"/>
      <c r="U879" s="6"/>
      <c r="V879" s="5"/>
      <c r="W879" s="6"/>
      <c r="X879" s="6">
        <f>E879*F879/100</f>
      </c>
      <c r="Y879" s="6">
        <f>E879*G879/100</f>
      </c>
      <c r="Z879" s="7">
        <f>E879*H879</f>
      </c>
      <c r="AA879" s="7">
        <f>E879*J879</f>
      </c>
      <c r="AB879" s="6">
        <f>E879*I879/100</f>
      </c>
      <c r="AC879" s="15">
        <f>X879+Y879+AB879</f>
      </c>
      <c r="AD879" s="6">
        <f>F879+G879+I879</f>
      </c>
      <c r="AE879" s="3"/>
      <c r="AF879" s="6">
        <f>SUM(AM879:BC879)</f>
      </c>
      <c r="AG879" s="5">
        <f>IF(SUM(AM879:AO879)&gt;0.7*AF879,1,0)</f>
      </c>
      <c r="AH879" s="5">
        <f>IF(AN879&gt;0.4*AF879,1,0)</f>
      </c>
      <c r="AI879" s="5">
        <f>IF(SUM(AP879:AQ879)&gt;0.3*AF879,1,0)</f>
      </c>
      <c r="AJ879" s="5">
        <f>IF(AQ879&gt;0.2*AF879,1,0)</f>
      </c>
      <c r="AK879" s="5">
        <f>IF(SUM(AR879:BC879)&gt;0.3*AF879,1,0)</f>
      </c>
      <c r="AL879" s="3"/>
      <c r="AM879" s="6">
        <f>(F879/100)*AM$41</f>
      </c>
      <c r="AN879" s="6">
        <f>(G879/100)*AN$41</f>
      </c>
      <c r="AO879" s="6">
        <f>(H879/1000000)*AO$41</f>
      </c>
      <c r="AP879" s="6">
        <f>(I879/100)*AP$41</f>
      </c>
      <c r="AQ879" s="6">
        <f>(J879/1000000)*AQ$41</f>
      </c>
      <c r="AR879" s="6">
        <f>(K879/100)*AR$41</f>
      </c>
      <c r="AS879" s="6">
        <f>(L879/100)*AS$41</f>
      </c>
      <c r="AT879" s="6">
        <f>(M879/100)*AT$41</f>
      </c>
      <c r="AU879" s="6">
        <f>(N879/100)*AU$41</f>
      </c>
      <c r="AV879" s="6">
        <f>(O879/1000000)*AV$41</f>
      </c>
      <c r="AW879" s="6">
        <f>(P879/100)*AW$41</f>
      </c>
      <c r="AX879" s="6">
        <f>(Q879/100)*AX$41</f>
      </c>
      <c r="AY879" s="6">
        <f>(R879/100)*AY$41</f>
      </c>
      <c r="AZ879" s="6">
        <f>(S879/100)*AZ$41</f>
      </c>
      <c r="BA879" s="6">
        <f>(T879/100)*BA$41</f>
      </c>
      <c r="BB879" s="6">
        <f>(U879/100)*BB$41</f>
      </c>
      <c r="BC879" s="6"/>
      <c r="BD879" s="3"/>
      <c r="BE879" s="3"/>
      <c r="BF879" s="7">
        <f>AF879*E879</f>
      </c>
      <c r="BG879" s="6"/>
      <c r="BH879" s="3"/>
      <c r="BI879" s="6"/>
    </row>
    <row x14ac:dyDescent="0.25" r="880" customHeight="1" ht="12.75">
      <c r="A880" s="5" t="s">
        <v>1036</v>
      </c>
      <c r="B880" s="16" t="s">
        <v>872</v>
      </c>
      <c r="C880" s="43" t="s">
        <v>1084</v>
      </c>
      <c r="D880" s="34" t="s">
        <v>924</v>
      </c>
      <c r="E880" s="23">
        <v>0.3652996</v>
      </c>
      <c r="F880" s="6">
        <v>0.31403535837433166</v>
      </c>
      <c r="G880" s="6">
        <v>2.2302390268152497</v>
      </c>
      <c r="H880" s="7">
        <v>12.954722699942732</v>
      </c>
      <c r="I880" s="6"/>
      <c r="J880" s="6"/>
      <c r="K880" s="7"/>
      <c r="L880" s="6"/>
      <c r="M880" s="6"/>
      <c r="N880" s="23"/>
      <c r="O880" s="5"/>
      <c r="P880" s="6"/>
      <c r="Q880" s="6"/>
      <c r="R880" s="6"/>
      <c r="S880" s="6"/>
      <c r="T880" s="6"/>
      <c r="U880" s="6"/>
      <c r="V880" s="5"/>
      <c r="W880" s="6"/>
      <c r="X880" s="6">
        <f>E880*F880/100</f>
      </c>
      <c r="Y880" s="6">
        <f>E880*G880/100</f>
      </c>
      <c r="Z880" s="7">
        <f>E880*H880</f>
      </c>
      <c r="AA880" s="7">
        <f>E880*J880</f>
      </c>
      <c r="AB880" s="6">
        <f>E880*I880/100</f>
      </c>
      <c r="AC880" s="15">
        <f>X880+Y880+AB880</f>
      </c>
      <c r="AD880" s="6">
        <f>F880+G880+I880</f>
      </c>
      <c r="AE880" s="3"/>
      <c r="AF880" s="6">
        <f>SUM(AM880:BC880)</f>
      </c>
      <c r="AG880" s="5">
        <f>IF(SUM(AM880:AO880)&gt;0.7*AF880,1,0)</f>
      </c>
      <c r="AH880" s="5">
        <f>IF(AN880&gt;0.4*AF880,1,0)</f>
      </c>
      <c r="AI880" s="5">
        <f>IF(SUM(AP880:AQ880)&gt;0.3*AF880,1,0)</f>
      </c>
      <c r="AJ880" s="5">
        <f>IF(AQ880&gt;0.2*AF880,1,0)</f>
      </c>
      <c r="AK880" s="5">
        <f>IF(SUM(AR880:BC880)&gt;0.3*AF880,1,0)</f>
      </c>
      <c r="AL880" s="3"/>
      <c r="AM880" s="6">
        <f>(F880/100)*AM$41</f>
      </c>
      <c r="AN880" s="6">
        <f>(G880/100)*AN$41</f>
      </c>
      <c r="AO880" s="6">
        <f>(H880/1000000)*AO$41</f>
      </c>
      <c r="AP880" s="6">
        <f>(I880/100)*AP$41</f>
      </c>
      <c r="AQ880" s="6">
        <f>(J880/1000000)*AQ$41</f>
      </c>
      <c r="AR880" s="6">
        <f>(K880/100)*AR$41</f>
      </c>
      <c r="AS880" s="6">
        <f>(L880/100)*AS$41</f>
      </c>
      <c r="AT880" s="6">
        <f>(M880/100)*AT$41</f>
      </c>
      <c r="AU880" s="6">
        <f>(N880/100)*AU$41</f>
      </c>
      <c r="AV880" s="6">
        <f>(O880/1000000)*AV$41</f>
      </c>
      <c r="AW880" s="6">
        <f>(P880/100)*AW$41</f>
      </c>
      <c r="AX880" s="6">
        <f>(Q880/100)*AX$41</f>
      </c>
      <c r="AY880" s="6">
        <f>(R880/100)*AY$41</f>
      </c>
      <c r="AZ880" s="6">
        <f>(S880/100)*AZ$41</f>
      </c>
      <c r="BA880" s="6">
        <f>(T880/100)*BA$41</f>
      </c>
      <c r="BB880" s="6">
        <f>(U880/100)*BB$41</f>
      </c>
      <c r="BC880" s="6"/>
      <c r="BD880" s="3"/>
      <c r="BE880" s="3"/>
      <c r="BF880" s="7">
        <f>AF880*E880</f>
      </c>
      <c r="BG880" s="6"/>
      <c r="BH880" s="3"/>
      <c r="BI880" s="6"/>
    </row>
    <row x14ac:dyDescent="0.25" r="881" customHeight="1" ht="12.75">
      <c r="A881" s="5" t="s">
        <v>1038</v>
      </c>
      <c r="B881" s="16" t="s">
        <v>872</v>
      </c>
      <c r="C881" s="25" t="s">
        <v>1039</v>
      </c>
      <c r="D881" s="34" t="s">
        <v>994</v>
      </c>
      <c r="E881" s="6">
        <v>5.3</v>
      </c>
      <c r="F881" s="6"/>
      <c r="G881" s="6">
        <v>4.9</v>
      </c>
      <c r="H881" s="7"/>
      <c r="I881" s="6"/>
      <c r="J881" s="6"/>
      <c r="K881" s="7"/>
      <c r="L881" s="6"/>
      <c r="M881" s="6"/>
      <c r="N881" s="23"/>
      <c r="O881" s="5"/>
      <c r="P881" s="6"/>
      <c r="Q881" s="6"/>
      <c r="R881" s="6"/>
      <c r="S881" s="6"/>
      <c r="T881" s="6"/>
      <c r="U881" s="6"/>
      <c r="V881" s="5"/>
      <c r="W881" s="6"/>
      <c r="X881" s="6">
        <f>E881*F881/100</f>
      </c>
      <c r="Y881" s="6">
        <f>E881*G881/100</f>
      </c>
      <c r="Z881" s="7">
        <f>E881*H881</f>
      </c>
      <c r="AA881" s="7">
        <f>E881*J881</f>
      </c>
      <c r="AB881" s="6">
        <f>E881*I881/100</f>
      </c>
      <c r="AC881" s="15">
        <f>X881+Y881+AB881</f>
      </c>
      <c r="AD881" s="6">
        <f>F881+G881+I881</f>
      </c>
      <c r="AE881" s="3"/>
      <c r="AF881" s="6">
        <f>SUM(AM881:BC881)</f>
      </c>
      <c r="AG881" s="5">
        <f>IF(SUM(AM881:AO881)&gt;0.7*AF881,1,0)</f>
      </c>
      <c r="AH881" s="5">
        <f>IF(AN881&gt;0.4*AF881,1,0)</f>
      </c>
      <c r="AI881" s="5">
        <f>IF(SUM(AP881:AQ881)&gt;0.3*AF881,1,0)</f>
      </c>
      <c r="AJ881" s="5">
        <f>IF(AQ881&gt;0.2*AF881,1,0)</f>
      </c>
      <c r="AK881" s="5">
        <f>IF(SUM(AR881:BC881)&gt;0.3*AF881,1,0)</f>
      </c>
      <c r="AL881" s="3"/>
      <c r="AM881" s="6">
        <f>(F881/100)*AM$41</f>
      </c>
      <c r="AN881" s="6">
        <f>(G881/100)*AN$41</f>
      </c>
      <c r="AO881" s="6">
        <f>(H881/1000000)*AO$41</f>
      </c>
      <c r="AP881" s="6">
        <f>(I881/100)*AP$41</f>
      </c>
      <c r="AQ881" s="6">
        <f>(J881/1000000)*AQ$41</f>
      </c>
      <c r="AR881" s="6">
        <f>(K881/100)*AR$41</f>
      </c>
      <c r="AS881" s="6">
        <f>(L881/100)*AS$41</f>
      </c>
      <c r="AT881" s="6">
        <f>(M881/100)*AT$41</f>
      </c>
      <c r="AU881" s="6">
        <f>(N881/100)*AU$41</f>
      </c>
      <c r="AV881" s="6">
        <f>(O881/1000000)*AV$41</f>
      </c>
      <c r="AW881" s="6">
        <f>(P881/100)*AW$41</f>
      </c>
      <c r="AX881" s="6">
        <f>(Q881/100)*AX$41</f>
      </c>
      <c r="AY881" s="6">
        <f>(R881/100)*AY$41</f>
      </c>
      <c r="AZ881" s="6">
        <f>(S881/100)*AZ$41</f>
      </c>
      <c r="BA881" s="6">
        <f>(T881/100)*BA$41</f>
      </c>
      <c r="BB881" s="6">
        <f>(U881/100)*BB$41</f>
      </c>
      <c r="BC881" s="6"/>
      <c r="BD881" s="3"/>
      <c r="BE881" s="3"/>
      <c r="BF881" s="7">
        <f>AF881*E881</f>
      </c>
      <c r="BG881" s="6"/>
      <c r="BH881" s="3"/>
      <c r="BI881" s="6"/>
    </row>
    <row x14ac:dyDescent="0.25" r="882" customHeight="1" ht="12.75">
      <c r="A882" s="5" t="s">
        <v>1055</v>
      </c>
      <c r="B882" s="16" t="s">
        <v>872</v>
      </c>
      <c r="C882" s="25" t="s">
        <v>1039</v>
      </c>
      <c r="D882" s="34" t="s">
        <v>994</v>
      </c>
      <c r="E882" s="5">
        <v>12</v>
      </c>
      <c r="F882" s="6">
        <v>0.77</v>
      </c>
      <c r="G882" s="6">
        <v>0.63</v>
      </c>
      <c r="H882" s="6">
        <v>12.74</v>
      </c>
      <c r="I882" s="6">
        <v>0.48</v>
      </c>
      <c r="J882" s="6"/>
      <c r="K882" s="7"/>
      <c r="L882" s="6"/>
      <c r="M882" s="6"/>
      <c r="N882" s="23"/>
      <c r="O882" s="5"/>
      <c r="P882" s="6"/>
      <c r="Q882" s="6"/>
      <c r="R882" s="6"/>
      <c r="S882" s="6"/>
      <c r="T882" s="6"/>
      <c r="U882" s="6"/>
      <c r="V882" s="5"/>
      <c r="W882" s="6"/>
      <c r="X882" s="6">
        <f>E882*F882/100</f>
      </c>
      <c r="Y882" s="6">
        <f>E882*G882/100</f>
      </c>
      <c r="Z882" s="7">
        <f>E882*H882</f>
      </c>
      <c r="AA882" s="7">
        <f>E882*J882</f>
      </c>
      <c r="AB882" s="6">
        <f>E882*I882/100</f>
      </c>
      <c r="AC882" s="15">
        <f>X882+Y882+AB882</f>
      </c>
      <c r="AD882" s="6">
        <f>F882+G882+I882</f>
      </c>
      <c r="AE882" s="3"/>
      <c r="AF882" s="6">
        <f>SUM(AM882:BC882)</f>
      </c>
      <c r="AG882" s="5">
        <f>IF(SUM(AM882:AO882)&gt;0.7*AF882,1,0)</f>
      </c>
      <c r="AH882" s="5">
        <f>IF(AN882&gt;0.4*AF882,1,0)</f>
      </c>
      <c r="AI882" s="5">
        <f>IF(SUM(AP882:AQ882)&gt;0.3*AF882,1,0)</f>
      </c>
      <c r="AJ882" s="5">
        <f>IF(AQ882&gt;0.2*AF882,1,0)</f>
      </c>
      <c r="AK882" s="5">
        <f>IF(SUM(AR882:BC882)&gt;0.3*AF882,1,0)</f>
      </c>
      <c r="AL882" s="3"/>
      <c r="AM882" s="6">
        <f>(F882/100)*AM$41</f>
      </c>
      <c r="AN882" s="6">
        <f>(G882/100)*AN$41</f>
      </c>
      <c r="AO882" s="6">
        <f>(H882/1000000)*AO$41</f>
      </c>
      <c r="AP882" s="6">
        <f>(I882/100)*AP$41</f>
      </c>
      <c r="AQ882" s="6">
        <f>(J882/1000000)*AQ$41</f>
      </c>
      <c r="AR882" s="6">
        <f>(K882/100)*AR$41</f>
      </c>
      <c r="AS882" s="6">
        <f>(L882/100)*AS$41</f>
      </c>
      <c r="AT882" s="6">
        <f>(M882/100)*AT$41</f>
      </c>
      <c r="AU882" s="6">
        <f>(N882/100)*AU$41</f>
      </c>
      <c r="AV882" s="6">
        <f>(O882/1000000)*AV$41</f>
      </c>
      <c r="AW882" s="6">
        <f>(P882/100)*AW$41</f>
      </c>
      <c r="AX882" s="6">
        <f>(Q882/100)*AX$41</f>
      </c>
      <c r="AY882" s="6">
        <f>(R882/100)*AY$41</f>
      </c>
      <c r="AZ882" s="6">
        <f>(S882/100)*AZ$41</f>
      </c>
      <c r="BA882" s="6">
        <f>(T882/100)*BA$41</f>
      </c>
      <c r="BB882" s="6">
        <f>(U882/100)*BB$41</f>
      </c>
      <c r="BC882" s="6"/>
      <c r="BD882" s="3"/>
      <c r="BE882" s="3"/>
      <c r="BF882" s="7">
        <f>AF882*E882</f>
      </c>
      <c r="BG882" s="6"/>
      <c r="BH882" s="3"/>
      <c r="BI882" s="6"/>
    </row>
    <row x14ac:dyDescent="0.25" r="883" customHeight="1" ht="12.75">
      <c r="A883" s="5" t="s">
        <v>1040</v>
      </c>
      <c r="B883" s="16" t="s">
        <v>872</v>
      </c>
      <c r="C883" s="25" t="s">
        <v>1039</v>
      </c>
      <c r="D883" s="34" t="s">
        <v>989</v>
      </c>
      <c r="E883" s="23">
        <v>5.304946</v>
      </c>
      <c r="F883" s="7">
        <v>0.6</v>
      </c>
      <c r="G883" s="7">
        <v>0.2</v>
      </c>
      <c r="H883" s="31">
        <v>104.99999999999999</v>
      </c>
      <c r="I883" s="6"/>
      <c r="J883" s="6"/>
      <c r="K883" s="7"/>
      <c r="L883" s="6"/>
      <c r="M883" s="6"/>
      <c r="N883" s="23"/>
      <c r="O883" s="5"/>
      <c r="P883" s="6"/>
      <c r="Q883" s="6"/>
      <c r="R883" s="6"/>
      <c r="S883" s="6"/>
      <c r="T883" s="6"/>
      <c r="U883" s="6"/>
      <c r="V883" s="5"/>
      <c r="W883" s="6"/>
      <c r="X883" s="6">
        <f>E883*F883/100</f>
      </c>
      <c r="Y883" s="6">
        <f>E883*G883/100</f>
      </c>
      <c r="Z883" s="7">
        <f>E883*H883</f>
      </c>
      <c r="AA883" s="7">
        <f>E883*J883</f>
      </c>
      <c r="AB883" s="6">
        <f>E883*I883/100</f>
      </c>
      <c r="AC883" s="15">
        <f>X883+Y883+AB883</f>
      </c>
      <c r="AD883" s="6">
        <f>F883+G883+I883</f>
      </c>
      <c r="AE883" s="3"/>
      <c r="AF883" s="6">
        <f>SUM(AM883:BC883)</f>
      </c>
      <c r="AG883" s="5">
        <f>IF(SUM(AM883:AO883)&gt;0.7*AF883,1,0)</f>
      </c>
      <c r="AH883" s="5">
        <f>IF(AN883&gt;0.4*AF883,1,0)</f>
      </c>
      <c r="AI883" s="5">
        <f>IF(SUM(AP883:AQ883)&gt;0.3*AF883,1,0)</f>
      </c>
      <c r="AJ883" s="5">
        <f>IF(AQ883&gt;0.2*AF883,1,0)</f>
      </c>
      <c r="AK883" s="5">
        <f>IF(SUM(AR883:BC883)&gt;0.3*AF883,1,0)</f>
      </c>
      <c r="AL883" s="3"/>
      <c r="AM883" s="6">
        <f>(F883/100)*AM$41</f>
      </c>
      <c r="AN883" s="6">
        <f>(G883/100)*AN$41</f>
      </c>
      <c r="AO883" s="6">
        <f>(H883/1000000)*AO$41</f>
      </c>
      <c r="AP883" s="6">
        <f>(I883/100)*AP$41</f>
      </c>
      <c r="AQ883" s="6">
        <f>(J883/1000000)*AQ$41</f>
      </c>
      <c r="AR883" s="6">
        <f>(K883/100)*AR$41</f>
      </c>
      <c r="AS883" s="6">
        <f>(L883/100)*AS$41</f>
      </c>
      <c r="AT883" s="6">
        <f>(M883/100)*AT$41</f>
      </c>
      <c r="AU883" s="6">
        <f>(N883/100)*AU$41</f>
      </c>
      <c r="AV883" s="6">
        <f>(O883/1000000)*AV$41</f>
      </c>
      <c r="AW883" s="6">
        <f>(P883/100)*AW$41</f>
      </c>
      <c r="AX883" s="6">
        <f>(Q883/100)*AX$41</f>
      </c>
      <c r="AY883" s="6">
        <f>(R883/100)*AY$41</f>
      </c>
      <c r="AZ883" s="6">
        <f>(S883/100)*AZ$41</f>
      </c>
      <c r="BA883" s="6">
        <f>(T883/100)*BA$41</f>
      </c>
      <c r="BB883" s="6">
        <f>(U883/100)*BB$41</f>
      </c>
      <c r="BC883" s="6"/>
      <c r="BD883" s="3"/>
      <c r="BE883" s="3"/>
      <c r="BF883" s="7">
        <f>AF883*E883</f>
      </c>
      <c r="BG883" s="6"/>
      <c r="BH883" s="3"/>
      <c r="BI883" s="6"/>
    </row>
    <row x14ac:dyDescent="0.25" r="884" customHeight="1" ht="12.75">
      <c r="A884" s="5" t="s">
        <v>1041</v>
      </c>
      <c r="B884" s="16" t="s">
        <v>872</v>
      </c>
      <c r="C884" s="25" t="s">
        <v>1039</v>
      </c>
      <c r="D884" s="34"/>
      <c r="E884" s="6">
        <v>0.61</v>
      </c>
      <c r="F884" s="6">
        <v>0.3</v>
      </c>
      <c r="G884" s="6">
        <v>2.1</v>
      </c>
      <c r="H884" s="6">
        <v>7.6</v>
      </c>
      <c r="I884" s="6"/>
      <c r="J884" s="6"/>
      <c r="K884" s="7"/>
      <c r="L884" s="6"/>
      <c r="M884" s="6"/>
      <c r="N884" s="23"/>
      <c r="O884" s="5"/>
      <c r="P884" s="6"/>
      <c r="Q884" s="6"/>
      <c r="R884" s="6"/>
      <c r="S884" s="6"/>
      <c r="T884" s="6"/>
      <c r="U884" s="6"/>
      <c r="V884" s="5"/>
      <c r="W884" s="6"/>
      <c r="X884" s="6">
        <f>E884*F884/100</f>
      </c>
      <c r="Y884" s="6">
        <f>E884*G884/100</f>
      </c>
      <c r="Z884" s="7">
        <f>E884*H884</f>
      </c>
      <c r="AA884" s="7">
        <f>E884*J884</f>
      </c>
      <c r="AB884" s="6">
        <f>E884*I884/100</f>
      </c>
      <c r="AC884" s="15">
        <f>X884+Y884+AB884</f>
      </c>
      <c r="AD884" s="6">
        <f>F884+G884+I884</f>
      </c>
      <c r="AE884" s="3"/>
      <c r="AF884" s="6">
        <f>SUM(AM884:BC884)</f>
      </c>
      <c r="AG884" s="5">
        <f>IF(SUM(AM884:AO884)&gt;0.7*AF884,1,0)</f>
      </c>
      <c r="AH884" s="5">
        <f>IF(AN884&gt;0.4*AF884,1,0)</f>
      </c>
      <c r="AI884" s="5">
        <f>IF(SUM(AP884:AQ884)&gt;0.3*AF884,1,0)</f>
      </c>
      <c r="AJ884" s="5">
        <f>IF(AQ884&gt;0.2*AF884,1,0)</f>
      </c>
      <c r="AK884" s="5">
        <f>IF(SUM(AR884:BC884)&gt;0.3*AF884,1,0)</f>
      </c>
      <c r="AL884" s="3"/>
      <c r="AM884" s="6">
        <f>(F884/100)*AM$41</f>
      </c>
      <c r="AN884" s="6">
        <f>(G884/100)*AN$41</f>
      </c>
      <c r="AO884" s="6">
        <f>(H884/1000000)*AO$41</f>
      </c>
      <c r="AP884" s="6">
        <f>(I884/100)*AP$41</f>
      </c>
      <c r="AQ884" s="6">
        <f>(J884/1000000)*AQ$41</f>
      </c>
      <c r="AR884" s="6">
        <f>(K884/100)*AR$41</f>
      </c>
      <c r="AS884" s="6">
        <f>(L884/100)*AS$41</f>
      </c>
      <c r="AT884" s="6">
        <f>(M884/100)*AT$41</f>
      </c>
      <c r="AU884" s="6">
        <f>(N884/100)*AU$41</f>
      </c>
      <c r="AV884" s="6">
        <f>(O884/1000000)*AV$41</f>
      </c>
      <c r="AW884" s="6">
        <f>(P884/100)*AW$41</f>
      </c>
      <c r="AX884" s="6">
        <f>(Q884/100)*AX$41</f>
      </c>
      <c r="AY884" s="6">
        <f>(R884/100)*AY$41</f>
      </c>
      <c r="AZ884" s="6">
        <f>(S884/100)*AZ$41</f>
      </c>
      <c r="BA884" s="6">
        <f>(T884/100)*BA$41</f>
      </c>
      <c r="BB884" s="6">
        <f>(U884/100)*BB$41</f>
      </c>
      <c r="BC884" s="6"/>
      <c r="BD884" s="3"/>
      <c r="BE884" s="3"/>
      <c r="BF884" s="7">
        <f>AF884*E884</f>
      </c>
      <c r="BG884" s="6"/>
      <c r="BH884" s="3"/>
      <c r="BI884" s="6"/>
    </row>
    <row x14ac:dyDescent="0.25" r="885" customHeight="1" ht="12.75">
      <c r="A885" s="5" t="s">
        <v>1052</v>
      </c>
      <c r="B885" s="16" t="s">
        <v>872</v>
      </c>
      <c r="C885" s="43" t="s">
        <v>1053</v>
      </c>
      <c r="D885" s="34" t="s">
        <v>1004</v>
      </c>
      <c r="E885" s="6">
        <v>11.65</v>
      </c>
      <c r="F885" s="6">
        <v>1.3484120171673821</v>
      </c>
      <c r="G885" s="6">
        <v>2.285579399141631</v>
      </c>
      <c r="H885" s="31">
        <v>31.8068669527897</v>
      </c>
      <c r="I885" s="6">
        <v>0.504549356223176</v>
      </c>
      <c r="J885" s="6">
        <v>0.29420600858369095</v>
      </c>
      <c r="K885" s="7"/>
      <c r="L885" s="6"/>
      <c r="M885" s="6"/>
      <c r="N885" s="23"/>
      <c r="O885" s="5"/>
      <c r="P885" s="6"/>
      <c r="Q885" s="6"/>
      <c r="R885" s="6"/>
      <c r="S885" s="6"/>
      <c r="T885" s="6"/>
      <c r="U885" s="6"/>
      <c r="V885" s="5"/>
      <c r="W885" s="6"/>
      <c r="X885" s="6">
        <f>E885*F885/100</f>
      </c>
      <c r="Y885" s="6">
        <f>E885*G885/100</f>
      </c>
      <c r="Z885" s="7">
        <f>E885*H885</f>
      </c>
      <c r="AA885" s="7">
        <f>E885*J885</f>
      </c>
      <c r="AB885" s="6">
        <f>E885*I885/100</f>
      </c>
      <c r="AC885" s="15">
        <f>X885+Y885+AB885</f>
      </c>
      <c r="AD885" s="6">
        <f>F885+G885+I885</f>
      </c>
      <c r="AE885" s="3"/>
      <c r="AF885" s="6">
        <f>SUM(AM885:BC885)</f>
      </c>
      <c r="AG885" s="5">
        <f>IF(SUM(AM885:AO885)&gt;0.7*AF885,1,0)</f>
      </c>
      <c r="AH885" s="5">
        <f>IF(AN885&gt;0.4*AF885,1,0)</f>
      </c>
      <c r="AI885" s="5">
        <f>IF(SUM(AP885:AQ885)&gt;0.3*AF885,1,0)</f>
      </c>
      <c r="AJ885" s="5">
        <f>IF(AQ885&gt;0.2*AF885,1,0)</f>
      </c>
      <c r="AK885" s="5">
        <f>IF(SUM(AR885:BC885)&gt;0.3*AF885,1,0)</f>
      </c>
      <c r="AL885" s="3"/>
      <c r="AM885" s="6">
        <f>(F885/100)*AM$41</f>
      </c>
      <c r="AN885" s="6">
        <f>(G885/100)*AN$41</f>
      </c>
      <c r="AO885" s="6">
        <f>(H885/1000000)*AO$41</f>
      </c>
      <c r="AP885" s="6">
        <f>(I885/100)*AP$41</f>
      </c>
      <c r="AQ885" s="6">
        <f>(J885/1000000)*AQ$41</f>
      </c>
      <c r="AR885" s="6">
        <f>(K885/100)*AR$41</f>
      </c>
      <c r="AS885" s="6">
        <f>(L885/100)*AS$41</f>
      </c>
      <c r="AT885" s="6">
        <f>(M885/100)*AT$41</f>
      </c>
      <c r="AU885" s="6">
        <f>(N885/100)*AU$41</f>
      </c>
      <c r="AV885" s="6">
        <f>(O885/1000000)*AV$41</f>
      </c>
      <c r="AW885" s="6">
        <f>(P885/100)*AW$41</f>
      </c>
      <c r="AX885" s="6">
        <f>(Q885/100)*AX$41</f>
      </c>
      <c r="AY885" s="6">
        <f>(R885/100)*AY$41</f>
      </c>
      <c r="AZ885" s="6">
        <f>(S885/100)*AZ$41</f>
      </c>
      <c r="BA885" s="6">
        <f>(T885/100)*BA$41</f>
      </c>
      <c r="BB885" s="6">
        <f>(U885/100)*BB$41</f>
      </c>
      <c r="BC885" s="6"/>
      <c r="BD885" s="3"/>
      <c r="BE885" s="3"/>
      <c r="BF885" s="7">
        <f>AF885*E885</f>
      </c>
      <c r="BG885" s="6"/>
      <c r="BH885" s="3"/>
      <c r="BI885" s="6"/>
    </row>
    <row x14ac:dyDescent="0.25" r="886" customHeight="1" ht="12.75">
      <c r="A886" s="5" t="s">
        <v>1042</v>
      </c>
      <c r="B886" s="16" t="s">
        <v>872</v>
      </c>
      <c r="C886" s="43" t="s">
        <v>1043</v>
      </c>
      <c r="D886" s="34"/>
      <c r="E886" s="6">
        <v>4.192</v>
      </c>
      <c r="F886" s="6"/>
      <c r="G886" s="6">
        <v>1.93</v>
      </c>
      <c r="H886" s="7"/>
      <c r="I886" s="6"/>
      <c r="J886" s="6"/>
      <c r="K886" s="7"/>
      <c r="L886" s="6"/>
      <c r="M886" s="6"/>
      <c r="N886" s="23"/>
      <c r="O886" s="5"/>
      <c r="P886" s="6"/>
      <c r="Q886" s="6"/>
      <c r="R886" s="6"/>
      <c r="S886" s="6"/>
      <c r="T886" s="6"/>
      <c r="U886" s="6"/>
      <c r="V886" s="5"/>
      <c r="W886" s="6"/>
      <c r="X886" s="6">
        <f>E886*F886/100</f>
      </c>
      <c r="Y886" s="6">
        <f>E886*G886/100</f>
      </c>
      <c r="Z886" s="7">
        <f>E886*H886</f>
      </c>
      <c r="AA886" s="7">
        <f>E886*J886</f>
      </c>
      <c r="AB886" s="6">
        <f>E886*I886/100</f>
      </c>
      <c r="AC886" s="15">
        <f>X886+Y886+AB886</f>
      </c>
      <c r="AD886" s="6">
        <f>F886+G886+I886</f>
      </c>
      <c r="AE886" s="3"/>
      <c r="AF886" s="6">
        <f>SUM(AM886:BC886)</f>
      </c>
      <c r="AG886" s="5">
        <f>IF(SUM(AM886:AO886)&gt;0.7*AF886,1,0)</f>
      </c>
      <c r="AH886" s="5">
        <f>IF(AN886&gt;0.4*AF886,1,0)</f>
      </c>
      <c r="AI886" s="5">
        <f>IF(SUM(AP886:AQ886)&gt;0.3*AF886,1,0)</f>
      </c>
      <c r="AJ886" s="5">
        <f>IF(AQ886&gt;0.2*AF886,1,0)</f>
      </c>
      <c r="AK886" s="5">
        <f>IF(SUM(AR886:BC886)&gt;0.3*AF886,1,0)</f>
      </c>
      <c r="AL886" s="3"/>
      <c r="AM886" s="6">
        <f>(F886/100)*AM$41</f>
      </c>
      <c r="AN886" s="6">
        <f>(G886/100)*AN$41</f>
      </c>
      <c r="AO886" s="6">
        <f>(H886/1000000)*AO$41</f>
      </c>
      <c r="AP886" s="6">
        <f>(I886/100)*AP$41</f>
      </c>
      <c r="AQ886" s="6">
        <f>(J886/1000000)*AQ$41</f>
      </c>
      <c r="AR886" s="6">
        <f>(K886/100)*AR$41</f>
      </c>
      <c r="AS886" s="6">
        <f>(L886/100)*AS$41</f>
      </c>
      <c r="AT886" s="6">
        <f>(M886/100)*AT$41</f>
      </c>
      <c r="AU886" s="6">
        <f>(N886/100)*AU$41</f>
      </c>
      <c r="AV886" s="6">
        <f>(O886/1000000)*AV$41</f>
      </c>
      <c r="AW886" s="6">
        <f>(P886/100)*AW$41</f>
      </c>
      <c r="AX886" s="6">
        <f>(Q886/100)*AX$41</f>
      </c>
      <c r="AY886" s="6">
        <f>(R886/100)*AY$41</f>
      </c>
      <c r="AZ886" s="6">
        <f>(S886/100)*AZ$41</f>
      </c>
      <c r="BA886" s="6">
        <f>(T886/100)*BA$41</f>
      </c>
      <c r="BB886" s="6">
        <f>(U886/100)*BB$41</f>
      </c>
      <c r="BC886" s="6"/>
      <c r="BD886" s="3"/>
      <c r="BE886" s="3"/>
      <c r="BF886" s="7">
        <f>AF886*E886</f>
      </c>
      <c r="BG886" s="6"/>
      <c r="BH886" s="3"/>
      <c r="BI886" s="6"/>
    </row>
    <row x14ac:dyDescent="0.25" r="887" customHeight="1" ht="12.75">
      <c r="A887" s="5" t="s">
        <v>1049</v>
      </c>
      <c r="B887" s="16" t="s">
        <v>872</v>
      </c>
      <c r="C887" s="25" t="s">
        <v>1050</v>
      </c>
      <c r="D887" s="51" t="s">
        <v>1050</v>
      </c>
      <c r="E887" s="6">
        <v>9.5</v>
      </c>
      <c r="F887" s="7">
        <v>3</v>
      </c>
      <c r="G887" s="6">
        <v>2.5</v>
      </c>
      <c r="H887" s="5">
        <v>104</v>
      </c>
      <c r="I887" s="6">
        <v>0.2</v>
      </c>
      <c r="J887" s="6">
        <v>2.6</v>
      </c>
      <c r="K887" s="7"/>
      <c r="L887" s="6"/>
      <c r="M887" s="6"/>
      <c r="N887" s="23"/>
      <c r="O887" s="5"/>
      <c r="P887" s="6"/>
      <c r="Q887" s="6"/>
      <c r="R887" s="6"/>
      <c r="S887" s="6"/>
      <c r="T887" s="6"/>
      <c r="U887" s="6"/>
      <c r="V887" s="5"/>
      <c r="W887" s="6"/>
      <c r="X887" s="6">
        <f>E887*F887/100</f>
      </c>
      <c r="Y887" s="6">
        <f>E887*G887/100</f>
      </c>
      <c r="Z887" s="7">
        <f>E887*H887</f>
      </c>
      <c r="AA887" s="7">
        <f>E887*J887</f>
      </c>
      <c r="AB887" s="6">
        <f>E887*I887/100</f>
      </c>
      <c r="AC887" s="15">
        <f>X887+Y887+AB887</f>
      </c>
      <c r="AD887" s="6">
        <f>F887+G887+I887</f>
      </c>
      <c r="AE887" s="3"/>
      <c r="AF887" s="6">
        <f>SUM(AM887:BC887)</f>
      </c>
      <c r="AG887" s="5">
        <f>IF(SUM(AM887:AO887)&gt;0.7*AF887,1,0)</f>
      </c>
      <c r="AH887" s="5">
        <f>IF(AN887&gt;0.4*AF887,1,0)</f>
      </c>
      <c r="AI887" s="5">
        <f>IF(SUM(AP887:AQ887)&gt;0.3*AF887,1,0)</f>
      </c>
      <c r="AJ887" s="5">
        <f>IF(AQ887&gt;0.2*AF887,1,0)</f>
      </c>
      <c r="AK887" s="5">
        <f>IF(SUM(AR887:BC887)&gt;0.3*AF887,1,0)</f>
      </c>
      <c r="AL887" s="3"/>
      <c r="AM887" s="6">
        <f>(F887/100)*AM$41</f>
      </c>
      <c r="AN887" s="6">
        <f>(G887/100)*AN$41</f>
      </c>
      <c r="AO887" s="6">
        <f>(H887/1000000)*AO$41</f>
      </c>
      <c r="AP887" s="6">
        <f>(I887/100)*AP$41</f>
      </c>
      <c r="AQ887" s="6">
        <f>(J887/1000000)*AQ$41</f>
      </c>
      <c r="AR887" s="6">
        <f>(K887/100)*AR$41</f>
      </c>
      <c r="AS887" s="6">
        <f>(L887/100)*AS$41</f>
      </c>
      <c r="AT887" s="6">
        <f>(M887/100)*AT$41</f>
      </c>
      <c r="AU887" s="6">
        <f>(N887/100)*AU$41</f>
      </c>
      <c r="AV887" s="6">
        <f>(O887/1000000)*AV$41</f>
      </c>
      <c r="AW887" s="6">
        <f>(P887/100)*AW$41</f>
      </c>
      <c r="AX887" s="6">
        <f>(Q887/100)*AX$41</f>
      </c>
      <c r="AY887" s="6">
        <f>(R887/100)*AY$41</f>
      </c>
      <c r="AZ887" s="6">
        <f>(S887/100)*AZ$41</f>
      </c>
      <c r="BA887" s="6">
        <f>(T887/100)*BA$41</f>
      </c>
      <c r="BB887" s="6">
        <f>(U887/100)*BB$41</f>
      </c>
      <c r="BC887" s="6"/>
      <c r="BD887" s="3"/>
      <c r="BE887" s="3"/>
      <c r="BF887" s="7">
        <f>AF887*E887</f>
      </c>
      <c r="BG887" s="6"/>
      <c r="BH887" s="3"/>
      <c r="BI887" s="6"/>
    </row>
    <row x14ac:dyDescent="0.25" r="888" customHeight="1" ht="12.75">
      <c r="A888" s="5" t="s">
        <v>1047</v>
      </c>
      <c r="B888" s="16" t="s">
        <v>872</v>
      </c>
      <c r="C888" s="25" t="s">
        <v>1050</v>
      </c>
      <c r="D888" s="34"/>
      <c r="E888" s="6">
        <v>1.15</v>
      </c>
      <c r="F888" s="6">
        <v>0.44</v>
      </c>
      <c r="G888" s="6">
        <v>2.26</v>
      </c>
      <c r="H888" s="7">
        <v>5.13</v>
      </c>
      <c r="I888" s="7">
        <v>0.23</v>
      </c>
      <c r="J888" s="7">
        <v>0.38</v>
      </c>
      <c r="K888" s="7"/>
      <c r="L888" s="6"/>
      <c r="M888" s="6"/>
      <c r="N888" s="23"/>
      <c r="O888" s="5"/>
      <c r="P888" s="6"/>
      <c r="Q888" s="6"/>
      <c r="R888" s="6"/>
      <c r="S888" s="6"/>
      <c r="T888" s="6"/>
      <c r="U888" s="6"/>
      <c r="V888" s="5"/>
      <c r="W888" s="6"/>
      <c r="X888" s="6">
        <f>E888*F888/100</f>
      </c>
      <c r="Y888" s="6">
        <f>E888*G888/100</f>
      </c>
      <c r="Z888" s="7">
        <f>E888*H888</f>
      </c>
      <c r="AA888" s="7">
        <f>E888*J888</f>
      </c>
      <c r="AB888" s="6">
        <f>E888*I888/100</f>
      </c>
      <c r="AC888" s="15">
        <f>X888+Y888+AB888</f>
      </c>
      <c r="AD888" s="6">
        <f>F888+G888+I888</f>
      </c>
      <c r="AE888" s="3"/>
      <c r="AF888" s="6">
        <f>SUM(AM888:BC888)</f>
      </c>
      <c r="AG888" s="5">
        <f>IF(SUM(AM888:AO888)&gt;0.7*AF888,1,0)</f>
      </c>
      <c r="AH888" s="5">
        <f>IF(AN888&gt;0.4*AF888,1,0)</f>
      </c>
      <c r="AI888" s="5">
        <f>IF(SUM(AP888:AQ888)&gt;0.3*AF888,1,0)</f>
      </c>
      <c r="AJ888" s="5">
        <f>IF(AQ888&gt;0.2*AF888,1,0)</f>
      </c>
      <c r="AK888" s="5">
        <f>IF(SUM(AR888:BC888)&gt;0.3*AF888,1,0)</f>
      </c>
      <c r="AL888" s="3"/>
      <c r="AM888" s="6">
        <f>(F888/100)*AM$41</f>
      </c>
      <c r="AN888" s="6">
        <f>(G888/100)*AN$41</f>
      </c>
      <c r="AO888" s="6">
        <f>(H888/1000000)*AO$41</f>
      </c>
      <c r="AP888" s="6">
        <f>(I888/100)*AP$41</f>
      </c>
      <c r="AQ888" s="6">
        <f>(J888/1000000)*AQ$41</f>
      </c>
      <c r="AR888" s="6">
        <f>(K888/100)*AR$41</f>
      </c>
      <c r="AS888" s="6">
        <f>(L888/100)*AS$41</f>
      </c>
      <c r="AT888" s="6">
        <f>(M888/100)*AT$41</f>
      </c>
      <c r="AU888" s="6">
        <f>(N888/100)*AU$41</f>
      </c>
      <c r="AV888" s="6">
        <f>(O888/1000000)*AV$41</f>
      </c>
      <c r="AW888" s="6">
        <f>(P888/100)*AW$41</f>
      </c>
      <c r="AX888" s="6">
        <f>(Q888/100)*AX$41</f>
      </c>
      <c r="AY888" s="6">
        <f>(R888/100)*AY$41</f>
      </c>
      <c r="AZ888" s="6">
        <f>(S888/100)*AZ$41</f>
      </c>
      <c r="BA888" s="6">
        <f>(T888/100)*BA$41</f>
      </c>
      <c r="BB888" s="6">
        <f>(U888/100)*BB$41</f>
      </c>
      <c r="BC888" s="6"/>
      <c r="BD888" s="3"/>
      <c r="BE888" s="3"/>
      <c r="BF888" s="7">
        <f>AF888*E888</f>
      </c>
      <c r="BG888" s="6"/>
      <c r="BH888" s="3"/>
      <c r="BI888" s="6"/>
    </row>
    <row x14ac:dyDescent="0.25" r="889" customHeight="1" ht="12.75">
      <c r="A889" s="5" t="s">
        <v>1054</v>
      </c>
      <c r="B889" s="16" t="s">
        <v>872</v>
      </c>
      <c r="C889" s="25" t="s">
        <v>1085</v>
      </c>
      <c r="D889" s="34"/>
      <c r="E889" s="5">
        <v>88</v>
      </c>
      <c r="F889" s="7">
        <v>0.2</v>
      </c>
      <c r="G889" s="6">
        <v>0.43409090909090914</v>
      </c>
      <c r="H889" s="7">
        <v>5.131818181818182</v>
      </c>
      <c r="I889" s="6">
        <v>0.05340909090909091</v>
      </c>
      <c r="J889" s="7">
        <v>0.6318181818181817</v>
      </c>
      <c r="K889" s="7"/>
      <c r="L889" s="6"/>
      <c r="M889" s="6"/>
      <c r="N889" s="23"/>
      <c r="O889" s="5"/>
      <c r="P889" s="6"/>
      <c r="Q889" s="6"/>
      <c r="R889" s="6"/>
      <c r="S889" s="6"/>
      <c r="T889" s="6"/>
      <c r="U889" s="6"/>
      <c r="V889" s="5"/>
      <c r="W889" s="6"/>
      <c r="X889" s="6">
        <f>E889*F889/100</f>
      </c>
      <c r="Y889" s="6">
        <f>E889*G889/100</f>
      </c>
      <c r="Z889" s="7">
        <f>E889*H889</f>
      </c>
      <c r="AA889" s="7">
        <f>E889*J889</f>
      </c>
      <c r="AB889" s="6">
        <f>E889*I889/100</f>
      </c>
      <c r="AC889" s="15">
        <f>X889+Y889+AB889</f>
      </c>
      <c r="AD889" s="6">
        <f>F889+G889+I889</f>
      </c>
      <c r="AE889" s="3"/>
      <c r="AF889" s="6">
        <f>SUM(AM889:BC889)</f>
      </c>
      <c r="AG889" s="5">
        <f>IF(SUM(AM889:AO889)&gt;0.7*AF889,1,0)</f>
      </c>
      <c r="AH889" s="5">
        <f>IF(AN889&gt;0.4*AF889,1,0)</f>
      </c>
      <c r="AI889" s="5">
        <f>IF(SUM(AP889:AQ889)&gt;0.3*AF889,1,0)</f>
      </c>
      <c r="AJ889" s="5">
        <f>IF(AQ889&gt;0.2*AF889,1,0)</f>
      </c>
      <c r="AK889" s="5">
        <f>IF(SUM(AR889:BC889)&gt;0.3*AF889,1,0)</f>
      </c>
      <c r="AL889" s="3"/>
      <c r="AM889" s="6">
        <f>(F889/100)*AM$41</f>
      </c>
      <c r="AN889" s="6">
        <f>(G889/100)*AN$41</f>
      </c>
      <c r="AO889" s="6">
        <f>(H889/1000000)*AO$41</f>
      </c>
      <c r="AP889" s="6">
        <f>(I889/100)*AP$41</f>
      </c>
      <c r="AQ889" s="6">
        <f>(J889/1000000)*AQ$41</f>
      </c>
      <c r="AR889" s="6">
        <f>(K889/100)*AR$41</f>
      </c>
      <c r="AS889" s="6">
        <f>(L889/100)*AS$41</f>
      </c>
      <c r="AT889" s="6">
        <f>(M889/100)*AT$41</f>
      </c>
      <c r="AU889" s="6">
        <f>(N889/100)*AU$41</f>
      </c>
      <c r="AV889" s="6">
        <f>(O889/1000000)*AV$41</f>
      </c>
      <c r="AW889" s="6">
        <f>(P889/100)*AW$41</f>
      </c>
      <c r="AX889" s="6">
        <f>(Q889/100)*AX$41</f>
      </c>
      <c r="AY889" s="6">
        <f>(R889/100)*AY$41</f>
      </c>
      <c r="AZ889" s="6">
        <f>(S889/100)*AZ$41</f>
      </c>
      <c r="BA889" s="6">
        <f>(T889/100)*BA$41</f>
      </c>
      <c r="BB889" s="6">
        <f>(U889/100)*BB$41</f>
      </c>
      <c r="BC889" s="6"/>
      <c r="BD889" s="3"/>
      <c r="BE889" s="3"/>
      <c r="BF889" s="7">
        <f>AF889*E889</f>
      </c>
      <c r="BG889" s="6"/>
      <c r="BH889" s="3"/>
      <c r="BI889" s="6"/>
    </row>
    <row x14ac:dyDescent="0.25" r="890" customHeight="1" ht="12.75">
      <c r="A890" s="5" t="s">
        <v>1051</v>
      </c>
      <c r="B890" s="16" t="s">
        <v>872</v>
      </c>
      <c r="C890" s="25" t="s">
        <v>1085</v>
      </c>
      <c r="D890" s="34"/>
      <c r="E890" s="6">
        <v>6.699999999999999</v>
      </c>
      <c r="F890" s="6">
        <v>0.34328358208955223</v>
      </c>
      <c r="G890" s="6">
        <v>0.6432835820895523</v>
      </c>
      <c r="H890" s="7">
        <v>11.432835820895523</v>
      </c>
      <c r="I890" s="6">
        <v>0.035671641791044775</v>
      </c>
      <c r="J890" s="7">
        <v>1.0432835820895523</v>
      </c>
      <c r="K890" s="7"/>
      <c r="L890" s="6"/>
      <c r="M890" s="6"/>
      <c r="N890" s="23"/>
      <c r="O890" s="5"/>
      <c r="P890" s="6"/>
      <c r="Q890" s="6"/>
      <c r="R890" s="6"/>
      <c r="S890" s="6"/>
      <c r="T890" s="6"/>
      <c r="U890" s="6"/>
      <c r="V890" s="5"/>
      <c r="W890" s="6"/>
      <c r="X890" s="6">
        <f>E890*F890/100</f>
      </c>
      <c r="Y890" s="6">
        <f>E890*G890/100</f>
      </c>
      <c r="Z890" s="7">
        <f>E890*H890</f>
      </c>
      <c r="AA890" s="7">
        <f>E890*J890</f>
      </c>
      <c r="AB890" s="6">
        <f>E890*I890/100</f>
      </c>
      <c r="AC890" s="15">
        <f>X890+Y890+AB890</f>
      </c>
      <c r="AD890" s="6">
        <f>F890+G890+I890</f>
      </c>
      <c r="AE890" s="3"/>
      <c r="AF890" s="6">
        <f>SUM(AM890:BC890)</f>
      </c>
      <c r="AG890" s="5">
        <f>IF(SUM(AM890:AO890)&gt;0.7*AF890,1,0)</f>
      </c>
      <c r="AH890" s="5">
        <f>IF(AN890&gt;0.4*AF890,1,0)</f>
      </c>
      <c r="AI890" s="5">
        <f>IF(SUM(AP890:AQ890)&gt;0.3*AF890,1,0)</f>
      </c>
      <c r="AJ890" s="5">
        <f>IF(AQ890&gt;0.2*AF890,1,0)</f>
      </c>
      <c r="AK890" s="5">
        <f>IF(SUM(AR890:BC890)&gt;0.3*AF890,1,0)</f>
      </c>
      <c r="AL890" s="3"/>
      <c r="AM890" s="6">
        <f>(F890/100)*AM$41</f>
      </c>
      <c r="AN890" s="6">
        <f>(G890/100)*AN$41</f>
      </c>
      <c r="AO890" s="6">
        <f>(H890/1000000)*AO$41</f>
      </c>
      <c r="AP890" s="6">
        <f>(I890/100)*AP$41</f>
      </c>
      <c r="AQ890" s="6">
        <f>(J890/1000000)*AQ$41</f>
      </c>
      <c r="AR890" s="6">
        <f>(K890/100)*AR$41</f>
      </c>
      <c r="AS890" s="6">
        <f>(L890/100)*AS$41</f>
      </c>
      <c r="AT890" s="6">
        <f>(M890/100)*AT$41</f>
      </c>
      <c r="AU890" s="6">
        <f>(N890/100)*AU$41</f>
      </c>
      <c r="AV890" s="6">
        <f>(O890/1000000)*AV$41</f>
      </c>
      <c r="AW890" s="6">
        <f>(P890/100)*AW$41</f>
      </c>
      <c r="AX890" s="6">
        <f>(Q890/100)*AX$41</f>
      </c>
      <c r="AY890" s="6">
        <f>(R890/100)*AY$41</f>
      </c>
      <c r="AZ890" s="6">
        <f>(S890/100)*AZ$41</f>
      </c>
      <c r="BA890" s="6">
        <f>(T890/100)*BA$41</f>
      </c>
      <c r="BB890" s="6">
        <f>(U890/100)*BB$41</f>
      </c>
      <c r="BC890" s="6"/>
      <c r="BD890" s="3"/>
      <c r="BE890" s="3"/>
      <c r="BF890" s="7">
        <f>AF890*E890</f>
      </c>
      <c r="BG890" s="6"/>
      <c r="BH890" s="3"/>
      <c r="BI890" s="6"/>
    </row>
    <row x14ac:dyDescent="0.25" r="891" customHeight="1" ht="12.75">
      <c r="A891" s="5" t="s">
        <v>1056</v>
      </c>
      <c r="B891" s="38" t="s">
        <v>874</v>
      </c>
      <c r="C891" s="43" t="s">
        <v>1086</v>
      </c>
      <c r="D891" s="34" t="s">
        <v>989</v>
      </c>
      <c r="E891" s="6">
        <v>0.6</v>
      </c>
      <c r="F891" s="6">
        <v>7.3</v>
      </c>
      <c r="G891" s="6">
        <v>10.5</v>
      </c>
      <c r="H891" s="7"/>
      <c r="I891" s="6"/>
      <c r="J891" s="6"/>
      <c r="K891" s="7"/>
      <c r="L891" s="6"/>
      <c r="M891" s="6"/>
      <c r="N891" s="23"/>
      <c r="O891" s="5"/>
      <c r="P891" s="6"/>
      <c r="Q891" s="6"/>
      <c r="R891" s="6"/>
      <c r="S891" s="6"/>
      <c r="T891" s="6"/>
      <c r="U891" s="6"/>
      <c r="V891" s="5"/>
      <c r="W891" s="6"/>
      <c r="X891" s="6">
        <f>E891*F891/100</f>
      </c>
      <c r="Y891" s="6">
        <f>E891*G891/100</f>
      </c>
      <c r="Z891" s="7">
        <f>E891*H891</f>
      </c>
      <c r="AA891" s="7">
        <f>E891*J891</f>
      </c>
      <c r="AB891" s="6">
        <f>E891*I891/100</f>
      </c>
      <c r="AC891" s="15">
        <f>X891+Y891+AB891</f>
      </c>
      <c r="AD891" s="6">
        <f>F891+G891+I891</f>
      </c>
      <c r="AE891" s="3"/>
      <c r="AF891" s="6">
        <f>SUM(AM891:BC891)</f>
      </c>
      <c r="AG891" s="5">
        <f>IF(SUM(AM891:AO891)&gt;0.7*AF891,1,0)</f>
      </c>
      <c r="AH891" s="5">
        <f>IF(AN891&gt;0.4*AF891,1,0)</f>
      </c>
      <c r="AI891" s="5">
        <f>IF(SUM(AP891:AQ891)&gt;0.3*AF891,1,0)</f>
      </c>
      <c r="AJ891" s="5">
        <f>IF(AQ891&gt;0.2*AF891,1,0)</f>
      </c>
      <c r="AK891" s="5">
        <f>IF(SUM(AR891:BC891)&gt;0.3*AF891,1,0)</f>
      </c>
      <c r="AL891" s="3"/>
      <c r="AM891" s="6">
        <f>(F891/100)*AM$41</f>
      </c>
      <c r="AN891" s="6">
        <f>(G891/100)*AN$41</f>
      </c>
      <c r="AO891" s="6">
        <f>(H891/1000000)*AO$41</f>
      </c>
      <c r="AP891" s="6">
        <f>(I891/100)*AP$41</f>
      </c>
      <c r="AQ891" s="6">
        <f>(J891/1000000)*AQ$41</f>
      </c>
      <c r="AR891" s="6">
        <f>(K891/100)*AR$41</f>
      </c>
      <c r="AS891" s="6">
        <f>(L891/100)*AS$41</f>
      </c>
      <c r="AT891" s="6">
        <f>(M891/100)*AT$41</f>
      </c>
      <c r="AU891" s="6">
        <f>(N891/100)*AU$41</f>
      </c>
      <c r="AV891" s="6">
        <f>(O891/1000000)*AV$41</f>
      </c>
      <c r="AW891" s="6">
        <f>(P891/100)*AW$41</f>
      </c>
      <c r="AX891" s="6">
        <f>(Q891/100)*AX$41</f>
      </c>
      <c r="AY891" s="6">
        <f>(R891/100)*AY$41</f>
      </c>
      <c r="AZ891" s="6">
        <f>(S891/100)*AZ$41</f>
      </c>
      <c r="BA891" s="6">
        <f>(T891/100)*BA$41</f>
      </c>
      <c r="BB891" s="6">
        <f>(U891/100)*BB$41</f>
      </c>
      <c r="BC891" s="6"/>
      <c r="BD891" s="3"/>
      <c r="BE891" s="3"/>
      <c r="BF891" s="7">
        <f>AF891*E891</f>
      </c>
      <c r="BG891" s="6"/>
      <c r="BH891" s="3"/>
      <c r="BI891" s="6"/>
    </row>
    <row x14ac:dyDescent="0.25" r="892" customHeight="1" ht="12.75">
      <c r="A892" s="5" t="s">
        <v>1059</v>
      </c>
      <c r="B892" s="38" t="s">
        <v>874</v>
      </c>
      <c r="C892" s="43" t="s">
        <v>1043</v>
      </c>
      <c r="D892" s="34"/>
      <c r="E892" s="5">
        <v>1</v>
      </c>
      <c r="F892" s="6"/>
      <c r="G892" s="6">
        <v>2.3</v>
      </c>
      <c r="H892" s="5">
        <v>21</v>
      </c>
      <c r="I892" s="6">
        <v>0.4</v>
      </c>
      <c r="J892" s="6"/>
      <c r="K892" s="7"/>
      <c r="L892" s="6"/>
      <c r="M892" s="6"/>
      <c r="N892" s="23"/>
      <c r="O892" s="5"/>
      <c r="P892" s="6"/>
      <c r="Q892" s="6"/>
      <c r="R892" s="6"/>
      <c r="S892" s="6"/>
      <c r="T892" s="6"/>
      <c r="U892" s="6"/>
      <c r="V892" s="5"/>
      <c r="W892" s="6"/>
      <c r="X892" s="6">
        <f>E892*F892/100</f>
      </c>
      <c r="Y892" s="6">
        <f>E892*G892/100</f>
      </c>
      <c r="Z892" s="7">
        <f>E892*H892</f>
      </c>
      <c r="AA892" s="7">
        <f>E892*J892</f>
      </c>
      <c r="AB892" s="6">
        <f>E892*I892/100</f>
      </c>
      <c r="AC892" s="15">
        <f>X892+Y892+AB892</f>
      </c>
      <c r="AD892" s="6">
        <f>F892+G892+I892</f>
      </c>
      <c r="AE892" s="3"/>
      <c r="AF892" s="6">
        <f>SUM(AM892:BC892)</f>
      </c>
      <c r="AG892" s="5">
        <f>IF(SUM(AM892:AO892)&gt;0.7*AF892,1,0)</f>
      </c>
      <c r="AH892" s="5">
        <f>IF(AN892&gt;0.4*AF892,1,0)</f>
      </c>
      <c r="AI892" s="5">
        <f>IF(SUM(AP892:AQ892)&gt;0.3*AF892,1,0)</f>
      </c>
      <c r="AJ892" s="5">
        <f>IF(AQ892&gt;0.2*AF892,1,0)</f>
      </c>
      <c r="AK892" s="5">
        <f>IF(SUM(AR892:BC892)&gt;0.3*AF892,1,0)</f>
      </c>
      <c r="AL892" s="3"/>
      <c r="AM892" s="6">
        <f>(F892/100)*AM$41</f>
      </c>
      <c r="AN892" s="6">
        <f>(G892/100)*AN$41</f>
      </c>
      <c r="AO892" s="6">
        <f>(H892/1000000)*AO$41</f>
      </c>
      <c r="AP892" s="6">
        <f>(I892/100)*AP$41</f>
      </c>
      <c r="AQ892" s="6">
        <f>(J892/1000000)*AQ$41</f>
      </c>
      <c r="AR892" s="6">
        <f>(K892/100)*AR$41</f>
      </c>
      <c r="AS892" s="6">
        <f>(L892/100)*AS$41</f>
      </c>
      <c r="AT892" s="6">
        <f>(M892/100)*AT$41</f>
      </c>
      <c r="AU892" s="6">
        <f>(N892/100)*AU$41</f>
      </c>
      <c r="AV892" s="6">
        <f>(O892/1000000)*AV$41</f>
      </c>
      <c r="AW892" s="6">
        <f>(P892/100)*AW$41</f>
      </c>
      <c r="AX892" s="6">
        <f>(Q892/100)*AX$41</f>
      </c>
      <c r="AY892" s="6">
        <f>(R892/100)*AY$41</f>
      </c>
      <c r="AZ892" s="6">
        <f>(S892/100)*AZ$41</f>
      </c>
      <c r="BA892" s="6">
        <f>(T892/100)*BA$41</f>
      </c>
      <c r="BB892" s="6">
        <f>(U892/100)*BB$41</f>
      </c>
      <c r="BC892" s="6"/>
      <c r="BD892" s="3"/>
      <c r="BE892" s="3"/>
      <c r="BF892" s="7">
        <f>AF892*E892</f>
      </c>
      <c r="BG892" s="6"/>
      <c r="BH892" s="3"/>
      <c r="BI892" s="6"/>
    </row>
    <row x14ac:dyDescent="0.25" r="893" customHeight="1" ht="12.75">
      <c r="A893" s="5" t="s">
        <v>1057</v>
      </c>
      <c r="B893" s="38" t="s">
        <v>874</v>
      </c>
      <c r="C893" s="43" t="s">
        <v>1087</v>
      </c>
      <c r="D893" s="34"/>
      <c r="E893" s="23">
        <v>0.046775</v>
      </c>
      <c r="F893" s="6">
        <v>0.25707108498129344</v>
      </c>
      <c r="G893" s="6">
        <v>0.6481079636557991</v>
      </c>
      <c r="H893" s="7">
        <v>82.80685195082845</v>
      </c>
      <c r="I893" s="6">
        <v>0.06793158738642438</v>
      </c>
      <c r="J893" s="6">
        <v>0.5601763762693747</v>
      </c>
      <c r="K893" s="7"/>
      <c r="L893" s="6"/>
      <c r="M893" s="6"/>
      <c r="N893" s="23"/>
      <c r="O893" s="5"/>
      <c r="P893" s="6"/>
      <c r="Q893" s="6"/>
      <c r="R893" s="6"/>
      <c r="S893" s="6"/>
      <c r="T893" s="6"/>
      <c r="U893" s="6"/>
      <c r="V893" s="5"/>
      <c r="W893" s="6"/>
      <c r="X893" s="6">
        <f>E893*F893/100</f>
      </c>
      <c r="Y893" s="6">
        <f>E893*G893/100</f>
      </c>
      <c r="Z893" s="7">
        <f>E893*H893</f>
      </c>
      <c r="AA893" s="7">
        <f>E893*J893</f>
      </c>
      <c r="AB893" s="6">
        <f>E893*I893/100</f>
      </c>
      <c r="AC893" s="15">
        <f>X893+Y893+AB893</f>
      </c>
      <c r="AD893" s="6">
        <f>F893+G893+I893</f>
      </c>
      <c r="AE893" s="3"/>
      <c r="AF893" s="6">
        <f>SUM(AM893:BC893)</f>
      </c>
      <c r="AG893" s="5">
        <f>IF(SUM(AM893:AO893)&gt;0.7*AF893,1,0)</f>
      </c>
      <c r="AH893" s="5">
        <f>IF(AN893&gt;0.4*AF893,1,0)</f>
      </c>
      <c r="AI893" s="5">
        <f>IF(SUM(AP893:AQ893)&gt;0.3*AF893,1,0)</f>
      </c>
      <c r="AJ893" s="5">
        <f>IF(AQ893&gt;0.2*AF893,1,0)</f>
      </c>
      <c r="AK893" s="5">
        <f>IF(SUM(AR893:BC893)&gt;0.3*AF893,1,0)</f>
      </c>
      <c r="AL893" s="3"/>
      <c r="AM893" s="6">
        <f>(F893/100)*AM$41</f>
      </c>
      <c r="AN893" s="6">
        <f>(G893/100)*AN$41</f>
      </c>
      <c r="AO893" s="6">
        <f>(H893/1000000)*AO$41</f>
      </c>
      <c r="AP893" s="6">
        <f>(I893/100)*AP$41</f>
      </c>
      <c r="AQ893" s="6">
        <f>(J893/1000000)*AQ$41</f>
      </c>
      <c r="AR893" s="6">
        <f>(K893/100)*AR$41</f>
      </c>
      <c r="AS893" s="6">
        <f>(L893/100)*AS$41</f>
      </c>
      <c r="AT893" s="6">
        <f>(M893/100)*AT$41</f>
      </c>
      <c r="AU893" s="6">
        <f>(N893/100)*AU$41</f>
      </c>
      <c r="AV893" s="6">
        <f>(O893/1000000)*AV$41</f>
      </c>
      <c r="AW893" s="6">
        <f>(P893/100)*AW$41</f>
      </c>
      <c r="AX893" s="6">
        <f>(Q893/100)*AX$41</f>
      </c>
      <c r="AY893" s="6">
        <f>(R893/100)*AY$41</f>
      </c>
      <c r="AZ893" s="6">
        <f>(S893/100)*AZ$41</f>
      </c>
      <c r="BA893" s="6">
        <f>(T893/100)*BA$41</f>
      </c>
      <c r="BB893" s="6">
        <f>(U893/100)*BB$41</f>
      </c>
      <c r="BC893" s="6"/>
      <c r="BD893" s="3"/>
      <c r="BE893" s="3"/>
      <c r="BF893" s="7">
        <f>AF893*E893</f>
      </c>
      <c r="BG893" s="6"/>
      <c r="BH893" s="3"/>
      <c r="BI89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F908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8" width="28.719285714285714" customWidth="1" bestFit="1"/>
    <col min="2" max="2" style="10" width="9.719285714285713" customWidth="1" bestFit="1"/>
    <col min="3" max="3" style="10" width="32.71928571428572" customWidth="1" bestFit="1"/>
    <col min="4" max="4" style="10" width="32.71928571428572" customWidth="1" bestFit="1"/>
    <col min="5" max="5" style="10" width="1.719285714285714" customWidth="1" bestFit="1"/>
    <col min="6" max="6" style="9" width="8.719285714285713" customWidth="1" bestFit="1"/>
    <col min="7" max="7" style="9" width="8.719285714285713" customWidth="1" bestFit="1"/>
    <col min="8" max="8" style="9" width="8.719285714285713" customWidth="1" bestFit="1"/>
    <col min="9" max="9" style="9" width="8.719285714285713" customWidth="1" bestFit="1"/>
    <col min="10" max="10" style="10" width="1.719285714285714" customWidth="1" bestFit="1"/>
    <col min="11" max="11" style="8" width="9.576428571428572" customWidth="1" bestFit="1"/>
    <col min="12" max="12" style="9" width="6.576428571428571" customWidth="1" bestFit="1"/>
    <col min="13" max="13" style="9" width="6.576428571428571" customWidth="1" bestFit="1"/>
    <col min="14" max="14" style="8" width="6.576428571428571" customWidth="1" bestFit="1"/>
    <col min="15" max="15" style="9" width="6.576428571428571" customWidth="1" bestFit="1"/>
    <col min="16" max="16" style="9" width="6.576428571428571" customWidth="1" bestFit="1"/>
    <col min="17" max="17" style="11" width="8.719285714285713" customWidth="1" bestFit="1"/>
    <col min="18" max="18" style="9" width="8.719285714285713" customWidth="1" bestFit="1"/>
    <col min="19" max="19" style="9" width="9.719285714285713" customWidth="1" bestFit="1"/>
    <col min="20" max="20" style="9" width="8.719285714285713" customWidth="1" bestFit="1"/>
    <col min="21" max="21" style="8" width="8.719285714285713" customWidth="1" bestFit="1"/>
    <col min="22" max="22" style="9" width="12.719285714285713" customWidth="1" bestFit="1"/>
    <col min="23" max="23" style="9" width="12.719285714285713" customWidth="1" bestFit="1"/>
    <col min="24" max="24" style="9" width="5.576428571428571" customWidth="1" bestFit="1"/>
    <col min="25" max="25" style="33" width="6.576428571428571" customWidth="1" bestFit="1"/>
    <col min="26" max="26" style="9" width="5.576428571428571" customWidth="1" bestFit="1"/>
    <col min="27" max="27" style="9" width="6.576428571428571" customWidth="1" bestFit="1"/>
    <col min="28" max="28" style="8" width="6.576428571428571" customWidth="1" bestFit="1"/>
    <col min="29" max="29" style="10" width="12.576428571428572" customWidth="1" bestFit="1"/>
    <col min="30" max="30" style="9" width="7.576428571428571" customWidth="1" bestFit="1"/>
    <col min="31" max="31" style="9" width="7.576428571428571" customWidth="1" bestFit="1"/>
    <col min="32" max="32" style="11" width="9.576428571428572" customWidth="1" bestFit="1"/>
    <col min="33" max="33" style="9" width="7.576428571428571" customWidth="1" bestFit="1"/>
    <col min="34" max="34" style="11" width="9.719285714285713" customWidth="1" bestFit="1"/>
    <col min="35" max="35" style="33" width="12.576428571428572" customWidth="1" bestFit="1"/>
    <col min="36" max="36" style="9" width="12.576428571428572" customWidth="1" bestFit="1"/>
    <col min="37" max="37" style="10" width="1.719285714285714" customWidth="1" bestFit="1"/>
    <col min="38" max="38" style="9" width="10.719285714285713" customWidth="1" bestFit="1"/>
    <col min="39" max="39" style="9" width="9.719285714285713" customWidth="1" bestFit="1"/>
    <col min="40" max="40" style="9" width="9.719285714285713" customWidth="1" bestFit="1"/>
    <col min="41" max="41" style="9" width="9.719285714285713" customWidth="1" bestFit="1"/>
    <col min="42" max="42" style="9" width="9.719285714285713" customWidth="1" bestFit="1"/>
    <col min="43" max="43" style="9" width="10.147857142857141" customWidth="1" bestFit="1"/>
    <col min="44" max="44" style="9" width="9.719285714285713" customWidth="1" bestFit="1"/>
    <col min="45" max="45" style="9" width="9.719285714285713" customWidth="1" bestFit="1"/>
    <col min="46" max="46" style="9" width="9.719285714285713" customWidth="1" bestFit="1"/>
    <col min="47" max="47" style="9" width="9.719285714285713" customWidth="1" bestFit="1"/>
    <col min="48" max="48" style="9" width="9.719285714285713" customWidth="1" bestFit="1"/>
    <col min="49" max="49" style="9" width="9.719285714285713" customWidth="1" bestFit="1"/>
    <col min="50" max="50" style="9" width="9.719285714285713" customWidth="1" bestFit="1"/>
    <col min="51" max="51" style="9" width="9.719285714285713" customWidth="1" bestFit="1"/>
    <col min="52" max="52" style="9" width="9.719285714285713" customWidth="1" bestFit="1"/>
    <col min="53" max="53" style="9" width="9.719285714285713" customWidth="1" bestFit="1"/>
    <col min="54" max="54" style="9" width="9.719285714285713" customWidth="1" bestFit="1"/>
    <col min="55" max="55" style="9" width="10.147857142857141" customWidth="1" bestFit="1"/>
    <col min="56" max="56" style="10" width="9.719285714285713" customWidth="1" bestFit="1"/>
    <col min="57" max="57" style="10" width="1.719285714285714" customWidth="1" bestFit="1"/>
    <col min="58" max="58" style="11" width="12.719285714285713" customWidth="1" bestFit="1"/>
  </cols>
  <sheetData>
    <row x14ac:dyDescent="0.25" r="1" customHeight="1" ht="12.75">
      <c r="A1" s="5">
        <f>COUNT(K58:K128)</f>
      </c>
      <c r="B1" s="3" t="s">
        <v>855</v>
      </c>
      <c r="C1" s="3" t="s">
        <v>856</v>
      </c>
      <c r="D1" s="12" t="s">
        <v>857</v>
      </c>
      <c r="E1" s="3"/>
      <c r="F1" s="6"/>
      <c r="G1" s="6"/>
      <c r="H1" s="6"/>
      <c r="I1" s="13" t="s">
        <v>855</v>
      </c>
      <c r="J1" s="3"/>
      <c r="K1" s="14">
        <f>SUM(K58:K128)</f>
      </c>
      <c r="L1" s="6">
        <f>100*AD1/$K1</f>
      </c>
      <c r="M1" s="6">
        <f>100*AE1/$K1</f>
      </c>
      <c r="N1" s="6">
        <f>AF1/$K1</f>
      </c>
      <c r="O1" s="6">
        <f>100*AG1/$K1</f>
      </c>
      <c r="P1" s="6">
        <f>AH1/$K1</f>
      </c>
      <c r="Q1" s="7"/>
      <c r="R1" s="6"/>
      <c r="S1" s="6"/>
      <c r="T1" s="6"/>
      <c r="U1" s="5"/>
      <c r="V1" s="6"/>
      <c r="W1" s="6"/>
      <c r="X1" s="6"/>
      <c r="Y1" s="15"/>
      <c r="Z1" s="6"/>
      <c r="AA1" s="6"/>
      <c r="AB1" s="5"/>
      <c r="AC1" s="3"/>
      <c r="AD1" s="6">
        <f>SUM(AD58:AD128)</f>
      </c>
      <c r="AE1" s="6">
        <f>SUM(AE58:AE128)</f>
      </c>
      <c r="AF1" s="5">
        <f>SUM(AF58:AF128)</f>
      </c>
      <c r="AG1" s="6">
        <f>SUM(AG58:AG128)</f>
      </c>
      <c r="AH1" s="7">
        <f>SUM(AH58:AH128)</f>
      </c>
      <c r="AI1" s="6">
        <f>SUM(AD1:AE1,AG1)</f>
      </c>
      <c r="AJ1" s="6">
        <f>L1+M1+O1</f>
      </c>
      <c r="AK1" s="3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3"/>
      <c r="BE1" s="3"/>
      <c r="BF1" s="7"/>
    </row>
    <row x14ac:dyDescent="0.25" r="2" customHeight="1" ht="12.75">
      <c r="A2" s="5">
        <f>COUNT(K129:K156)</f>
      </c>
      <c r="B2" s="3" t="s">
        <v>855</v>
      </c>
      <c r="C2" s="3" t="s">
        <v>856</v>
      </c>
      <c r="D2" s="16" t="s">
        <v>858</v>
      </c>
      <c r="E2" s="3"/>
      <c r="F2" s="6"/>
      <c r="G2" s="6"/>
      <c r="H2" s="6"/>
      <c r="I2" s="17" t="s">
        <v>855</v>
      </c>
      <c r="J2" s="3"/>
      <c r="K2" s="18">
        <f>SUM(K129:K156)</f>
      </c>
      <c r="L2" s="6">
        <f>100*AD2/$K2</f>
      </c>
      <c r="M2" s="6">
        <f>100*AE2/$K2</f>
      </c>
      <c r="N2" s="6">
        <f>AF2/$K2</f>
      </c>
      <c r="O2" s="6">
        <f>100*AG2/$K2</f>
      </c>
      <c r="P2" s="6">
        <f>AH2/$K2</f>
      </c>
      <c r="Q2" s="7"/>
      <c r="R2" s="6"/>
      <c r="S2" s="6"/>
      <c r="T2" s="6"/>
      <c r="U2" s="5"/>
      <c r="V2" s="6"/>
      <c r="W2" s="6"/>
      <c r="X2" s="6"/>
      <c r="Y2" s="15"/>
      <c r="Z2" s="6"/>
      <c r="AA2" s="6"/>
      <c r="AB2" s="5"/>
      <c r="AC2" s="3"/>
      <c r="AD2" s="6">
        <f>SUM(AD129:AD156)</f>
      </c>
      <c r="AE2" s="6">
        <f>SUM(AE129:AE156)</f>
      </c>
      <c r="AF2" s="5">
        <f>SUM(AF129:AF156)</f>
      </c>
      <c r="AG2" s="6">
        <f>SUM(AG129:AG156)</f>
      </c>
      <c r="AH2" s="7">
        <f>SUM(AH129:AH156)</f>
      </c>
      <c r="AI2" s="6">
        <f>SUM(AD2:AE2,AG2)</f>
      </c>
      <c r="AJ2" s="6">
        <f>L2+M2+O2</f>
      </c>
      <c r="AK2" s="3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3"/>
      <c r="BE2" s="3"/>
      <c r="BF2" s="7"/>
    </row>
    <row x14ac:dyDescent="0.25" r="3" customHeight="1" ht="12.75">
      <c r="A3" s="5">
        <f>COUNT(K157:K181)</f>
      </c>
      <c r="B3" s="3" t="s">
        <v>859</v>
      </c>
      <c r="C3" s="3" t="s">
        <v>856</v>
      </c>
      <c r="D3" s="12" t="s">
        <v>857</v>
      </c>
      <c r="E3" s="3"/>
      <c r="F3" s="6"/>
      <c r="G3" s="6"/>
      <c r="H3" s="6"/>
      <c r="I3" s="19" t="s">
        <v>859</v>
      </c>
      <c r="J3" s="3"/>
      <c r="K3" s="20">
        <f>SUM(K157:K181)</f>
      </c>
      <c r="L3" s="6">
        <f>100*AD3/$K3</f>
      </c>
      <c r="M3" s="6">
        <f>100*AE3/$K3</f>
      </c>
      <c r="N3" s="6">
        <f>AF3/$K3</f>
      </c>
      <c r="O3" s="6">
        <f>100*AG3/$K3</f>
      </c>
      <c r="P3" s="6">
        <f>AH3/$K3</f>
      </c>
      <c r="Q3" s="7"/>
      <c r="R3" s="6"/>
      <c r="S3" s="6"/>
      <c r="T3" s="6"/>
      <c r="U3" s="5"/>
      <c r="V3" s="6"/>
      <c r="W3" s="6"/>
      <c r="X3" s="6"/>
      <c r="Y3" s="15"/>
      <c r="Z3" s="6"/>
      <c r="AA3" s="6"/>
      <c r="AB3" s="5"/>
      <c r="AC3" s="3"/>
      <c r="AD3" s="6">
        <f>SUM(AD157:AD181)</f>
      </c>
      <c r="AE3" s="6">
        <f>SUM(AE157:AE181)</f>
      </c>
      <c r="AF3" s="5">
        <f>SUM(AF157:AF181)</f>
      </c>
      <c r="AG3" s="6">
        <f>SUM(AG157:AG181)</f>
      </c>
      <c r="AH3" s="7">
        <f>SUM(AH157:AH181)</f>
      </c>
      <c r="AI3" s="6">
        <f>SUM(AD3:AE3,AG3)</f>
      </c>
      <c r="AJ3" s="6">
        <f>L3+M3+O3</f>
      </c>
      <c r="AK3" s="3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3"/>
      <c r="BE3" s="3"/>
      <c r="BF3" s="7"/>
    </row>
    <row x14ac:dyDescent="0.25" r="4" customHeight="1" ht="12.75">
      <c r="A4" s="5">
        <f>COUNT(K182:K195)</f>
      </c>
      <c r="B4" s="3" t="s">
        <v>859</v>
      </c>
      <c r="C4" s="3" t="s">
        <v>856</v>
      </c>
      <c r="D4" s="16" t="s">
        <v>858</v>
      </c>
      <c r="E4" s="3"/>
      <c r="F4" s="6"/>
      <c r="G4" s="6"/>
      <c r="H4" s="6"/>
      <c r="I4" s="21" t="s">
        <v>859</v>
      </c>
      <c r="J4" s="3"/>
      <c r="K4" s="22">
        <f>SUM(K182:K195)</f>
      </c>
      <c r="L4" s="6">
        <f>100*AD4/$K4</f>
      </c>
      <c r="M4" s="6">
        <f>100*AE4/$K4</f>
      </c>
      <c r="N4" s="6">
        <f>AF4/$K4</f>
      </c>
      <c r="O4" s="6">
        <f>100*AG4/$K4</f>
      </c>
      <c r="P4" s="6">
        <f>AH4/$K4</f>
      </c>
      <c r="Q4" s="7"/>
      <c r="R4" s="6"/>
      <c r="S4" s="6"/>
      <c r="T4" s="6"/>
      <c r="U4" s="5"/>
      <c r="V4" s="6"/>
      <c r="W4" s="6"/>
      <c r="X4" s="6"/>
      <c r="Y4" s="15"/>
      <c r="Z4" s="6"/>
      <c r="AA4" s="6"/>
      <c r="AB4" s="5"/>
      <c r="AC4" s="3"/>
      <c r="AD4" s="6">
        <f>SUM(AD182:AD195)</f>
      </c>
      <c r="AE4" s="6">
        <f>SUM(AE182:AE195)</f>
      </c>
      <c r="AF4" s="5">
        <f>SUM(AF182:AF195)</f>
      </c>
      <c r="AG4" s="6">
        <f>SUM(AG182:AG195)</f>
      </c>
      <c r="AH4" s="7">
        <f>SUM(AH182:AH195)</f>
      </c>
      <c r="AI4" s="6">
        <f>SUM(AD4:AE4,AG4)</f>
      </c>
      <c r="AJ4" s="6">
        <f>L4+M4+O4</f>
      </c>
      <c r="AK4" s="3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3"/>
      <c r="BE4" s="3"/>
      <c r="BF4" s="7"/>
    </row>
    <row x14ac:dyDescent="0.25" r="5" customHeight="1" ht="12.75">
      <c r="A5" s="5">
        <f>COUNT(K196:K198)</f>
      </c>
      <c r="B5" s="3" t="s">
        <v>855</v>
      </c>
      <c r="C5" s="3" t="s">
        <v>860</v>
      </c>
      <c r="D5" s="16" t="s">
        <v>858</v>
      </c>
      <c r="E5" s="3"/>
      <c r="F5" s="6"/>
      <c r="G5" s="6"/>
      <c r="H5" s="6"/>
      <c r="I5" s="17" t="s">
        <v>855</v>
      </c>
      <c r="J5" s="3"/>
      <c r="K5" s="18">
        <f>SUM(K196:K198)</f>
      </c>
      <c r="L5" s="6">
        <f>100*AD5/$K5</f>
      </c>
      <c r="M5" s="6">
        <f>100*AE5/$K5</f>
      </c>
      <c r="N5" s="6"/>
      <c r="O5" s="6">
        <f>100*AG5/$K5</f>
      </c>
      <c r="P5" s="6"/>
      <c r="Q5" s="7"/>
      <c r="R5" s="6"/>
      <c r="S5" s="6"/>
      <c r="T5" s="6"/>
      <c r="U5" s="5"/>
      <c r="V5" s="6"/>
      <c r="W5" s="6"/>
      <c r="X5" s="6"/>
      <c r="Y5" s="15"/>
      <c r="Z5" s="6"/>
      <c r="AA5" s="6"/>
      <c r="AB5" s="5"/>
      <c r="AC5" s="3"/>
      <c r="AD5" s="6">
        <f>SUM(AD196:AD198)</f>
      </c>
      <c r="AE5" s="6">
        <f>SUM(AE196:AE198)</f>
      </c>
      <c r="AF5" s="7"/>
      <c r="AG5" s="6">
        <f>SUM(AG196:AG198)</f>
      </c>
      <c r="AH5" s="7"/>
      <c r="AI5" s="6">
        <f>SUM(AD5:AE5,AG5)</f>
      </c>
      <c r="AJ5" s="6">
        <f>L5+M5+O5</f>
      </c>
      <c r="AK5" s="3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3"/>
      <c r="BE5" s="3"/>
      <c r="BF5" s="7"/>
    </row>
    <row x14ac:dyDescent="0.25" r="6" customHeight="1" ht="12.75">
      <c r="A6" s="5">
        <f>COUNT(K199)</f>
      </c>
      <c r="B6" s="3" t="s">
        <v>859</v>
      </c>
      <c r="C6" s="3" t="s">
        <v>860</v>
      </c>
      <c r="D6" s="12" t="s">
        <v>857</v>
      </c>
      <c r="E6" s="3"/>
      <c r="F6" s="6"/>
      <c r="G6" s="6"/>
      <c r="H6" s="6"/>
      <c r="I6" s="19" t="s">
        <v>859</v>
      </c>
      <c r="J6" s="3"/>
      <c r="K6" s="20">
        <f>SUM(K199)</f>
      </c>
      <c r="L6" s="6">
        <f>100*AD6/$K6</f>
      </c>
      <c r="M6" s="6"/>
      <c r="N6" s="6">
        <f>AF6/$K6</f>
      </c>
      <c r="O6" s="6"/>
      <c r="P6" s="6"/>
      <c r="Q6" s="7"/>
      <c r="R6" s="6"/>
      <c r="S6" s="6"/>
      <c r="T6" s="6"/>
      <c r="U6" s="5"/>
      <c r="V6" s="6"/>
      <c r="W6" s="6"/>
      <c r="X6" s="6"/>
      <c r="Y6" s="15"/>
      <c r="Z6" s="6"/>
      <c r="AA6" s="6"/>
      <c r="AB6" s="5"/>
      <c r="AC6" s="3"/>
      <c r="AD6" s="6">
        <f>SUM(AD199)</f>
      </c>
      <c r="AE6" s="6"/>
      <c r="AF6" s="5">
        <f>SUM(AF199)</f>
      </c>
      <c r="AG6" s="6"/>
      <c r="AH6" s="7"/>
      <c r="AI6" s="6">
        <f>SUM(AD6:AE6,AG6)</f>
      </c>
      <c r="AJ6" s="6">
        <f>L6+M6+O6</f>
      </c>
      <c r="AK6" s="3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3"/>
      <c r="BE6" s="3"/>
      <c r="BF6" s="7"/>
    </row>
    <row x14ac:dyDescent="0.25" r="7" customHeight="1" ht="12.75">
      <c r="A7" s="5">
        <f>COUNT(K200)</f>
      </c>
      <c r="B7" s="3" t="s">
        <v>855</v>
      </c>
      <c r="C7" s="3" t="s">
        <v>861</v>
      </c>
      <c r="D7" s="12" t="s">
        <v>857</v>
      </c>
      <c r="E7" s="3"/>
      <c r="F7" s="6"/>
      <c r="G7" s="6"/>
      <c r="H7" s="6"/>
      <c r="I7" s="13" t="s">
        <v>855</v>
      </c>
      <c r="J7" s="3"/>
      <c r="K7" s="14">
        <f>SUM(K200)</f>
      </c>
      <c r="L7" s="6">
        <f>100*AD7/$K7</f>
      </c>
      <c r="M7" s="6">
        <f>100*AE7/$K7</f>
      </c>
      <c r="N7" s="6">
        <f>AF7/$K7</f>
      </c>
      <c r="O7" s="6">
        <f>100*AG7/$K7</f>
      </c>
      <c r="P7" s="6"/>
      <c r="Q7" s="7"/>
      <c r="R7" s="6"/>
      <c r="S7" s="6"/>
      <c r="T7" s="6"/>
      <c r="U7" s="5"/>
      <c r="V7" s="6"/>
      <c r="W7" s="6"/>
      <c r="X7" s="6"/>
      <c r="Y7" s="15"/>
      <c r="Z7" s="6"/>
      <c r="AA7" s="6"/>
      <c r="AB7" s="5"/>
      <c r="AC7" s="3"/>
      <c r="AD7" s="6">
        <f>SUM(AD200)</f>
      </c>
      <c r="AE7" s="23">
        <f>SUM(AE200)</f>
      </c>
      <c r="AF7" s="5">
        <f>SUM(AF200)</f>
      </c>
      <c r="AG7" s="6">
        <f>SUM(AG200)</f>
      </c>
      <c r="AH7" s="7"/>
      <c r="AI7" s="6">
        <f>SUM(AD7:AE7,AG7)</f>
      </c>
      <c r="AJ7" s="6">
        <f>L7+M7+O7</f>
      </c>
      <c r="AK7" s="3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3"/>
      <c r="BE7" s="3"/>
      <c r="BF7" s="7"/>
    </row>
    <row x14ac:dyDescent="0.25" r="8" customHeight="1" ht="12.75">
      <c r="A8" s="5">
        <f>COUNT(K201:K205)</f>
      </c>
      <c r="B8" s="3" t="s">
        <v>855</v>
      </c>
      <c r="C8" s="3" t="s">
        <v>861</v>
      </c>
      <c r="D8" s="16" t="s">
        <v>858</v>
      </c>
      <c r="E8" s="3"/>
      <c r="F8" s="6"/>
      <c r="G8" s="6"/>
      <c r="H8" s="6"/>
      <c r="I8" s="17" t="s">
        <v>855</v>
      </c>
      <c r="J8" s="3"/>
      <c r="K8" s="18">
        <f>SUM(K201:K205)</f>
      </c>
      <c r="L8" s="6">
        <f>100*AD8/$K8</f>
      </c>
      <c r="M8" s="6">
        <f>100*AE8/$K8</f>
      </c>
      <c r="N8" s="6">
        <f>AF8/$K8</f>
      </c>
      <c r="O8" s="6">
        <f>100*AG8/$K8</f>
      </c>
      <c r="P8" s="6">
        <f>AH8/$K8</f>
      </c>
      <c r="Q8" s="7"/>
      <c r="R8" s="6"/>
      <c r="S8" s="6"/>
      <c r="T8" s="6"/>
      <c r="U8" s="5"/>
      <c r="V8" s="6"/>
      <c r="W8" s="6"/>
      <c r="X8" s="6"/>
      <c r="Y8" s="15"/>
      <c r="Z8" s="6"/>
      <c r="AA8" s="6"/>
      <c r="AB8" s="5"/>
      <c r="AC8" s="3"/>
      <c r="AD8" s="6">
        <f>SUM(AD201:AD205)</f>
      </c>
      <c r="AE8" s="6">
        <f>SUM(AE201:AE205)</f>
      </c>
      <c r="AF8" s="5">
        <f>SUM(AF201:AF205)</f>
      </c>
      <c r="AG8" s="6">
        <f>SUM(AG201:AG205)</f>
      </c>
      <c r="AH8" s="7">
        <f>SUM(AH201:AH205)</f>
      </c>
      <c r="AI8" s="6">
        <f>SUM(AD8:AE8,AG8)</f>
      </c>
      <c r="AJ8" s="6">
        <f>L8+M8+O8</f>
      </c>
      <c r="AK8" s="3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3"/>
      <c r="BE8" s="3"/>
      <c r="BF8" s="7"/>
    </row>
    <row x14ac:dyDescent="0.25" r="9" customHeight="1" ht="12.75">
      <c r="A9" s="5">
        <f>COUNT(K206:K209)</f>
      </c>
      <c r="B9" s="3" t="s">
        <v>855</v>
      </c>
      <c r="C9" s="3" t="s">
        <v>862</v>
      </c>
      <c r="D9" s="12" t="s">
        <v>857</v>
      </c>
      <c r="E9" s="3"/>
      <c r="F9" s="6"/>
      <c r="G9" s="6"/>
      <c r="H9" s="6"/>
      <c r="I9" s="13" t="s">
        <v>855</v>
      </c>
      <c r="J9" s="3"/>
      <c r="K9" s="14">
        <f>SUM(K206:K209)</f>
      </c>
      <c r="L9" s="6">
        <f>100*AD9/$K9</f>
      </c>
      <c r="M9" s="6">
        <f>100*AE9/$K9</f>
      </c>
      <c r="N9" s="6">
        <f>AF9/$K9</f>
      </c>
      <c r="O9" s="6">
        <f>100*AG9/$K9</f>
      </c>
      <c r="P9" s="6">
        <f>AH9/$K9</f>
      </c>
      <c r="Q9" s="7"/>
      <c r="R9" s="6"/>
      <c r="S9" s="6"/>
      <c r="T9" s="6"/>
      <c r="U9" s="5"/>
      <c r="V9" s="6"/>
      <c r="W9" s="6"/>
      <c r="X9" s="6"/>
      <c r="Y9" s="15"/>
      <c r="Z9" s="6"/>
      <c r="AA9" s="6"/>
      <c r="AB9" s="5"/>
      <c r="AC9" s="3"/>
      <c r="AD9" s="6">
        <f>SUM(AD206:AD209)</f>
      </c>
      <c r="AE9" s="6">
        <f>SUM(AE206:AE209)</f>
      </c>
      <c r="AF9" s="5">
        <f>SUM(AF206:AF209)</f>
      </c>
      <c r="AG9" s="6">
        <f>SUM(AG206:AG209)</f>
      </c>
      <c r="AH9" s="7">
        <f>SUM(AH206:AH209)</f>
      </c>
      <c r="AI9" s="6">
        <f>SUM(AD9:AE9,AG9)</f>
      </c>
      <c r="AJ9" s="6">
        <f>L9+M9+O9</f>
      </c>
      <c r="AK9" s="3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3"/>
      <c r="BE9" s="3"/>
      <c r="BF9" s="7"/>
    </row>
    <row x14ac:dyDescent="0.25" r="10" customHeight="1" ht="12.75">
      <c r="A10" s="5">
        <f>COUNT(K210:K221)</f>
      </c>
      <c r="B10" s="3" t="s">
        <v>855</v>
      </c>
      <c r="C10" s="3" t="s">
        <v>863</v>
      </c>
      <c r="D10" s="12" t="s">
        <v>857</v>
      </c>
      <c r="E10" s="3"/>
      <c r="F10" s="6"/>
      <c r="G10" s="6"/>
      <c r="H10" s="6"/>
      <c r="I10" s="13" t="s">
        <v>855</v>
      </c>
      <c r="J10" s="3"/>
      <c r="K10" s="14">
        <f>SUM(K210:K221)</f>
      </c>
      <c r="L10" s="6">
        <f>100*AD10/$K10</f>
      </c>
      <c r="M10" s="6">
        <f>100*AE10/$K10</f>
      </c>
      <c r="N10" s="6">
        <f>AF10/$K10</f>
      </c>
      <c r="O10" s="6">
        <f>100*AG10/$K10</f>
      </c>
      <c r="P10" s="6">
        <f>AH10/$K10</f>
      </c>
      <c r="Q10" s="7"/>
      <c r="R10" s="6"/>
      <c r="S10" s="6"/>
      <c r="T10" s="6"/>
      <c r="U10" s="5"/>
      <c r="V10" s="6"/>
      <c r="W10" s="6"/>
      <c r="X10" s="6"/>
      <c r="Y10" s="15"/>
      <c r="Z10" s="6"/>
      <c r="AA10" s="6"/>
      <c r="AB10" s="5"/>
      <c r="AC10" s="3"/>
      <c r="AD10" s="6">
        <f>SUM(AD210:AD221)</f>
      </c>
      <c r="AE10" s="6">
        <f>SUM(AE210:AE221)</f>
      </c>
      <c r="AF10" s="5">
        <f>SUM(AF210:AF221)</f>
      </c>
      <c r="AG10" s="6">
        <f>SUM(AG210:AG221)</f>
      </c>
      <c r="AH10" s="7">
        <f>SUM(AH210:AH221)</f>
      </c>
      <c r="AI10" s="6">
        <f>SUM(AD10:AE10,AG10)</f>
      </c>
      <c r="AJ10" s="6">
        <f>L10+M10+O10</f>
      </c>
      <c r="AK10" s="3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3"/>
      <c r="BE10" s="3"/>
      <c r="BF10" s="7"/>
    </row>
    <row x14ac:dyDescent="0.25" r="11" customHeight="1" ht="12.75">
      <c r="A11" s="5">
        <f>COUNT(K222)</f>
      </c>
      <c r="B11" s="3" t="s">
        <v>859</v>
      </c>
      <c r="C11" s="3" t="s">
        <v>863</v>
      </c>
      <c r="D11" s="16" t="s">
        <v>858</v>
      </c>
      <c r="E11" s="3"/>
      <c r="F11" s="6"/>
      <c r="G11" s="6"/>
      <c r="H11" s="6"/>
      <c r="I11" s="21" t="s">
        <v>859</v>
      </c>
      <c r="J11" s="3"/>
      <c r="K11" s="22">
        <f>SUM(K222)</f>
      </c>
      <c r="L11" s="6">
        <f>100*AD11/$K11</f>
      </c>
      <c r="M11" s="6">
        <f>100*AE11/$K11</f>
      </c>
      <c r="N11" s="6">
        <f>AF11/$K11</f>
      </c>
      <c r="O11" s="6"/>
      <c r="P11" s="6">
        <f>AH11/$K11</f>
      </c>
      <c r="Q11" s="7"/>
      <c r="R11" s="6"/>
      <c r="S11" s="6"/>
      <c r="T11" s="6"/>
      <c r="U11" s="5"/>
      <c r="V11" s="6"/>
      <c r="W11" s="6"/>
      <c r="X11" s="6"/>
      <c r="Y11" s="15"/>
      <c r="Z11" s="6"/>
      <c r="AA11" s="6"/>
      <c r="AB11" s="5"/>
      <c r="AC11" s="3"/>
      <c r="AD11" s="6">
        <f>SUM(AD222)</f>
      </c>
      <c r="AE11" s="6">
        <f>SUM(AE222)</f>
      </c>
      <c r="AF11" s="5">
        <f>SUM(AF222)</f>
      </c>
      <c r="AG11" s="6"/>
      <c r="AH11" s="7">
        <f>SUM(AH222)</f>
      </c>
      <c r="AI11" s="6">
        <f>SUM(AD11:AE11,AG11)</f>
      </c>
      <c r="AJ11" s="6">
        <f>L11+M11+O11</f>
      </c>
      <c r="AK11" s="3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3"/>
      <c r="BE11" s="3"/>
      <c r="BF11" s="7"/>
    </row>
    <row x14ac:dyDescent="0.25" r="12" customHeight="1" ht="12.75">
      <c r="A12" s="5">
        <f>COUNT(K223:K224)</f>
      </c>
      <c r="B12" s="3" t="s">
        <v>855</v>
      </c>
      <c r="C12" s="3" t="s">
        <v>864</v>
      </c>
      <c r="D12" s="12" t="s">
        <v>857</v>
      </c>
      <c r="E12" s="3"/>
      <c r="F12" s="6"/>
      <c r="G12" s="6"/>
      <c r="H12" s="6"/>
      <c r="I12" s="13" t="s">
        <v>855</v>
      </c>
      <c r="J12" s="3"/>
      <c r="K12" s="14">
        <f>SUM(K223:K224)</f>
      </c>
      <c r="L12" s="6">
        <f>100*AD12/$K12</f>
      </c>
      <c r="M12" s="6">
        <f>100*AE12/$K12</f>
      </c>
      <c r="N12" s="6">
        <f>AF12/$K12</f>
      </c>
      <c r="O12" s="6">
        <f>100*AG12/$K12</f>
      </c>
      <c r="P12" s="23">
        <f>AH12/$K12</f>
      </c>
      <c r="Q12" s="7"/>
      <c r="R12" s="6"/>
      <c r="S12" s="6"/>
      <c r="T12" s="6"/>
      <c r="U12" s="5"/>
      <c r="V12" s="6"/>
      <c r="W12" s="6"/>
      <c r="X12" s="6"/>
      <c r="Y12" s="15"/>
      <c r="Z12" s="6"/>
      <c r="AA12" s="6"/>
      <c r="AB12" s="5"/>
      <c r="AC12" s="3"/>
      <c r="AD12" s="6">
        <f>SUM(AD223:AD224)</f>
      </c>
      <c r="AE12" s="6">
        <f>SUM(AE223:AE224)</f>
      </c>
      <c r="AF12" s="5">
        <f>SUM(AF223:AF224)</f>
      </c>
      <c r="AG12" s="6">
        <f>SUM(AG223:AG224)</f>
      </c>
      <c r="AH12" s="6">
        <f>SUM(AH223:AH224)</f>
      </c>
      <c r="AI12" s="6">
        <f>SUM(AD12:AE12,AG12)</f>
      </c>
      <c r="AJ12" s="6">
        <f>L12+M12+O12</f>
      </c>
      <c r="AK12" s="3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3"/>
      <c r="BE12" s="3"/>
      <c r="BF12" s="7"/>
    </row>
    <row x14ac:dyDescent="0.25" r="13" customHeight="1" ht="12.75">
      <c r="A13" s="5">
        <f>COUNT(K225:K229)</f>
      </c>
      <c r="B13" s="3" t="s">
        <v>855</v>
      </c>
      <c r="C13" s="3" t="s">
        <v>864</v>
      </c>
      <c r="D13" s="16" t="s">
        <v>858</v>
      </c>
      <c r="E13" s="3"/>
      <c r="F13" s="6"/>
      <c r="G13" s="6"/>
      <c r="H13" s="6"/>
      <c r="I13" s="17" t="s">
        <v>855</v>
      </c>
      <c r="J13" s="3"/>
      <c r="K13" s="18">
        <f>SUM(K225:K229)</f>
      </c>
      <c r="L13" s="6">
        <f>100*AD13/$K13</f>
      </c>
      <c r="M13" s="6">
        <f>100*AE13/$K13</f>
      </c>
      <c r="N13" s="6">
        <f>AF13/$K13</f>
      </c>
      <c r="O13" s="6">
        <f>100*AG13/$K13</f>
      </c>
      <c r="P13" s="6">
        <f>AH13/$K13</f>
      </c>
      <c r="Q13" s="7"/>
      <c r="R13" s="6"/>
      <c r="S13" s="6"/>
      <c r="T13" s="6"/>
      <c r="U13" s="5"/>
      <c r="V13" s="6"/>
      <c r="W13" s="6"/>
      <c r="X13" s="6"/>
      <c r="Y13" s="15"/>
      <c r="Z13" s="6"/>
      <c r="AA13" s="6"/>
      <c r="AB13" s="5"/>
      <c r="AC13" s="3"/>
      <c r="AD13" s="6">
        <f>SUM(AD225:AD229)</f>
      </c>
      <c r="AE13" s="6">
        <f>SUM(AE225:AE229)</f>
      </c>
      <c r="AF13" s="5">
        <f>SUM(AF225:AF229)</f>
      </c>
      <c r="AG13" s="6">
        <f>SUM(AG225:AG229)</f>
      </c>
      <c r="AH13" s="7">
        <f>SUM(AH225:AH229)</f>
      </c>
      <c r="AI13" s="6">
        <f>SUM(AD13:AE13,AG13)</f>
      </c>
      <c r="AJ13" s="6">
        <f>L13+M13+O13</f>
      </c>
      <c r="AK13" s="3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3"/>
      <c r="BE13" s="3"/>
      <c r="BF13" s="7"/>
    </row>
    <row x14ac:dyDescent="0.25" r="14" customHeight="1" ht="12.75">
      <c r="A14" s="5">
        <f>COUNT(K230)</f>
      </c>
      <c r="B14" s="3" t="s">
        <v>859</v>
      </c>
      <c r="C14" s="3" t="s">
        <v>864</v>
      </c>
      <c r="D14" s="16" t="s">
        <v>858</v>
      </c>
      <c r="E14" s="3"/>
      <c r="F14" s="6"/>
      <c r="G14" s="6"/>
      <c r="H14" s="6"/>
      <c r="I14" s="21" t="s">
        <v>859</v>
      </c>
      <c r="J14" s="3"/>
      <c r="K14" s="22">
        <f>SUM(K230)</f>
      </c>
      <c r="L14" s="6"/>
      <c r="M14" s="6">
        <f>100*AE14/$K14</f>
      </c>
      <c r="N14" s="6">
        <f>AF14/$K14</f>
      </c>
      <c r="O14" s="6">
        <f>100*AG14/$K14</f>
      </c>
      <c r="P14" s="6">
        <f>AH14/$K14</f>
      </c>
      <c r="Q14" s="7"/>
      <c r="R14" s="6"/>
      <c r="S14" s="6"/>
      <c r="T14" s="6"/>
      <c r="U14" s="5"/>
      <c r="V14" s="6"/>
      <c r="W14" s="6"/>
      <c r="X14" s="6"/>
      <c r="Y14" s="15"/>
      <c r="Z14" s="6"/>
      <c r="AA14" s="6"/>
      <c r="AB14" s="5"/>
      <c r="AC14" s="3"/>
      <c r="AD14" s="6"/>
      <c r="AE14" s="6">
        <f>SUM(AE230)</f>
      </c>
      <c r="AF14" s="5">
        <f>SUM(AF230)</f>
      </c>
      <c r="AG14" s="6">
        <f>SUM(AG230)</f>
      </c>
      <c r="AH14" s="7">
        <f>SUM(AH230)</f>
      </c>
      <c r="AI14" s="6">
        <f>SUM(AD14:AE14,AG14)</f>
      </c>
      <c r="AJ14" s="6">
        <f>L14+M14+O14</f>
      </c>
      <c r="AK14" s="3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3"/>
      <c r="BE14" s="3"/>
      <c r="BF14" s="7"/>
    </row>
    <row x14ac:dyDescent="0.25" r="15" customHeight="1" ht="12.75">
      <c r="A15" s="5">
        <f>COUNT(K231:K232)</f>
      </c>
      <c r="B15" s="3" t="s">
        <v>855</v>
      </c>
      <c r="C15" s="3" t="s">
        <v>865</v>
      </c>
      <c r="D15" s="12" t="s">
        <v>857</v>
      </c>
      <c r="E15" s="3"/>
      <c r="F15" s="6"/>
      <c r="G15" s="6"/>
      <c r="H15" s="6"/>
      <c r="I15" s="13" t="s">
        <v>855</v>
      </c>
      <c r="J15" s="3"/>
      <c r="K15" s="14">
        <f>SUM(K231:K232)</f>
      </c>
      <c r="L15" s="6">
        <f>100*AD15/$K15</f>
      </c>
      <c r="M15" s="6">
        <f>100*AE15/$K15</f>
      </c>
      <c r="N15" s="6">
        <f>AF15/$K15</f>
      </c>
      <c r="O15" s="6"/>
      <c r="P15" s="6">
        <f>AH15/$K15</f>
      </c>
      <c r="Q15" s="7"/>
      <c r="R15" s="6"/>
      <c r="S15" s="6"/>
      <c r="T15" s="6"/>
      <c r="U15" s="5"/>
      <c r="V15" s="6"/>
      <c r="W15" s="6"/>
      <c r="X15" s="6"/>
      <c r="Y15" s="15"/>
      <c r="Z15" s="6"/>
      <c r="AA15" s="6"/>
      <c r="AB15" s="5"/>
      <c r="AC15" s="3"/>
      <c r="AD15" s="6">
        <f>SUM(AD231:AD232)</f>
      </c>
      <c r="AE15" s="6">
        <f>SUM(AE231:AE232)</f>
      </c>
      <c r="AF15" s="5">
        <f>SUM(AF231:AF232)</f>
      </c>
      <c r="AG15" s="6">
        <f>SUM(AG231:AG232)</f>
      </c>
      <c r="AH15" s="7">
        <f>SUM(AH231:AH232)</f>
      </c>
      <c r="AI15" s="6">
        <f>SUM(AD15:AE15,AG15)</f>
      </c>
      <c r="AJ15" s="6">
        <f>L15+M15+O15</f>
      </c>
      <c r="AK15" s="3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3"/>
      <c r="BE15" s="3"/>
      <c r="BF15" s="7"/>
    </row>
    <row x14ac:dyDescent="0.25" r="16" customHeight="1" ht="12.75">
      <c r="A16" s="5">
        <f>COUNT(K233:K243)</f>
      </c>
      <c r="B16" s="3" t="s">
        <v>855</v>
      </c>
      <c r="C16" s="3" t="s">
        <v>865</v>
      </c>
      <c r="D16" s="16" t="s">
        <v>858</v>
      </c>
      <c r="E16" s="3"/>
      <c r="F16" s="6"/>
      <c r="G16" s="6"/>
      <c r="H16" s="6"/>
      <c r="I16" s="17" t="s">
        <v>855</v>
      </c>
      <c r="J16" s="3"/>
      <c r="K16" s="18">
        <f>SUM(K233:K243)</f>
      </c>
      <c r="L16" s="6">
        <f>100*AD16/$K16</f>
      </c>
      <c r="M16" s="6">
        <f>100*AE16/$K16</f>
      </c>
      <c r="N16" s="6">
        <f>AF16/$K16</f>
      </c>
      <c r="O16" s="6">
        <f>100*AG16/$K16</f>
      </c>
      <c r="P16" s="6">
        <f>AH16/$K16</f>
      </c>
      <c r="Q16" s="7"/>
      <c r="R16" s="6"/>
      <c r="S16" s="6"/>
      <c r="T16" s="6"/>
      <c r="U16" s="5"/>
      <c r="V16" s="6"/>
      <c r="W16" s="6"/>
      <c r="X16" s="6"/>
      <c r="Y16" s="15"/>
      <c r="Z16" s="6"/>
      <c r="AA16" s="6"/>
      <c r="AB16" s="5"/>
      <c r="AC16" s="3"/>
      <c r="AD16" s="6">
        <f>SUM(AD233:AD243)</f>
      </c>
      <c r="AE16" s="6">
        <f>SUM(AE233:AE243)</f>
      </c>
      <c r="AF16" s="5">
        <f>SUM(AF233:AF243)</f>
      </c>
      <c r="AG16" s="6">
        <f>SUM(AG233:AG243)</f>
      </c>
      <c r="AH16" s="7">
        <f>SUM(AH233:AH243)</f>
      </c>
      <c r="AI16" s="6">
        <f>SUM(AD16:AE16,AG16)</f>
      </c>
      <c r="AJ16" s="6">
        <f>L16+M16+O16</f>
      </c>
      <c r="AK16" s="3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3"/>
      <c r="BE16" s="3"/>
      <c r="BF16" s="7"/>
    </row>
    <row x14ac:dyDescent="0.25" r="17" customHeight="1" ht="12.75">
      <c r="A17" s="5">
        <f>COUNT(K244:K245)</f>
      </c>
      <c r="B17" s="3" t="s">
        <v>859</v>
      </c>
      <c r="C17" s="3" t="s">
        <v>865</v>
      </c>
      <c r="D17" s="12" t="s">
        <v>857</v>
      </c>
      <c r="E17" s="3"/>
      <c r="F17" s="6"/>
      <c r="G17" s="6"/>
      <c r="H17" s="6"/>
      <c r="I17" s="13" t="s">
        <v>859</v>
      </c>
      <c r="J17" s="3"/>
      <c r="K17" s="14">
        <f>SUM(K244:K245)</f>
      </c>
      <c r="L17" s="6">
        <f>100*AD17/$K17</f>
      </c>
      <c r="M17" s="6">
        <f>100*AE17/$K17</f>
      </c>
      <c r="N17" s="6">
        <f>AF17/$K17</f>
      </c>
      <c r="O17" s="6"/>
      <c r="P17" s="6"/>
      <c r="Q17" s="7"/>
      <c r="R17" s="6"/>
      <c r="S17" s="6"/>
      <c r="T17" s="6"/>
      <c r="U17" s="5"/>
      <c r="V17" s="6"/>
      <c r="W17" s="6"/>
      <c r="X17" s="6"/>
      <c r="Y17" s="15"/>
      <c r="Z17" s="6"/>
      <c r="AA17" s="6"/>
      <c r="AB17" s="5"/>
      <c r="AC17" s="3"/>
      <c r="AD17" s="6">
        <f>SUM(AD244:AD245)</f>
      </c>
      <c r="AE17" s="6">
        <f>SUM(AE244:AE245)</f>
      </c>
      <c r="AF17" s="5">
        <f>SUM(AF244:AF245)</f>
      </c>
      <c r="AG17" s="6"/>
      <c r="AH17" s="7"/>
      <c r="AI17" s="6">
        <f>SUM(AD17:AE17,AG17)</f>
      </c>
      <c r="AJ17" s="6">
        <f>L17+M17+O17</f>
      </c>
      <c r="AK17" s="3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3"/>
      <c r="BE17" s="3"/>
      <c r="BF17" s="7"/>
    </row>
    <row x14ac:dyDescent="0.25" r="18" customHeight="1" ht="12.75">
      <c r="A18" s="5">
        <f>COUNT(K246)</f>
      </c>
      <c r="B18" s="3" t="s">
        <v>859</v>
      </c>
      <c r="C18" s="3" t="s">
        <v>865</v>
      </c>
      <c r="D18" s="16" t="s">
        <v>858</v>
      </c>
      <c r="E18" s="3"/>
      <c r="F18" s="6"/>
      <c r="G18" s="6"/>
      <c r="H18" s="6"/>
      <c r="I18" s="21" t="s">
        <v>859</v>
      </c>
      <c r="J18" s="3"/>
      <c r="K18" s="22">
        <f>SUM(K246)</f>
      </c>
      <c r="L18" s="6">
        <f>100*AD18/$K18</f>
      </c>
      <c r="M18" s="6">
        <f>100*AE18/$K18</f>
      </c>
      <c r="N18" s="6">
        <f>AF18/$K18</f>
      </c>
      <c r="O18" s="6">
        <f>100*AG18/$K18</f>
      </c>
      <c r="P18" s="6">
        <f>AH18/$K18</f>
      </c>
      <c r="Q18" s="7"/>
      <c r="R18" s="6"/>
      <c r="S18" s="6"/>
      <c r="T18" s="6"/>
      <c r="U18" s="5"/>
      <c r="V18" s="6"/>
      <c r="W18" s="6"/>
      <c r="X18" s="6"/>
      <c r="Y18" s="15"/>
      <c r="Z18" s="6"/>
      <c r="AA18" s="6"/>
      <c r="AB18" s="5"/>
      <c r="AC18" s="3"/>
      <c r="AD18" s="6">
        <f>SUM(AD246)</f>
      </c>
      <c r="AE18" s="6">
        <f>SUM(AE246)</f>
      </c>
      <c r="AF18" s="5">
        <f>SUM(AF246)</f>
      </c>
      <c r="AG18" s="6">
        <f>SUM(AG246)</f>
      </c>
      <c r="AH18" s="7">
        <f>SUM(AH246)</f>
      </c>
      <c r="AI18" s="6">
        <f>SUM(AD18:AE18,AG18)</f>
      </c>
      <c r="AJ18" s="6">
        <f>L18+M18+O18</f>
      </c>
      <c r="AK18" s="3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3"/>
      <c r="BE18" s="3"/>
      <c r="BF18" s="7"/>
    </row>
    <row x14ac:dyDescent="0.25" r="19" customHeight="1" ht="12.75">
      <c r="A19" s="5">
        <f>COUNT(K247:K370)</f>
      </c>
      <c r="B19" s="3" t="s">
        <v>855</v>
      </c>
      <c r="C19" s="3" t="s">
        <v>866</v>
      </c>
      <c r="D19" s="12" t="s">
        <v>857</v>
      </c>
      <c r="E19" s="3"/>
      <c r="F19" s="6"/>
      <c r="G19" s="6"/>
      <c r="H19" s="6"/>
      <c r="I19" s="13" t="s">
        <v>855</v>
      </c>
      <c r="J19" s="3"/>
      <c r="K19" s="14">
        <f>SUM(K247:K370)</f>
      </c>
      <c r="L19" s="6">
        <f>100*AD19/$K19</f>
      </c>
      <c r="M19" s="6">
        <f>100*AE19/$K19</f>
      </c>
      <c r="N19" s="6">
        <f>AF19/$K19</f>
      </c>
      <c r="O19" s="6">
        <f>100*AG19/$K19</f>
      </c>
      <c r="P19" s="6">
        <f>AH19/$K19</f>
      </c>
      <c r="Q19" s="7"/>
      <c r="R19" s="6"/>
      <c r="S19" s="6"/>
      <c r="T19" s="6"/>
      <c r="U19" s="5"/>
      <c r="V19" s="6"/>
      <c r="W19" s="6"/>
      <c r="X19" s="6"/>
      <c r="Y19" s="15"/>
      <c r="Z19" s="6"/>
      <c r="AA19" s="6"/>
      <c r="AB19" s="5"/>
      <c r="AC19" s="3"/>
      <c r="AD19" s="6">
        <f>SUM(AD247:AD370)</f>
      </c>
      <c r="AE19" s="6">
        <f>SUM(AE247:AE370)</f>
      </c>
      <c r="AF19" s="5">
        <f>SUM(AF247:AF370)</f>
      </c>
      <c r="AG19" s="6">
        <f>SUM(AG247:AG370)</f>
      </c>
      <c r="AH19" s="7">
        <f>SUM(AH247:AH370)</f>
      </c>
      <c r="AI19" s="6">
        <f>SUM(AD19:AE19,AG19)</f>
      </c>
      <c r="AJ19" s="6">
        <f>L19+M19+O19</f>
      </c>
      <c r="AK19" s="3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3"/>
      <c r="BE19" s="3"/>
      <c r="BF19" s="7"/>
    </row>
    <row x14ac:dyDescent="0.25" r="20" customHeight="1" ht="12.75">
      <c r="A20" s="5">
        <f>COUNT(K371:K379)</f>
      </c>
      <c r="B20" s="3" t="s">
        <v>855</v>
      </c>
      <c r="C20" s="3" t="s">
        <v>866</v>
      </c>
      <c r="D20" s="16" t="s">
        <v>858</v>
      </c>
      <c r="E20" s="3"/>
      <c r="F20" s="6"/>
      <c r="G20" s="6"/>
      <c r="H20" s="6"/>
      <c r="I20" s="17" t="s">
        <v>855</v>
      </c>
      <c r="J20" s="3"/>
      <c r="K20" s="18">
        <f>SUM(K371:K379)</f>
      </c>
      <c r="L20" s="6">
        <f>100*AD20/$K20</f>
      </c>
      <c r="M20" s="6">
        <f>100*AE20/$K20</f>
      </c>
      <c r="N20" s="6">
        <f>AF20/$K20</f>
      </c>
      <c r="O20" s="6">
        <f>100*AG20/$K20</f>
      </c>
      <c r="P20" s="6">
        <f>AH20/$K20</f>
      </c>
      <c r="Q20" s="7"/>
      <c r="R20" s="6"/>
      <c r="S20" s="6"/>
      <c r="T20" s="6"/>
      <c r="U20" s="5"/>
      <c r="V20" s="6"/>
      <c r="W20" s="6"/>
      <c r="X20" s="6"/>
      <c r="Y20" s="15"/>
      <c r="Z20" s="6"/>
      <c r="AA20" s="6"/>
      <c r="AB20" s="5"/>
      <c r="AC20" s="3"/>
      <c r="AD20" s="6">
        <f>SUM(AD371:AD379)</f>
      </c>
      <c r="AE20" s="6">
        <f>SUM(AE371:AE379)</f>
      </c>
      <c r="AF20" s="5">
        <f>SUM(AF371:AF379)</f>
      </c>
      <c r="AG20" s="6">
        <f>SUM(AG371:AG379)</f>
      </c>
      <c r="AH20" s="7">
        <f>SUM(AH371:AH379)</f>
      </c>
      <c r="AI20" s="6">
        <f>SUM(AD20:AE20,AG20)</f>
      </c>
      <c r="AJ20" s="6">
        <f>L20+M20+O20</f>
      </c>
      <c r="AK20" s="3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3"/>
      <c r="BE20" s="3"/>
      <c r="BF20" s="7"/>
    </row>
    <row x14ac:dyDescent="0.25" r="21" customHeight="1" ht="12.75">
      <c r="A21" s="5">
        <f>COUNT(K380:K508)</f>
      </c>
      <c r="B21" s="3" t="s">
        <v>859</v>
      </c>
      <c r="C21" s="3" t="s">
        <v>866</v>
      </c>
      <c r="D21" s="12" t="s">
        <v>857</v>
      </c>
      <c r="E21" s="3"/>
      <c r="F21" s="6"/>
      <c r="G21" s="6"/>
      <c r="H21" s="6"/>
      <c r="I21" s="19" t="s">
        <v>859</v>
      </c>
      <c r="J21" s="3"/>
      <c r="K21" s="20">
        <f>SUM(K380:K508)</f>
      </c>
      <c r="L21" s="6">
        <f>100*AD21/$K21</f>
      </c>
      <c r="M21" s="6">
        <f>100*AE21/$K21</f>
      </c>
      <c r="N21" s="6">
        <f>AF21/$K21</f>
      </c>
      <c r="O21" s="6">
        <f>100*AG21/$K21</f>
      </c>
      <c r="P21" s="6">
        <f>AH21/$K21</f>
      </c>
      <c r="Q21" s="7"/>
      <c r="R21" s="6"/>
      <c r="S21" s="6"/>
      <c r="T21" s="6"/>
      <c r="U21" s="5"/>
      <c r="V21" s="6"/>
      <c r="W21" s="6"/>
      <c r="X21" s="6"/>
      <c r="Y21" s="15"/>
      <c r="Z21" s="6"/>
      <c r="AA21" s="6"/>
      <c r="AB21" s="5"/>
      <c r="AC21" s="3"/>
      <c r="AD21" s="6">
        <f>SUM(AD380:AD508)</f>
      </c>
      <c r="AE21" s="6">
        <f>SUM(AE380:AE508)</f>
      </c>
      <c r="AF21" s="5">
        <f>SUM(AF380:AF508)</f>
      </c>
      <c r="AG21" s="6">
        <f>SUM(AG380:AG508)</f>
      </c>
      <c r="AH21" s="7">
        <f>SUM(AH380:AH508)</f>
      </c>
      <c r="AI21" s="6">
        <f>SUM(AD21:AE21,AG21)</f>
      </c>
      <c r="AJ21" s="6">
        <f>L21+M21+O21</f>
      </c>
      <c r="AK21" s="3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3"/>
      <c r="BE21" s="3"/>
      <c r="BF21" s="7"/>
    </row>
    <row x14ac:dyDescent="0.25" r="22" customHeight="1" ht="12.75">
      <c r="A22" s="5">
        <f>COUNT(K509:K521)</f>
      </c>
      <c r="B22" s="3" t="s">
        <v>859</v>
      </c>
      <c r="C22" s="3" t="s">
        <v>866</v>
      </c>
      <c r="D22" s="16" t="s">
        <v>858</v>
      </c>
      <c r="E22" s="3"/>
      <c r="F22" s="6"/>
      <c r="G22" s="6"/>
      <c r="H22" s="6"/>
      <c r="I22" s="21" t="s">
        <v>859</v>
      </c>
      <c r="J22" s="3"/>
      <c r="K22" s="22">
        <f>SUM(K509:K521)</f>
      </c>
      <c r="L22" s="6">
        <f>100*AD22/$K22</f>
      </c>
      <c r="M22" s="6">
        <f>100*AE22/$K22</f>
      </c>
      <c r="N22" s="6">
        <f>AF22/$K22</f>
      </c>
      <c r="O22" s="6">
        <f>100*AG22/$K22</f>
      </c>
      <c r="P22" s="6">
        <f>AH22/$K22</f>
      </c>
      <c r="Q22" s="7"/>
      <c r="R22" s="6"/>
      <c r="S22" s="6"/>
      <c r="T22" s="6"/>
      <c r="U22" s="5"/>
      <c r="V22" s="6"/>
      <c r="W22" s="6"/>
      <c r="X22" s="6"/>
      <c r="Y22" s="15"/>
      <c r="Z22" s="6"/>
      <c r="AA22" s="6"/>
      <c r="AB22" s="5"/>
      <c r="AC22" s="3"/>
      <c r="AD22" s="6">
        <f>SUM(AD509:AD521)</f>
      </c>
      <c r="AE22" s="6">
        <f>SUM(AE509:AE521)</f>
      </c>
      <c r="AF22" s="5">
        <f>SUM(AF509:AF521)</f>
      </c>
      <c r="AG22" s="6">
        <f>SUM(AG509:AG521)</f>
      </c>
      <c r="AH22" s="7">
        <f>SUM(AH509:AH521)</f>
      </c>
      <c r="AI22" s="6">
        <f>SUM(AD22:AE22,AG22)</f>
      </c>
      <c r="AJ22" s="6">
        <f>L22+M22+O22</f>
      </c>
      <c r="AK22" s="3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3"/>
      <c r="BE22" s="3"/>
      <c r="BF22" s="7"/>
    </row>
    <row x14ac:dyDescent="0.25" r="23" customHeight="1" ht="12.75">
      <c r="A23" s="5">
        <f>COUNT(K893)</f>
      </c>
      <c r="B23" s="3" t="s">
        <v>867</v>
      </c>
      <c r="C23" s="3" t="s">
        <v>866</v>
      </c>
      <c r="D23" s="12" t="s">
        <v>857</v>
      </c>
      <c r="E23" s="3"/>
      <c r="F23" s="6"/>
      <c r="G23" s="6"/>
      <c r="H23" s="6"/>
      <c r="I23" s="13" t="s">
        <v>867</v>
      </c>
      <c r="J23" s="3"/>
      <c r="K23" s="14">
        <f>SUM(K893)</f>
      </c>
      <c r="L23" s="6">
        <f>100*AD23/$K23</f>
      </c>
      <c r="M23" s="6">
        <f>100*AE23/$K23</f>
      </c>
      <c r="N23" s="6">
        <f>AF23/$K23</f>
      </c>
      <c r="O23" s="6"/>
      <c r="P23" s="6"/>
      <c r="Q23" s="7"/>
      <c r="R23" s="6"/>
      <c r="S23" s="6"/>
      <c r="T23" s="6"/>
      <c r="U23" s="5"/>
      <c r="V23" s="6"/>
      <c r="W23" s="6"/>
      <c r="X23" s="6"/>
      <c r="Y23" s="15"/>
      <c r="Z23" s="6"/>
      <c r="AA23" s="6"/>
      <c r="AB23" s="5"/>
      <c r="AC23" s="3"/>
      <c r="AD23" s="6">
        <f>SUM(AD893)</f>
      </c>
      <c r="AE23" s="6">
        <f>SUM(AE893)</f>
      </c>
      <c r="AF23" s="5">
        <f>SUM(AF893)</f>
      </c>
      <c r="AG23" s="6"/>
      <c r="AH23" s="7"/>
      <c r="AI23" s="6">
        <f>SUM(AD23:AE23,AG23)</f>
      </c>
      <c r="AJ23" s="6">
        <f>L23+M23+O23</f>
      </c>
      <c r="AK23" s="3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3"/>
      <c r="BE23" s="3"/>
      <c r="BF23" s="7"/>
    </row>
    <row x14ac:dyDescent="0.25" r="24" customHeight="1" ht="12.75">
      <c r="A24" s="5">
        <f>COUNT(K522)</f>
      </c>
      <c r="B24" s="3" t="s">
        <v>855</v>
      </c>
      <c r="C24" s="3" t="s">
        <v>868</v>
      </c>
      <c r="D24" s="16" t="s">
        <v>858</v>
      </c>
      <c r="E24" s="3"/>
      <c r="F24" s="6"/>
      <c r="G24" s="6"/>
      <c r="H24" s="6"/>
      <c r="I24" s="17" t="s">
        <v>855</v>
      </c>
      <c r="J24" s="3"/>
      <c r="K24" s="18">
        <f>SUM(K522)</f>
      </c>
      <c r="L24" s="6">
        <f>100*AD24/$K24</f>
      </c>
      <c r="M24" s="6">
        <f>100*AE24/$K24</f>
      </c>
      <c r="N24" s="6">
        <f>AF24/$K24</f>
      </c>
      <c r="O24" s="6">
        <f>100*AG24/$K24</f>
      </c>
      <c r="P24" s="6">
        <f>AH24/$K24</f>
      </c>
      <c r="Q24" s="7"/>
      <c r="R24" s="6"/>
      <c r="S24" s="6"/>
      <c r="T24" s="6"/>
      <c r="U24" s="5"/>
      <c r="V24" s="6"/>
      <c r="W24" s="6"/>
      <c r="X24" s="6"/>
      <c r="Y24" s="15"/>
      <c r="Z24" s="6"/>
      <c r="AA24" s="6"/>
      <c r="AB24" s="5"/>
      <c r="AC24" s="3"/>
      <c r="AD24" s="6">
        <f>SUM(AD522)</f>
      </c>
      <c r="AE24" s="6">
        <f>SUM(AE522)</f>
      </c>
      <c r="AF24" s="5">
        <f>SUM(AF522)</f>
      </c>
      <c r="AG24" s="6">
        <f>SUM(AG522)</f>
      </c>
      <c r="AH24" s="7">
        <f>SUM(AH522)</f>
      </c>
      <c r="AI24" s="6">
        <f>SUM(AD24:AE24,AG24)</f>
      </c>
      <c r="AJ24" s="6">
        <f>L24+M24+O24</f>
      </c>
      <c r="AK24" s="3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3"/>
      <c r="BE24" s="3"/>
      <c r="BF24" s="7"/>
    </row>
    <row x14ac:dyDescent="0.25" r="25" customHeight="1" ht="12.75">
      <c r="A25" s="5">
        <f>COUNT(K523:K529)</f>
      </c>
      <c r="B25" s="3" t="s">
        <v>855</v>
      </c>
      <c r="C25" s="3" t="s">
        <v>868</v>
      </c>
      <c r="D25" s="12" t="s">
        <v>857</v>
      </c>
      <c r="E25" s="3"/>
      <c r="F25" s="6"/>
      <c r="G25" s="6"/>
      <c r="H25" s="6"/>
      <c r="I25" s="13" t="s">
        <v>855</v>
      </c>
      <c r="J25" s="3"/>
      <c r="K25" s="14">
        <f>SUM(K523:K529)</f>
      </c>
      <c r="L25" s="6">
        <f>100*AD25/$K25</f>
      </c>
      <c r="M25" s="6">
        <f>100*AE25/$K25</f>
      </c>
      <c r="N25" s="6">
        <f>AF25/$K25</f>
      </c>
      <c r="O25" s="6">
        <f>100*AG25/$K25</f>
      </c>
      <c r="P25" s="6"/>
      <c r="Q25" s="7"/>
      <c r="R25" s="6"/>
      <c r="S25" s="6"/>
      <c r="T25" s="6"/>
      <c r="U25" s="5"/>
      <c r="V25" s="6"/>
      <c r="W25" s="6"/>
      <c r="X25" s="6"/>
      <c r="Y25" s="15"/>
      <c r="Z25" s="6"/>
      <c r="AA25" s="6"/>
      <c r="AB25" s="5"/>
      <c r="AC25" s="3"/>
      <c r="AD25" s="6">
        <f>SUM(AD523:AD529)</f>
      </c>
      <c r="AE25" s="6">
        <f>SUM(AE523:AE529)</f>
      </c>
      <c r="AF25" s="5">
        <f>SUM(AF523:AF529)</f>
      </c>
      <c r="AG25" s="6">
        <f>SUM(AG523:AG529)</f>
      </c>
      <c r="AH25" s="7"/>
      <c r="AI25" s="6">
        <f>SUM(AD25:AE25,AG25)</f>
      </c>
      <c r="AJ25" s="6">
        <f>L25+M25+O25</f>
      </c>
      <c r="AK25" s="3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3"/>
      <c r="BE25" s="3"/>
      <c r="BF25" s="7"/>
    </row>
    <row x14ac:dyDescent="0.25" r="26" customHeight="1" ht="12.75">
      <c r="A26" s="5">
        <f>COUNT(K530)</f>
      </c>
      <c r="B26" s="3" t="s">
        <v>859</v>
      </c>
      <c r="C26" s="3" t="s">
        <v>868</v>
      </c>
      <c r="D26" s="12" t="s">
        <v>857</v>
      </c>
      <c r="E26" s="3"/>
      <c r="F26" s="6"/>
      <c r="G26" s="6"/>
      <c r="H26" s="6"/>
      <c r="I26" s="19" t="s">
        <v>859</v>
      </c>
      <c r="J26" s="3"/>
      <c r="K26" s="19">
        <f>SUM(K530)</f>
      </c>
      <c r="L26" s="6">
        <f>100*AD26/$K26</f>
      </c>
      <c r="M26" s="6">
        <f>100*AE26/$K26</f>
      </c>
      <c r="N26" s="5">
        <f>AF26/$K26</f>
      </c>
      <c r="O26" s="6"/>
      <c r="P26" s="6"/>
      <c r="Q26" s="7"/>
      <c r="R26" s="6"/>
      <c r="S26" s="6"/>
      <c r="T26" s="6"/>
      <c r="U26" s="5"/>
      <c r="V26" s="6"/>
      <c r="W26" s="6"/>
      <c r="X26" s="6"/>
      <c r="Y26" s="15"/>
      <c r="Z26" s="6"/>
      <c r="AA26" s="6"/>
      <c r="AB26" s="5"/>
      <c r="AC26" s="3"/>
      <c r="AD26" s="6">
        <f>SUM(AD530)</f>
      </c>
      <c r="AE26" s="23">
        <f>SUM(AE530)</f>
      </c>
      <c r="AF26" s="5">
        <f>SUM(AF530)</f>
      </c>
      <c r="AG26" s="6"/>
      <c r="AH26" s="7"/>
      <c r="AI26" s="6">
        <f>SUM(AD26:AE26,AG26)</f>
      </c>
      <c r="AJ26" s="6">
        <f>L26+M26+O26</f>
      </c>
      <c r="AK26" s="3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3"/>
      <c r="BE26" s="3"/>
      <c r="BF26" s="7"/>
    </row>
    <row x14ac:dyDescent="0.25" r="27" customHeight="1" ht="12.75">
      <c r="A27" s="5">
        <f>COUNT(K531:K577)</f>
      </c>
      <c r="B27" s="3" t="s">
        <v>855</v>
      </c>
      <c r="C27" s="3" t="s">
        <v>869</v>
      </c>
      <c r="D27" s="12" t="s">
        <v>857</v>
      </c>
      <c r="E27" s="3"/>
      <c r="F27" s="6"/>
      <c r="G27" s="6"/>
      <c r="H27" s="6"/>
      <c r="I27" s="13" t="s">
        <v>855</v>
      </c>
      <c r="J27" s="3"/>
      <c r="K27" s="14">
        <f>SUM(K531:K577)</f>
      </c>
      <c r="L27" s="6">
        <f>100*AD27/$K27</f>
      </c>
      <c r="M27" s="6">
        <f>100*AE27/$K27</f>
      </c>
      <c r="N27" s="6">
        <f>AF27/$K27</f>
      </c>
      <c r="O27" s="6">
        <f>100*AG27/$K27</f>
      </c>
      <c r="P27" s="6">
        <f>AH27/$K27</f>
      </c>
      <c r="Q27" s="7"/>
      <c r="R27" s="6"/>
      <c r="S27" s="6"/>
      <c r="T27" s="6"/>
      <c r="U27" s="5"/>
      <c r="V27" s="6"/>
      <c r="W27" s="6"/>
      <c r="X27" s="6"/>
      <c r="Y27" s="15"/>
      <c r="Z27" s="6"/>
      <c r="AA27" s="6"/>
      <c r="AB27" s="5"/>
      <c r="AC27" s="3"/>
      <c r="AD27" s="6">
        <f>SUM(AD531:AD577)</f>
      </c>
      <c r="AE27" s="6">
        <f>SUM(AE531:AE577)</f>
      </c>
      <c r="AF27" s="5">
        <f>SUM(AF531:AF577)</f>
      </c>
      <c r="AG27" s="6">
        <f>SUM(AG531:AG577)</f>
      </c>
      <c r="AH27" s="7">
        <f>SUM(AH531:AH577)</f>
      </c>
      <c r="AI27" s="6">
        <f>SUM(AD27:AE27,AG27)</f>
      </c>
      <c r="AJ27" s="6">
        <f>L27+M27+O27</f>
      </c>
      <c r="AK27" s="3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3"/>
      <c r="BE27" s="3"/>
      <c r="BF27" s="7"/>
    </row>
    <row x14ac:dyDescent="0.25" r="28" customHeight="1" ht="12.75">
      <c r="A28" s="5">
        <f>COUNT(K578:K602)</f>
      </c>
      <c r="B28" s="3" t="s">
        <v>855</v>
      </c>
      <c r="C28" s="3" t="s">
        <v>869</v>
      </c>
      <c r="D28" s="16" t="s">
        <v>858</v>
      </c>
      <c r="E28" s="3"/>
      <c r="F28" s="6"/>
      <c r="G28" s="6"/>
      <c r="H28" s="6"/>
      <c r="I28" s="17" t="s">
        <v>855</v>
      </c>
      <c r="J28" s="3"/>
      <c r="K28" s="18">
        <f>SUM(K578:K602)</f>
      </c>
      <c r="L28" s="6">
        <f>100*AD28/$K28</f>
      </c>
      <c r="M28" s="6">
        <f>100*AE28/$K28</f>
      </c>
      <c r="N28" s="6">
        <f>AF28/$K28</f>
      </c>
      <c r="O28" s="6">
        <f>100*AG28/$K28</f>
      </c>
      <c r="P28" s="6">
        <f>AH28/$K28</f>
      </c>
      <c r="Q28" s="7"/>
      <c r="R28" s="6"/>
      <c r="S28" s="6"/>
      <c r="T28" s="6"/>
      <c r="U28" s="5"/>
      <c r="V28" s="6"/>
      <c r="W28" s="6"/>
      <c r="X28" s="6"/>
      <c r="Y28" s="15"/>
      <c r="Z28" s="6"/>
      <c r="AA28" s="6"/>
      <c r="AB28" s="5"/>
      <c r="AC28" s="3"/>
      <c r="AD28" s="6">
        <f>SUM(AD578:AD602)</f>
      </c>
      <c r="AE28" s="6">
        <f>SUM(AE578:AE602)</f>
      </c>
      <c r="AF28" s="5">
        <f>SUM(AF578:AF602)</f>
      </c>
      <c r="AG28" s="6">
        <f>SUM(AG578:AG602)</f>
      </c>
      <c r="AH28" s="7">
        <f>SUM(AH578:AH602)</f>
      </c>
      <c r="AI28" s="6">
        <f>SUM(AD28:AE28,AG28)</f>
      </c>
      <c r="AJ28" s="6">
        <f>L28+M28+O28</f>
      </c>
      <c r="AK28" s="3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3"/>
      <c r="BE28" s="3"/>
      <c r="BF28" s="7"/>
    </row>
    <row x14ac:dyDescent="0.25" r="29" customHeight="1" ht="12.75">
      <c r="A29" s="5">
        <f>COUNT(K603:K615)</f>
      </c>
      <c r="B29" s="3" t="s">
        <v>859</v>
      </c>
      <c r="C29" s="3" t="s">
        <v>869</v>
      </c>
      <c r="D29" s="12" t="s">
        <v>857</v>
      </c>
      <c r="E29" s="3"/>
      <c r="F29" s="6"/>
      <c r="G29" s="6"/>
      <c r="H29" s="6"/>
      <c r="I29" s="19" t="s">
        <v>859</v>
      </c>
      <c r="J29" s="3"/>
      <c r="K29" s="20">
        <f>SUM(K603:K615)</f>
      </c>
      <c r="L29" s="6">
        <f>100*AD29/$K29</f>
      </c>
      <c r="M29" s="6">
        <f>100*AE29/$K29</f>
      </c>
      <c r="N29" s="6">
        <f>AF29/$K29</f>
      </c>
      <c r="O29" s="6">
        <f>100*AG29/$K29</f>
      </c>
      <c r="P29" s="6"/>
      <c r="Q29" s="7"/>
      <c r="R29" s="6"/>
      <c r="S29" s="6"/>
      <c r="T29" s="6"/>
      <c r="U29" s="5"/>
      <c r="V29" s="6"/>
      <c r="W29" s="6"/>
      <c r="X29" s="6"/>
      <c r="Y29" s="15"/>
      <c r="Z29" s="6"/>
      <c r="AA29" s="6"/>
      <c r="AB29" s="5"/>
      <c r="AC29" s="3"/>
      <c r="AD29" s="6">
        <f>SUM(AD603:AD615)</f>
      </c>
      <c r="AE29" s="6">
        <f>SUM(AE603:AE615)</f>
      </c>
      <c r="AF29" s="5">
        <f>SUM(AF603:AF615)</f>
      </c>
      <c r="AG29" s="6">
        <f>SUM(AG603:AG615)</f>
      </c>
      <c r="AH29" s="7"/>
      <c r="AI29" s="6">
        <f>SUM(AD29:AE29,AG29)</f>
      </c>
      <c r="AJ29" s="6">
        <f>L29+M29+O29</f>
      </c>
      <c r="AK29" s="3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3"/>
      <c r="BE29" s="3"/>
      <c r="BF29" s="7"/>
    </row>
    <row x14ac:dyDescent="0.25" r="30" customHeight="1" ht="12.75">
      <c r="A30" s="5">
        <f>COUNT(K616:K622)</f>
      </c>
      <c r="B30" s="3" t="s">
        <v>859</v>
      </c>
      <c r="C30" s="3" t="s">
        <v>869</v>
      </c>
      <c r="D30" s="16" t="s">
        <v>858</v>
      </c>
      <c r="E30" s="3"/>
      <c r="F30" s="6"/>
      <c r="G30" s="6"/>
      <c r="H30" s="6"/>
      <c r="I30" s="21" t="s">
        <v>859</v>
      </c>
      <c r="J30" s="3"/>
      <c r="K30" s="22">
        <f>SUM(K616:K622)</f>
      </c>
      <c r="L30" s="6">
        <f>100*AD30/$K30</f>
      </c>
      <c r="M30" s="6">
        <f>100*AE30/$K30</f>
      </c>
      <c r="N30" s="6">
        <f>AF30/$K30</f>
      </c>
      <c r="O30" s="6">
        <f>100*AG30/$K30</f>
      </c>
      <c r="P30" s="6">
        <f>AH30/$K30</f>
      </c>
      <c r="Q30" s="7"/>
      <c r="R30" s="6"/>
      <c r="S30" s="6"/>
      <c r="T30" s="6"/>
      <c r="U30" s="5"/>
      <c r="V30" s="6"/>
      <c r="W30" s="6"/>
      <c r="X30" s="6"/>
      <c r="Y30" s="15"/>
      <c r="Z30" s="6"/>
      <c r="AA30" s="6"/>
      <c r="AB30" s="5"/>
      <c r="AC30" s="3"/>
      <c r="AD30" s="6">
        <f>SUM(AD616:AD622)</f>
      </c>
      <c r="AE30" s="6">
        <f>SUM(AE616:AE622)</f>
      </c>
      <c r="AF30" s="5">
        <f>SUM(AF616:AF622)</f>
      </c>
      <c r="AG30" s="6">
        <f>SUM(AG616:AG622)</f>
      </c>
      <c r="AH30" s="7">
        <f>SUM(AH616:AH622)</f>
      </c>
      <c r="AI30" s="6">
        <f>SUM(AD30:AE30,AG30)</f>
      </c>
      <c r="AJ30" s="6">
        <f>L30+M30+O30</f>
      </c>
      <c r="AK30" s="3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3"/>
      <c r="BE30" s="3"/>
      <c r="BF30" s="7"/>
    </row>
    <row x14ac:dyDescent="0.25" r="31" customHeight="1" ht="12.75">
      <c r="A31" s="5">
        <f>COUNT(K623:K676)</f>
      </c>
      <c r="B31" s="3" t="s">
        <v>855</v>
      </c>
      <c r="C31" s="3" t="s">
        <v>870</v>
      </c>
      <c r="D31" s="12" t="s">
        <v>857</v>
      </c>
      <c r="E31" s="3"/>
      <c r="F31" s="6"/>
      <c r="G31" s="6"/>
      <c r="H31" s="6"/>
      <c r="I31" s="13" t="s">
        <v>855</v>
      </c>
      <c r="J31" s="3"/>
      <c r="K31" s="14">
        <f>SUM(K623:K676)</f>
      </c>
      <c r="L31" s="6">
        <f>100*AD31/$K31</f>
      </c>
      <c r="M31" s="6">
        <f>100*AE31/$K31</f>
      </c>
      <c r="N31" s="6">
        <f>AF31/$K31</f>
      </c>
      <c r="O31" s="6">
        <f>100*AG31/$K31</f>
      </c>
      <c r="P31" s="6">
        <f>AH31/$K31</f>
      </c>
      <c r="Q31" s="7"/>
      <c r="R31" s="6"/>
      <c r="S31" s="6"/>
      <c r="T31" s="6"/>
      <c r="U31" s="5"/>
      <c r="V31" s="6"/>
      <c r="W31" s="6"/>
      <c r="X31" s="6"/>
      <c r="Y31" s="15"/>
      <c r="Z31" s="6"/>
      <c r="AA31" s="6"/>
      <c r="AB31" s="5"/>
      <c r="AC31" s="3"/>
      <c r="AD31" s="6">
        <f>SUM(AD623:AD676)</f>
      </c>
      <c r="AE31" s="6">
        <f>SUM(AE623:AE676)</f>
      </c>
      <c r="AF31" s="5">
        <f>SUM(AF623:AF676)</f>
      </c>
      <c r="AG31" s="6">
        <f>SUM(AG623:AG676)</f>
      </c>
      <c r="AH31" s="7">
        <f>SUM(AH623:AH676)</f>
      </c>
      <c r="AI31" s="6">
        <f>SUM(AD31:AE31,AG31)</f>
      </c>
      <c r="AJ31" s="6">
        <f>L31+M31+O31</f>
      </c>
      <c r="AK31" s="3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3"/>
      <c r="BE31" s="3"/>
      <c r="BF31" s="7"/>
    </row>
    <row x14ac:dyDescent="0.25" r="32" customHeight="1" ht="12.75">
      <c r="A32" s="5">
        <f>COUNT(K677:K809)</f>
      </c>
      <c r="B32" s="3" t="s">
        <v>855</v>
      </c>
      <c r="C32" s="3" t="s">
        <v>870</v>
      </c>
      <c r="D32" s="16" t="s">
        <v>858</v>
      </c>
      <c r="E32" s="3"/>
      <c r="F32" s="6"/>
      <c r="G32" s="6"/>
      <c r="H32" s="6"/>
      <c r="I32" s="17" t="s">
        <v>855</v>
      </c>
      <c r="J32" s="3"/>
      <c r="K32" s="18">
        <f>SUM(K677:K809)</f>
      </c>
      <c r="L32" s="6">
        <f>100*AD32/$K32</f>
      </c>
      <c r="M32" s="6">
        <f>100*AE32/$K32</f>
      </c>
      <c r="N32" s="6">
        <f>AF32/$K32</f>
      </c>
      <c r="O32" s="6">
        <f>100*AG32/$K32</f>
      </c>
      <c r="P32" s="6">
        <f>AH32/$K32</f>
      </c>
      <c r="Q32" s="7"/>
      <c r="R32" s="6"/>
      <c r="S32" s="6"/>
      <c r="T32" s="6"/>
      <c r="U32" s="5"/>
      <c r="V32" s="6"/>
      <c r="W32" s="6"/>
      <c r="X32" s="6"/>
      <c r="Y32" s="15"/>
      <c r="Z32" s="6"/>
      <c r="AA32" s="6"/>
      <c r="AB32" s="5"/>
      <c r="AC32" s="3"/>
      <c r="AD32" s="6">
        <f>SUM(AD677:AD809)</f>
      </c>
      <c r="AE32" s="6">
        <f>SUM(AE677:AE809)</f>
      </c>
      <c r="AF32" s="5">
        <f>SUM(AF677:AF809)</f>
      </c>
      <c r="AG32" s="6">
        <f>SUM(AG677:AG809)</f>
      </c>
      <c r="AH32" s="7">
        <f>SUM(AH677:AH809)</f>
      </c>
      <c r="AI32" s="6">
        <f>SUM(AD32:AE32,AG32)</f>
      </c>
      <c r="AJ32" s="6">
        <f>L32+M32+O32</f>
      </c>
      <c r="AK32" s="3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3"/>
      <c r="BE32" s="3"/>
      <c r="BF32" s="7"/>
    </row>
    <row x14ac:dyDescent="0.25" r="33" customHeight="1" ht="12.75">
      <c r="A33" s="5">
        <f>COUNT(K810:K831)</f>
      </c>
      <c r="B33" s="3" t="s">
        <v>859</v>
      </c>
      <c r="C33" s="3" t="s">
        <v>870</v>
      </c>
      <c r="D33" s="12" t="s">
        <v>857</v>
      </c>
      <c r="E33" s="3"/>
      <c r="F33" s="6"/>
      <c r="G33" s="6"/>
      <c r="H33" s="6"/>
      <c r="I33" s="19" t="s">
        <v>859</v>
      </c>
      <c r="J33" s="3"/>
      <c r="K33" s="20">
        <f>SUM(K810:K831)</f>
      </c>
      <c r="L33" s="6">
        <f>100*AD33/$K33</f>
      </c>
      <c r="M33" s="6">
        <f>100*AE33/$K33</f>
      </c>
      <c r="N33" s="6">
        <f>AF33/$K33</f>
      </c>
      <c r="O33" s="6">
        <f>100*AG33/$K33</f>
      </c>
      <c r="P33" s="6">
        <f>AH33/$K33</f>
      </c>
      <c r="Q33" s="7"/>
      <c r="R33" s="6"/>
      <c r="S33" s="6"/>
      <c r="T33" s="6"/>
      <c r="U33" s="5"/>
      <c r="V33" s="6"/>
      <c r="W33" s="6"/>
      <c r="X33" s="6"/>
      <c r="Y33" s="15"/>
      <c r="Z33" s="6"/>
      <c r="AA33" s="6"/>
      <c r="AB33" s="5"/>
      <c r="AC33" s="3"/>
      <c r="AD33" s="6">
        <f>SUM(AD810:AD831)</f>
      </c>
      <c r="AE33" s="6">
        <f>SUM(AE810:AE831)</f>
      </c>
      <c r="AF33" s="5">
        <f>SUM(AF810:AF831)</f>
      </c>
      <c r="AG33" s="6">
        <f>SUM(AG810:AG831)</f>
      </c>
      <c r="AH33" s="7">
        <f>SUM(AH810:AH831)</f>
      </c>
      <c r="AI33" s="6">
        <f>SUM(AD33:AE33,AG33)</f>
      </c>
      <c r="AJ33" s="6">
        <f>L33+M33+O33</f>
      </c>
      <c r="AK33" s="3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3"/>
      <c r="BE33" s="3"/>
      <c r="BF33" s="7"/>
    </row>
    <row x14ac:dyDescent="0.25" r="34" customHeight="1" ht="12.75">
      <c r="A34" s="5">
        <f>COUNT(K832:K891)</f>
      </c>
      <c r="B34" s="3" t="s">
        <v>859</v>
      </c>
      <c r="C34" s="3" t="s">
        <v>870</v>
      </c>
      <c r="D34" s="16" t="s">
        <v>858</v>
      </c>
      <c r="E34" s="3"/>
      <c r="F34" s="6"/>
      <c r="G34" s="6"/>
      <c r="H34" s="6"/>
      <c r="I34" s="21" t="s">
        <v>859</v>
      </c>
      <c r="J34" s="3"/>
      <c r="K34" s="22">
        <f>SUM(K832:K891)</f>
      </c>
      <c r="L34" s="6">
        <f>100*AD34/$K34</f>
      </c>
      <c r="M34" s="6">
        <f>100*AE34/$K34</f>
      </c>
      <c r="N34" s="6">
        <f>AF34/$K34</f>
      </c>
      <c r="O34" s="6">
        <f>100*AG34/$K34</f>
      </c>
      <c r="P34" s="6">
        <f>AH34/$K34</f>
      </c>
      <c r="Q34" s="7"/>
      <c r="R34" s="6"/>
      <c r="S34" s="6"/>
      <c r="T34" s="6"/>
      <c r="U34" s="5"/>
      <c r="V34" s="6"/>
      <c r="W34" s="6"/>
      <c r="X34" s="6"/>
      <c r="Y34" s="15"/>
      <c r="Z34" s="6"/>
      <c r="AA34" s="6"/>
      <c r="AB34" s="5"/>
      <c r="AC34" s="3"/>
      <c r="AD34" s="6">
        <f>SUM(AD832:AD891)</f>
      </c>
      <c r="AE34" s="6">
        <f>SUM(AE832:AE891)</f>
      </c>
      <c r="AF34" s="5">
        <f>SUM(AF832:AF891)</f>
      </c>
      <c r="AG34" s="6">
        <f>SUM(AG832:AG891)</f>
      </c>
      <c r="AH34" s="7">
        <f>SUM(AH832:AH891)</f>
      </c>
      <c r="AI34" s="6">
        <f>SUM(AD34:AE34,AG34)</f>
      </c>
      <c r="AJ34" s="6">
        <f>L34+M34+O34</f>
      </c>
      <c r="AK34" s="3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3"/>
      <c r="BE34" s="3"/>
      <c r="BF34" s="7"/>
    </row>
    <row x14ac:dyDescent="0.25" r="35" customHeight="1" ht="12.75">
      <c r="A35" s="5">
        <f>COUNT(K892)</f>
      </c>
      <c r="B35" s="3" t="s">
        <v>871</v>
      </c>
      <c r="C35" s="3" t="s">
        <v>870</v>
      </c>
      <c r="D35" s="12" t="s">
        <v>857</v>
      </c>
      <c r="E35" s="3"/>
      <c r="F35" s="6"/>
      <c r="G35" s="6"/>
      <c r="H35" s="6"/>
      <c r="I35" s="13" t="s">
        <v>871</v>
      </c>
      <c r="J35" s="3"/>
      <c r="K35" s="14">
        <f>SUM(K892)</f>
      </c>
      <c r="L35" s="6"/>
      <c r="M35" s="6">
        <f>100*AE35/$K35</f>
      </c>
      <c r="N35" s="6"/>
      <c r="O35" s="6"/>
      <c r="P35" s="6"/>
      <c r="Q35" s="7"/>
      <c r="R35" s="6"/>
      <c r="S35" s="6"/>
      <c r="T35" s="6"/>
      <c r="U35" s="5"/>
      <c r="V35" s="6"/>
      <c r="W35" s="6"/>
      <c r="X35" s="6"/>
      <c r="Y35" s="15"/>
      <c r="Z35" s="6"/>
      <c r="AA35" s="6"/>
      <c r="AB35" s="5"/>
      <c r="AC35" s="3"/>
      <c r="AD35" s="6"/>
      <c r="AE35" s="6">
        <f>SUM(AE892)</f>
      </c>
      <c r="AF35" s="7"/>
      <c r="AG35" s="6"/>
      <c r="AH35" s="7"/>
      <c r="AI35" s="6">
        <f>SUM(AD35:AE35,AG35)</f>
      </c>
      <c r="AJ35" s="6">
        <f>L35+M35+O35</f>
      </c>
      <c r="AK35" s="3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3"/>
      <c r="BE35" s="3"/>
      <c r="BF35" s="7"/>
    </row>
    <row x14ac:dyDescent="0.25" r="36" customHeight="1" ht="12.75">
      <c r="A36" s="5">
        <f>COUNT(K894:K899)</f>
      </c>
      <c r="B36" s="3" t="s">
        <v>872</v>
      </c>
      <c r="C36" s="3" t="s">
        <v>873</v>
      </c>
      <c r="D36" s="12" t="s">
        <v>857</v>
      </c>
      <c r="E36" s="3"/>
      <c r="F36" s="6"/>
      <c r="G36" s="6"/>
      <c r="H36" s="6"/>
      <c r="I36" s="13" t="s">
        <v>872</v>
      </c>
      <c r="J36" s="3"/>
      <c r="K36" s="14">
        <f>SUM(K894:K899)</f>
      </c>
      <c r="L36" s="6">
        <f>100*AD36/$K36</f>
      </c>
      <c r="M36" s="6">
        <f>100*AE36/$K36</f>
      </c>
      <c r="N36" s="6">
        <f>AF36/$K36</f>
      </c>
      <c r="O36" s="6"/>
      <c r="P36" s="6"/>
      <c r="Q36" s="7"/>
      <c r="R36" s="6"/>
      <c r="S36" s="6"/>
      <c r="T36" s="6"/>
      <c r="U36" s="5"/>
      <c r="V36" s="6"/>
      <c r="W36" s="6"/>
      <c r="X36" s="6"/>
      <c r="Y36" s="15"/>
      <c r="Z36" s="6"/>
      <c r="AA36" s="6"/>
      <c r="AB36" s="5"/>
      <c r="AC36" s="3"/>
      <c r="AD36" s="6">
        <f>SUM(AD894:AD899)</f>
      </c>
      <c r="AE36" s="6">
        <f>SUM(AE894:AE899)</f>
      </c>
      <c r="AF36" s="5">
        <f>SUM(AF894:AF899)</f>
      </c>
      <c r="AG36" s="6"/>
      <c r="AH36" s="7"/>
      <c r="AI36" s="6">
        <f>SUM(AD36:AE36,AG36)</f>
      </c>
      <c r="AJ36" s="6">
        <f>L36+M36+O36</f>
      </c>
      <c r="AK36" s="3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3"/>
      <c r="BE36" s="3"/>
      <c r="BF36" s="7"/>
    </row>
    <row x14ac:dyDescent="0.25" r="37" customHeight="1" ht="12.75">
      <c r="A37" s="5">
        <f>COUNT(K900:K905)</f>
      </c>
      <c r="B37" s="3" t="s">
        <v>872</v>
      </c>
      <c r="C37" s="3" t="s">
        <v>873</v>
      </c>
      <c r="D37" s="16" t="s">
        <v>858</v>
      </c>
      <c r="E37" s="3"/>
      <c r="F37" s="6"/>
      <c r="G37" s="6"/>
      <c r="H37" s="6"/>
      <c r="I37" s="17" t="s">
        <v>872</v>
      </c>
      <c r="J37" s="3"/>
      <c r="K37" s="18">
        <f>SUM(K900:K905)</f>
      </c>
      <c r="L37" s="6">
        <f>100*AD37/$K37</f>
      </c>
      <c r="M37" s="6">
        <f>100*AE37/$K37</f>
      </c>
      <c r="N37" s="6">
        <f>AF37/$K37</f>
      </c>
      <c r="O37" s="6">
        <f>100*AG37/$K37</f>
      </c>
      <c r="P37" s="6">
        <f>AH37/$K37</f>
      </c>
      <c r="Q37" s="7"/>
      <c r="R37" s="6"/>
      <c r="S37" s="6"/>
      <c r="T37" s="6"/>
      <c r="U37" s="5"/>
      <c r="V37" s="6"/>
      <c r="W37" s="6"/>
      <c r="X37" s="6"/>
      <c r="Y37" s="15"/>
      <c r="Z37" s="6"/>
      <c r="AA37" s="6"/>
      <c r="AB37" s="5"/>
      <c r="AC37" s="3"/>
      <c r="AD37" s="6">
        <f>SUM(AD900:AD905)</f>
      </c>
      <c r="AE37" s="6">
        <f>SUM(AE900:AE905)</f>
      </c>
      <c r="AF37" s="5">
        <f>SUM(AF900:AF905)</f>
      </c>
      <c r="AG37" s="6">
        <f>SUM(AG900:AG905)</f>
      </c>
      <c r="AH37" s="7">
        <f>SUM(AH900:AH905)</f>
      </c>
      <c r="AI37" s="6">
        <f>SUM(AD37:AE37,AG37)</f>
      </c>
      <c r="AJ37" s="6">
        <f>L37+M37+O37</f>
      </c>
      <c r="AK37" s="3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3"/>
      <c r="BE37" s="3"/>
      <c r="BF37" s="7"/>
    </row>
    <row x14ac:dyDescent="0.25" r="38" customHeight="1" ht="12.75">
      <c r="A38" s="5">
        <f>COUNT(K906:K907)</f>
      </c>
      <c r="B38" s="3" t="s">
        <v>874</v>
      </c>
      <c r="C38" s="3" t="s">
        <v>873</v>
      </c>
      <c r="D38" s="12" t="s">
        <v>857</v>
      </c>
      <c r="E38" s="3"/>
      <c r="F38" s="6"/>
      <c r="G38" s="6"/>
      <c r="H38" s="6"/>
      <c r="I38" s="19" t="s">
        <v>874</v>
      </c>
      <c r="J38" s="3"/>
      <c r="K38" s="20">
        <f>SUM(K906:K907)</f>
      </c>
      <c r="L38" s="6">
        <f>100*AD38/$K38</f>
      </c>
      <c r="M38" s="6">
        <f>100*AE38/$K38</f>
      </c>
      <c r="N38" s="6">
        <f>AF38/$K38</f>
      </c>
      <c r="O38" s="23">
        <f>100*AG38/$K38</f>
      </c>
      <c r="P38" s="6">
        <f>AH38/$K38</f>
      </c>
      <c r="Q38" s="7"/>
      <c r="R38" s="6"/>
      <c r="S38" s="6"/>
      <c r="T38" s="6"/>
      <c r="U38" s="5"/>
      <c r="V38" s="6"/>
      <c r="W38" s="6"/>
      <c r="X38" s="6"/>
      <c r="Y38" s="15"/>
      <c r="Z38" s="6"/>
      <c r="AA38" s="6"/>
      <c r="AB38" s="5"/>
      <c r="AC38" s="3"/>
      <c r="AD38" s="6">
        <f>SUM(AD906:AD907)</f>
      </c>
      <c r="AE38" s="6">
        <f>SUM(AE906:AE907)</f>
      </c>
      <c r="AF38" s="5">
        <f>SUM(AF906:AF907)</f>
      </c>
      <c r="AG38" s="24">
        <f>SUM(AG906:AG907)</f>
      </c>
      <c r="AH38" s="6">
        <f>SUM(AH906:AH907)</f>
      </c>
      <c r="AI38" s="6">
        <f>SUM(AD38:AE38,AG38)</f>
      </c>
      <c r="AJ38" s="6">
        <f>L38+M38+O38</f>
      </c>
      <c r="AK38" s="3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3"/>
      <c r="BE38" s="3"/>
      <c r="BF38" s="7"/>
    </row>
    <row x14ac:dyDescent="0.25" r="39" customHeight="1" ht="12.75">
      <c r="A39" s="5">
        <f>COUNT(K908)</f>
      </c>
      <c r="B39" s="3" t="s">
        <v>874</v>
      </c>
      <c r="C39" s="3" t="s">
        <v>873</v>
      </c>
      <c r="D39" s="16" t="s">
        <v>858</v>
      </c>
      <c r="E39" s="3"/>
      <c r="F39" s="6"/>
      <c r="G39" s="6"/>
      <c r="H39" s="6"/>
      <c r="I39" s="21" t="s">
        <v>874</v>
      </c>
      <c r="J39" s="3"/>
      <c r="K39" s="22">
        <f>SUM(K908)</f>
      </c>
      <c r="L39" s="6"/>
      <c r="M39" s="6">
        <f>100*AE39/$K39</f>
      </c>
      <c r="N39" s="6">
        <f>AF39/$K39</f>
      </c>
      <c r="O39" s="6">
        <f>100*AG39/$K39</f>
      </c>
      <c r="P39" s="6"/>
      <c r="Q39" s="7"/>
      <c r="R39" s="6"/>
      <c r="S39" s="6"/>
      <c r="T39" s="6"/>
      <c r="U39" s="5"/>
      <c r="V39" s="6"/>
      <c r="W39" s="6"/>
      <c r="X39" s="6"/>
      <c r="Y39" s="15"/>
      <c r="Z39" s="6"/>
      <c r="AA39" s="6"/>
      <c r="AB39" s="5"/>
      <c r="AC39" s="3"/>
      <c r="AD39" s="6"/>
      <c r="AE39" s="6">
        <f>SUM(AE908)</f>
      </c>
      <c r="AF39" s="5">
        <f>SUM(AF908)</f>
      </c>
      <c r="AG39" s="23">
        <f>SUM(AG908)</f>
      </c>
      <c r="AH39" s="7"/>
      <c r="AI39" s="6">
        <f>SUM(AD39:AE39,AG39)</f>
      </c>
      <c r="AJ39" s="6">
        <f>L39+M39+O39</f>
      </c>
      <c r="AK39" s="3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3"/>
      <c r="BE39" s="3"/>
      <c r="BF39" s="7"/>
    </row>
    <row x14ac:dyDescent="0.25" r="40" customHeight="1" ht="12.75">
      <c r="A40" s="5"/>
      <c r="B40" s="3"/>
      <c r="C40" s="3"/>
      <c r="D40" s="3"/>
      <c r="E40" s="3"/>
      <c r="F40" s="6"/>
      <c r="G40" s="6"/>
      <c r="H40" s="6"/>
      <c r="I40" s="6"/>
      <c r="J40" s="3"/>
      <c r="K40" s="5"/>
      <c r="L40" s="6"/>
      <c r="M40" s="6"/>
      <c r="N40" s="5"/>
      <c r="O40" s="6"/>
      <c r="P40" s="6"/>
      <c r="Q40" s="7"/>
      <c r="R40" s="6"/>
      <c r="S40" s="6"/>
      <c r="T40" s="6"/>
      <c r="U40" s="5"/>
      <c r="V40" s="6"/>
      <c r="W40" s="6"/>
      <c r="X40" s="6"/>
      <c r="Y40" s="15"/>
      <c r="Z40" s="6"/>
      <c r="AA40" s="6"/>
      <c r="AB40" s="5"/>
      <c r="AC40" s="3"/>
      <c r="AD40" s="6"/>
      <c r="AE40" s="6"/>
      <c r="AF40" s="7"/>
      <c r="AG40" s="6"/>
      <c r="AH40" s="7"/>
      <c r="AI40" s="15"/>
      <c r="AJ40" s="6"/>
      <c r="AK40" s="3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3"/>
      <c r="BE40" s="3"/>
      <c r="BF40" s="7"/>
    </row>
    <row x14ac:dyDescent="0.25" r="41" customHeight="1" ht="12.75">
      <c r="A41" s="5">
        <f>A1+A7+A9+A10+A12+A15+A19+A25+A27+A31</f>
      </c>
      <c r="B41" s="3"/>
      <c r="C41" s="3" t="s">
        <v>855</v>
      </c>
      <c r="D41" s="12" t="s">
        <v>857</v>
      </c>
      <c r="E41" s="3"/>
      <c r="F41" s="6"/>
      <c r="G41" s="6"/>
      <c r="H41" s="6"/>
      <c r="I41" s="6"/>
      <c r="J41" s="3"/>
      <c r="K41" s="7">
        <f>K1+K7+K9+K10+K12+K15+K19+K25+K27+K31</f>
      </c>
      <c r="L41" s="6">
        <f>100*AD41/$K41</f>
      </c>
      <c r="M41" s="6">
        <f>100*AE41/$K41</f>
      </c>
      <c r="N41" s="6">
        <f>AF41/$K41</f>
      </c>
      <c r="O41" s="6">
        <f>100*AG41/$K41</f>
      </c>
      <c r="P41" s="6">
        <f>AH41/$K41</f>
      </c>
      <c r="Q41" s="7"/>
      <c r="R41" s="6"/>
      <c r="S41" s="6"/>
      <c r="T41" s="6"/>
      <c r="U41" s="5"/>
      <c r="V41" s="6"/>
      <c r="W41" s="6"/>
      <c r="X41" s="6"/>
      <c r="Y41" s="15"/>
      <c r="Z41" s="6"/>
      <c r="AA41" s="6"/>
      <c r="AB41" s="5"/>
      <c r="AC41" s="3"/>
      <c r="AD41" s="6">
        <f>AD1+AD7+AD9+AD10+AD12+AD15+AD19+AD25+AD27+AD31</f>
      </c>
      <c r="AE41" s="6">
        <f>AE1+AE7+AE9+AE10+AE12+AE15+AE19+AE25+AE27+AE31</f>
      </c>
      <c r="AF41" s="5">
        <f>AF1+AF7+AF9+AF10+AF12+AF15+AF19+AF25+AF27+AF31</f>
      </c>
      <c r="AG41" s="6">
        <f>AG1+AG7+AG9+AG10+AG12+AG15+AG19+AG25+AG27+AG31</f>
      </c>
      <c r="AH41" s="7">
        <f>AH1+AH7+AH9+AH10+AH12+AH15+AH19+AH25+AH27+AH31</f>
      </c>
      <c r="AI41" s="6">
        <f>SUM(AD41:AE41,AG41)</f>
      </c>
      <c r="AJ41" s="6">
        <f>L41+M41+O41</f>
      </c>
      <c r="AK41" s="3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3"/>
      <c r="BE41" s="3"/>
      <c r="BF41" s="7"/>
    </row>
    <row x14ac:dyDescent="0.25" r="42" customHeight="1" ht="12.75">
      <c r="A42" s="5">
        <f>A2+A5+A8+A13+A16+A20+A24+A28+A32</f>
      </c>
      <c r="B42" s="3"/>
      <c r="C42" s="3" t="s">
        <v>855</v>
      </c>
      <c r="D42" s="16" t="s">
        <v>858</v>
      </c>
      <c r="E42" s="3"/>
      <c r="F42" s="6"/>
      <c r="G42" s="6"/>
      <c r="H42" s="6"/>
      <c r="I42" s="6"/>
      <c r="J42" s="3"/>
      <c r="K42" s="7">
        <f>K2+K5+K8+K13+K16+K20+K24+K28+K32</f>
      </c>
      <c r="L42" s="6">
        <f>100*AD42/$K42</f>
      </c>
      <c r="M42" s="6">
        <f>100*AE42/$K42</f>
      </c>
      <c r="N42" s="6">
        <f>AF42/$K42</f>
      </c>
      <c r="O42" s="6">
        <f>100*AG42/$K42</f>
      </c>
      <c r="P42" s="6">
        <f>AH42/$K42</f>
      </c>
      <c r="Q42" s="7"/>
      <c r="R42" s="6"/>
      <c r="S42" s="6"/>
      <c r="T42" s="6"/>
      <c r="U42" s="5"/>
      <c r="V42" s="6"/>
      <c r="W42" s="6"/>
      <c r="X42" s="6"/>
      <c r="Y42" s="15"/>
      <c r="Z42" s="6"/>
      <c r="AA42" s="6"/>
      <c r="AB42" s="5"/>
      <c r="AC42" s="3"/>
      <c r="AD42" s="6">
        <f>AD2+AD5+AD8+AD13+AD16+AD20+AD24+AD28+AD32</f>
      </c>
      <c r="AE42" s="6">
        <f>AE2+AE5+AE8+AE13+AE16+AE20+AE24+AE28+AE32</f>
      </c>
      <c r="AF42" s="5">
        <f>AF2+AF5+AF8+AF13+AF16+AF20+AF24+AF28+AF32</f>
      </c>
      <c r="AG42" s="6">
        <f>AG2+AG5+AG8+AG13+AG16+AG20+AG24+AG28+AG32</f>
      </c>
      <c r="AH42" s="7">
        <f>AH2+AH5+AH8+AH13+AH16+AH20+AH24+AH28+AH32</f>
      </c>
      <c r="AI42" s="6">
        <f>SUM(AD42:AE42,AG42)</f>
      </c>
      <c r="AJ42" s="6">
        <f>L42+M42+O42</f>
      </c>
      <c r="AK42" s="3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3"/>
      <c r="BE42" s="3"/>
      <c r="BF42" s="7"/>
    </row>
    <row x14ac:dyDescent="0.25" r="43" customHeight="1" ht="12.75">
      <c r="A43" s="5">
        <f>A41+A42</f>
      </c>
      <c r="B43" s="3"/>
      <c r="C43" s="3"/>
      <c r="D43" s="3" t="s">
        <v>875</v>
      </c>
      <c r="E43" s="3"/>
      <c r="F43" s="6"/>
      <c r="G43" s="6"/>
      <c r="H43" s="6"/>
      <c r="I43" s="6"/>
      <c r="J43" s="3"/>
      <c r="K43" s="7">
        <f>K41+K42</f>
      </c>
      <c r="L43" s="6">
        <f>100*AD43/$K43</f>
      </c>
      <c r="M43" s="6">
        <f>100*AE43/$K43</f>
      </c>
      <c r="N43" s="6">
        <f>AF43/$K43</f>
      </c>
      <c r="O43" s="6">
        <f>100*AG43/$K43</f>
      </c>
      <c r="P43" s="6">
        <f>AH43/$K43</f>
      </c>
      <c r="Q43" s="7"/>
      <c r="R43" s="6"/>
      <c r="S43" s="6"/>
      <c r="T43" s="6"/>
      <c r="U43" s="5"/>
      <c r="V43" s="6"/>
      <c r="W43" s="6"/>
      <c r="X43" s="6"/>
      <c r="Y43" s="15"/>
      <c r="Z43" s="6"/>
      <c r="AA43" s="6"/>
      <c r="AB43" s="5"/>
      <c r="AC43" s="3"/>
      <c r="AD43" s="6">
        <f>AD41+AD42</f>
      </c>
      <c r="AE43" s="6">
        <f>AE41+AE42</f>
      </c>
      <c r="AF43" s="5">
        <f>AF41+AF42</f>
      </c>
      <c r="AG43" s="6">
        <f>AG41+AG42</f>
      </c>
      <c r="AH43" s="7">
        <f>AH41+AH42</f>
      </c>
      <c r="AI43" s="6">
        <f>SUM(AD43:AE43,AG43)</f>
      </c>
      <c r="AJ43" s="6">
        <f>L43+M43+O43</f>
      </c>
      <c r="AK43" s="3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3"/>
      <c r="BE43" s="3"/>
      <c r="BF43" s="7"/>
    </row>
    <row x14ac:dyDescent="0.25" r="44" customHeight="1" ht="12.75">
      <c r="A44" s="5">
        <f>A3+A6+A17+A21+A26+A29+A33</f>
      </c>
      <c r="B44" s="3"/>
      <c r="C44" s="3" t="s">
        <v>859</v>
      </c>
      <c r="D44" s="12" t="s">
        <v>857</v>
      </c>
      <c r="E44" s="3"/>
      <c r="F44" s="6"/>
      <c r="G44" s="6"/>
      <c r="H44" s="6"/>
      <c r="I44" s="6"/>
      <c r="J44" s="3"/>
      <c r="K44" s="7">
        <f>K3+K6+K17+K21+K26+K29+K33</f>
      </c>
      <c r="L44" s="6">
        <f>100*AD44/$K44</f>
      </c>
      <c r="M44" s="6">
        <f>100*AE44/$K44</f>
      </c>
      <c r="N44" s="6">
        <f>AF44/$K44</f>
      </c>
      <c r="O44" s="6">
        <f>100*AG44/$K44</f>
      </c>
      <c r="P44" s="6">
        <f>AH44/$K44</f>
      </c>
      <c r="Q44" s="7"/>
      <c r="R44" s="6"/>
      <c r="S44" s="6"/>
      <c r="T44" s="6"/>
      <c r="U44" s="5"/>
      <c r="V44" s="6"/>
      <c r="W44" s="6"/>
      <c r="X44" s="6"/>
      <c r="Y44" s="15"/>
      <c r="Z44" s="6"/>
      <c r="AA44" s="6"/>
      <c r="AB44" s="5"/>
      <c r="AC44" s="3"/>
      <c r="AD44" s="6">
        <f>AD3+AD6+AD17+AD21+AD26+AD29+AD33</f>
      </c>
      <c r="AE44" s="6">
        <f>AE3+AE6+AE17+AE21+AE26+AE29+AE33</f>
      </c>
      <c r="AF44" s="5">
        <f>AF3+AF6+AF17+AF21+AF26+AF29+AF33</f>
      </c>
      <c r="AG44" s="6">
        <f>AG3+AG6+AG17+AG21+AG26+AG29+AG33</f>
      </c>
      <c r="AH44" s="7">
        <f>AH3+AH6+AH17+AH21+AH26+AH29+AH33</f>
      </c>
      <c r="AI44" s="6">
        <f>SUM(AD44:AE44,AG44)</f>
      </c>
      <c r="AJ44" s="6">
        <f>L44+M44+O44</f>
      </c>
      <c r="AK44" s="3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3"/>
      <c r="BE44" s="3"/>
      <c r="BF44" s="7"/>
    </row>
    <row x14ac:dyDescent="0.25" r="45" customHeight="1" ht="12.75">
      <c r="A45" s="5">
        <f>A4+A11+A14+A18+A22+A30+A34</f>
      </c>
      <c r="B45" s="3"/>
      <c r="C45" s="3" t="s">
        <v>859</v>
      </c>
      <c r="D45" s="16" t="s">
        <v>858</v>
      </c>
      <c r="E45" s="3"/>
      <c r="F45" s="6"/>
      <c r="G45" s="6"/>
      <c r="H45" s="6"/>
      <c r="I45" s="6"/>
      <c r="J45" s="3"/>
      <c r="K45" s="7">
        <f>K4+K11+K14+K18+K22+K30+K34</f>
      </c>
      <c r="L45" s="6">
        <f>100*AD45/$K45</f>
      </c>
      <c r="M45" s="6">
        <f>100*AE45/$K45</f>
      </c>
      <c r="N45" s="6">
        <f>AF45/$K45</f>
      </c>
      <c r="O45" s="6">
        <f>100*AG45/$K45</f>
      </c>
      <c r="P45" s="6">
        <f>AH45/$K45</f>
      </c>
      <c r="Q45" s="7"/>
      <c r="R45" s="6"/>
      <c r="S45" s="6"/>
      <c r="T45" s="6"/>
      <c r="U45" s="5"/>
      <c r="V45" s="6"/>
      <c r="W45" s="6"/>
      <c r="X45" s="6"/>
      <c r="Y45" s="15"/>
      <c r="Z45" s="6"/>
      <c r="AA45" s="6"/>
      <c r="AB45" s="5"/>
      <c r="AC45" s="3"/>
      <c r="AD45" s="6">
        <f>AD4+AD11+AD14+AD18+AD22+AD30+AD34</f>
      </c>
      <c r="AE45" s="6">
        <f>AE4+AE11+AE14+AE18+AE22+AE30+AE34</f>
      </c>
      <c r="AF45" s="5">
        <f>AF4+AF11+AF14+AF18+AF22+AF30+AF34</f>
      </c>
      <c r="AG45" s="6">
        <f>AG4+AG11+AG14+AG18+AG22+AG30+AG34</f>
      </c>
      <c r="AH45" s="7">
        <f>AH4+AH11+AH14+AH18+AH22+AH30+AH34</f>
      </c>
      <c r="AI45" s="6">
        <f>SUM(AD45:AE45,AG45)</f>
      </c>
      <c r="AJ45" s="6">
        <f>L45+M45+O45</f>
      </c>
      <c r="AK45" s="3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3"/>
      <c r="BE45" s="3"/>
      <c r="BF45" s="7"/>
    </row>
    <row x14ac:dyDescent="0.25" r="46" customHeight="1" ht="12.75">
      <c r="A46" s="5">
        <f>A44+A45</f>
      </c>
      <c r="B46" s="3"/>
      <c r="C46" s="3"/>
      <c r="D46" s="3" t="s">
        <v>875</v>
      </c>
      <c r="E46" s="3"/>
      <c r="F46" s="6"/>
      <c r="G46" s="6"/>
      <c r="H46" s="6"/>
      <c r="I46" s="6"/>
      <c r="J46" s="3"/>
      <c r="K46" s="7">
        <f>K44+K45</f>
      </c>
      <c r="L46" s="6">
        <f>100*AD46/$K46</f>
      </c>
      <c r="M46" s="6">
        <f>100*AE46/$K46</f>
      </c>
      <c r="N46" s="6">
        <f>AF46/$K46</f>
      </c>
      <c r="O46" s="6">
        <f>100*AG46/$K46</f>
      </c>
      <c r="P46" s="6">
        <f>AH46/$K46</f>
      </c>
      <c r="Q46" s="7"/>
      <c r="R46" s="6"/>
      <c r="S46" s="6"/>
      <c r="T46" s="6"/>
      <c r="U46" s="5"/>
      <c r="V46" s="6"/>
      <c r="W46" s="6"/>
      <c r="X46" s="6"/>
      <c r="Y46" s="15"/>
      <c r="Z46" s="6"/>
      <c r="AA46" s="6"/>
      <c r="AB46" s="5"/>
      <c r="AC46" s="3"/>
      <c r="AD46" s="6">
        <f>AD44+AD45</f>
      </c>
      <c r="AE46" s="6">
        <f>AE44+AE45</f>
      </c>
      <c r="AF46" s="5">
        <f>AF44+AF45</f>
      </c>
      <c r="AG46" s="6">
        <f>AG44+AG45</f>
      </c>
      <c r="AH46" s="7">
        <f>AH44+AH45</f>
      </c>
      <c r="AI46" s="6">
        <f>SUM(AD46:AE46,AG46)</f>
      </c>
      <c r="AJ46" s="6">
        <f>L46+M46+O46</f>
      </c>
      <c r="AK46" s="3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3"/>
      <c r="BE46" s="3"/>
      <c r="BF46" s="7"/>
    </row>
    <row x14ac:dyDescent="0.25" r="47" customHeight="1" ht="12.75">
      <c r="A47" s="5">
        <f>A23+A35+A36+A38</f>
      </c>
      <c r="B47" s="3"/>
      <c r="C47" s="3" t="s">
        <v>876</v>
      </c>
      <c r="D47" s="12" t="s">
        <v>857</v>
      </c>
      <c r="E47" s="3"/>
      <c r="F47" s="6"/>
      <c r="G47" s="6"/>
      <c r="H47" s="6"/>
      <c r="I47" s="6"/>
      <c r="J47" s="3"/>
      <c r="K47" s="7">
        <f>K23+K35+K36+K38</f>
      </c>
      <c r="L47" s="6">
        <f>100*AD47/$K47</f>
      </c>
      <c r="M47" s="6">
        <f>100*AE47/$K47</f>
      </c>
      <c r="N47" s="6">
        <f>AF47/$K47</f>
      </c>
      <c r="O47" s="6">
        <f>100*AG47/$K47</f>
      </c>
      <c r="P47" s="6">
        <f>AH47/$K47</f>
      </c>
      <c r="Q47" s="7"/>
      <c r="R47" s="6"/>
      <c r="S47" s="6"/>
      <c r="T47" s="6"/>
      <c r="U47" s="5"/>
      <c r="V47" s="6"/>
      <c r="W47" s="6"/>
      <c r="X47" s="6"/>
      <c r="Y47" s="15"/>
      <c r="Z47" s="6"/>
      <c r="AA47" s="6"/>
      <c r="AB47" s="5"/>
      <c r="AC47" s="3"/>
      <c r="AD47" s="6">
        <f>AD23+AD35+AD36+AD38</f>
      </c>
      <c r="AE47" s="6">
        <f>AE23+AE35+AE36+AE38</f>
      </c>
      <c r="AF47" s="5">
        <f>AF23+AF35+AF36+AF38</f>
      </c>
      <c r="AG47" s="6">
        <f>AG23+AG35+AG36+AG38</f>
      </c>
      <c r="AH47" s="7">
        <f>AH23+AH35+AH36+AH38</f>
      </c>
      <c r="AI47" s="6">
        <f>SUM(AD47:AE47,AG47)</f>
      </c>
      <c r="AJ47" s="6">
        <f>L47+M47+O47</f>
      </c>
      <c r="AK47" s="3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3"/>
      <c r="BE47" s="3"/>
      <c r="BF47" s="7"/>
    </row>
    <row x14ac:dyDescent="0.25" r="48" customHeight="1" ht="12.75">
      <c r="A48" s="5">
        <f>A37+A39</f>
      </c>
      <c r="B48" s="3"/>
      <c r="C48" s="3" t="s">
        <v>876</v>
      </c>
      <c r="D48" s="16" t="s">
        <v>858</v>
      </c>
      <c r="E48" s="3"/>
      <c r="F48" s="6"/>
      <c r="G48" s="6"/>
      <c r="H48" s="6"/>
      <c r="I48" s="6"/>
      <c r="J48" s="3"/>
      <c r="K48" s="7">
        <f>K37+K39</f>
      </c>
      <c r="L48" s="6">
        <f>100*AD48/$K48</f>
      </c>
      <c r="M48" s="6">
        <f>100*AE48/$K48</f>
      </c>
      <c r="N48" s="6">
        <f>AF48/$K48</f>
      </c>
      <c r="O48" s="6">
        <f>100*AG48/$K48</f>
      </c>
      <c r="P48" s="6">
        <f>AH48/$K48</f>
      </c>
      <c r="Q48" s="7"/>
      <c r="R48" s="6"/>
      <c r="S48" s="6"/>
      <c r="T48" s="6"/>
      <c r="U48" s="5"/>
      <c r="V48" s="6"/>
      <c r="W48" s="6"/>
      <c r="X48" s="6"/>
      <c r="Y48" s="15"/>
      <c r="Z48" s="6"/>
      <c r="AA48" s="6"/>
      <c r="AB48" s="5"/>
      <c r="AC48" s="3"/>
      <c r="AD48" s="6">
        <f>AD37+AD39</f>
      </c>
      <c r="AE48" s="6">
        <f>AE37+AE39</f>
      </c>
      <c r="AF48" s="5">
        <f>AF37+AF39</f>
      </c>
      <c r="AG48" s="6">
        <f>AG37+AG39</f>
      </c>
      <c r="AH48" s="7">
        <f>AH37+AH39</f>
      </c>
      <c r="AI48" s="6">
        <f>SUM(AD48:AE48,AG48)</f>
      </c>
      <c r="AJ48" s="6">
        <f>L48+M48+O48</f>
      </c>
      <c r="AK48" s="3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3"/>
      <c r="BE48" s="3"/>
      <c r="BF48" s="7"/>
    </row>
    <row x14ac:dyDescent="0.25" r="49" customHeight="1" ht="12.75">
      <c r="A49" s="5">
        <f>A47+A48</f>
      </c>
      <c r="B49" s="3"/>
      <c r="C49" s="3"/>
      <c r="D49" s="3" t="s">
        <v>875</v>
      </c>
      <c r="E49" s="3"/>
      <c r="F49" s="6"/>
      <c r="G49" s="6"/>
      <c r="H49" s="6"/>
      <c r="I49" s="6"/>
      <c r="J49" s="3"/>
      <c r="K49" s="7">
        <f>K47+K48</f>
      </c>
      <c r="L49" s="6">
        <f>100*AD49/$K49</f>
      </c>
      <c r="M49" s="6">
        <f>100*AE49/$K49</f>
      </c>
      <c r="N49" s="6">
        <f>AF49/$K49</f>
      </c>
      <c r="O49" s="6">
        <f>100*AG49/$K49</f>
      </c>
      <c r="P49" s="6">
        <f>AH49/$K49</f>
      </c>
      <c r="Q49" s="7"/>
      <c r="R49" s="6"/>
      <c r="S49" s="6"/>
      <c r="T49" s="6"/>
      <c r="U49" s="5"/>
      <c r="V49" s="6"/>
      <c r="W49" s="6"/>
      <c r="X49" s="6"/>
      <c r="Y49" s="15"/>
      <c r="Z49" s="6"/>
      <c r="AA49" s="6"/>
      <c r="AB49" s="5"/>
      <c r="AC49" s="3"/>
      <c r="AD49" s="6">
        <f>AD47+AD48</f>
      </c>
      <c r="AE49" s="6">
        <f>AE47+AE48</f>
      </c>
      <c r="AF49" s="5">
        <f>AF47+AF48</f>
      </c>
      <c r="AG49" s="6">
        <f>AG47+AG48</f>
      </c>
      <c r="AH49" s="7">
        <f>AH47+AH48</f>
      </c>
      <c r="AI49" s="6">
        <f>SUM(AD49:AE49,AG49)</f>
      </c>
      <c r="AJ49" s="6">
        <f>L49+M49+O49</f>
      </c>
      <c r="AK49" s="3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3"/>
      <c r="BE49" s="3"/>
      <c r="BF49" s="7"/>
    </row>
    <row x14ac:dyDescent="0.25" r="50" customHeight="1" ht="12.75">
      <c r="A50" s="5">
        <f>A43+A46+A49</f>
      </c>
      <c r="B50" s="3"/>
      <c r="C50" s="3"/>
      <c r="D50" s="25" t="s">
        <v>877</v>
      </c>
      <c r="E50" s="3"/>
      <c r="F50" s="6"/>
      <c r="G50" s="6"/>
      <c r="H50" s="6"/>
      <c r="I50" s="6"/>
      <c r="J50" s="3"/>
      <c r="K50" s="7">
        <f>K43+K46+K49</f>
      </c>
      <c r="L50" s="6">
        <f>100*AD50/$K50</f>
      </c>
      <c r="M50" s="6">
        <f>100*AE50/$K50</f>
      </c>
      <c r="N50" s="6">
        <f>AF50/$K50</f>
      </c>
      <c r="O50" s="6">
        <f>100*AG50/$K50</f>
      </c>
      <c r="P50" s="6">
        <f>AH50/$K50</f>
      </c>
      <c r="Q50" s="7"/>
      <c r="R50" s="6"/>
      <c r="S50" s="6"/>
      <c r="T50" s="6"/>
      <c r="U50" s="5"/>
      <c r="V50" s="6"/>
      <c r="W50" s="6"/>
      <c r="X50" s="6"/>
      <c r="Y50" s="15"/>
      <c r="Z50" s="6"/>
      <c r="AA50" s="6"/>
      <c r="AB50" s="5"/>
      <c r="AC50" s="3"/>
      <c r="AD50" s="6">
        <f>AD43+AD46+AD49</f>
      </c>
      <c r="AE50" s="6">
        <f>AE43+AE46+AE49</f>
      </c>
      <c r="AF50" s="5">
        <f>AF43+AF46+AF49</f>
      </c>
      <c r="AG50" s="6">
        <f>AG43+AG46+AG49</f>
      </c>
      <c r="AH50" s="7">
        <f>AH43+AH46+AH49</f>
      </c>
      <c r="AI50" s="6">
        <f>SUM(AD50:AE50,AG50)</f>
      </c>
      <c r="AJ50" s="6">
        <f>L50+M50+O50</f>
      </c>
      <c r="AK50" s="3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3"/>
      <c r="BE50" s="3"/>
      <c r="BF50" s="7"/>
    </row>
    <row x14ac:dyDescent="0.25" r="51" customHeight="1" ht="12.75">
      <c r="A51" s="5"/>
      <c r="B51" s="3"/>
      <c r="C51" s="3"/>
      <c r="D51" s="3"/>
      <c r="E51" s="3"/>
      <c r="F51" s="6"/>
      <c r="G51" s="6"/>
      <c r="H51" s="6"/>
      <c r="I51" s="6"/>
      <c r="J51" s="3"/>
      <c r="K51" s="5"/>
      <c r="L51" s="6"/>
      <c r="M51" s="6"/>
      <c r="N51" s="5"/>
      <c r="O51" s="6"/>
      <c r="P51" s="6"/>
      <c r="Q51" s="7"/>
      <c r="R51" s="6"/>
      <c r="S51" s="6"/>
      <c r="T51" s="6"/>
      <c r="U51" s="5"/>
      <c r="V51" s="6"/>
      <c r="W51" s="6"/>
      <c r="X51" s="6"/>
      <c r="Y51" s="15"/>
      <c r="Z51" s="6"/>
      <c r="AA51" s="6"/>
      <c r="AB51" s="5"/>
      <c r="AC51" s="3"/>
      <c r="AD51" s="6"/>
      <c r="AE51" s="6"/>
      <c r="AF51" s="7"/>
      <c r="AG51" s="6"/>
      <c r="AH51" s="7"/>
      <c r="AI51" s="15"/>
      <c r="AJ51" s="6"/>
      <c r="AK51" s="3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3"/>
      <c r="BE51" s="3"/>
      <c r="BF51" s="7"/>
    </row>
    <row x14ac:dyDescent="0.25" r="52" customHeight="1" ht="12.75">
      <c r="A52" s="5">
        <f>A41+A44+A47</f>
      </c>
      <c r="B52" s="3"/>
      <c r="C52" s="3"/>
      <c r="D52" s="12" t="s">
        <v>857</v>
      </c>
      <c r="E52" s="3"/>
      <c r="F52" s="6"/>
      <c r="G52" s="6"/>
      <c r="H52" s="6"/>
      <c r="I52" s="6"/>
      <c r="J52" s="3"/>
      <c r="K52" s="7">
        <f>K41+K44+K47</f>
      </c>
      <c r="L52" s="6">
        <f>100*AD52/$K52</f>
      </c>
      <c r="M52" s="6">
        <f>100*AE52/$K52</f>
      </c>
      <c r="N52" s="6">
        <f>AF52/$K52</f>
      </c>
      <c r="O52" s="6">
        <f>100*AG52/$K52</f>
      </c>
      <c r="P52" s="6">
        <f>AH52/$K52</f>
      </c>
      <c r="Q52" s="7"/>
      <c r="R52" s="6"/>
      <c r="S52" s="6"/>
      <c r="T52" s="6"/>
      <c r="U52" s="5"/>
      <c r="V52" s="6"/>
      <c r="W52" s="6"/>
      <c r="X52" s="6"/>
      <c r="Y52" s="15"/>
      <c r="Z52" s="6"/>
      <c r="AA52" s="6"/>
      <c r="AB52" s="5"/>
      <c r="AC52" s="3"/>
      <c r="AD52" s="6">
        <f>AD41+AD44+AD47</f>
      </c>
      <c r="AE52" s="6">
        <f>AE41+AE44+AE47</f>
      </c>
      <c r="AF52" s="5">
        <f>AF41+AF44+AF47</f>
      </c>
      <c r="AG52" s="6">
        <f>AG41+AG44+AG47</f>
      </c>
      <c r="AH52" s="7">
        <f>AH41+AH44+AH47</f>
      </c>
      <c r="AI52" s="6">
        <f>SUM(AD52:AE52,AG52)</f>
      </c>
      <c r="AJ52" s="6">
        <f>L52+M52+O52</f>
      </c>
      <c r="AK52" s="3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3"/>
      <c r="BE52" s="3"/>
      <c r="BF52" s="7"/>
    </row>
    <row x14ac:dyDescent="0.25" r="53" customHeight="1" ht="12.75">
      <c r="A53" s="5">
        <f>A42+A45+A48</f>
      </c>
      <c r="B53" s="3"/>
      <c r="C53" s="3"/>
      <c r="D53" s="16" t="s">
        <v>858</v>
      </c>
      <c r="E53" s="3"/>
      <c r="F53" s="6"/>
      <c r="G53" s="6"/>
      <c r="H53" s="6"/>
      <c r="I53" s="6"/>
      <c r="J53" s="3"/>
      <c r="K53" s="7">
        <f>K42+K45+K48</f>
      </c>
      <c r="L53" s="6">
        <f>100*AD53/$K53</f>
      </c>
      <c r="M53" s="6">
        <f>100*AE53/$K53</f>
      </c>
      <c r="N53" s="6">
        <f>AF53/$K53</f>
      </c>
      <c r="O53" s="6">
        <f>100*AG53/$K53</f>
      </c>
      <c r="P53" s="6">
        <f>AH53/$K53</f>
      </c>
      <c r="Q53" s="7"/>
      <c r="R53" s="6"/>
      <c r="S53" s="6"/>
      <c r="T53" s="6"/>
      <c r="U53" s="5"/>
      <c r="V53" s="6"/>
      <c r="W53" s="6"/>
      <c r="X53" s="6"/>
      <c r="Y53" s="15"/>
      <c r="Z53" s="6"/>
      <c r="AA53" s="6"/>
      <c r="AB53" s="5"/>
      <c r="AC53" s="3"/>
      <c r="AD53" s="6">
        <f>AD42+AD45+AD48</f>
      </c>
      <c r="AE53" s="6">
        <f>AE42+AE45+AE48</f>
      </c>
      <c r="AF53" s="5">
        <f>AF42+AF45+AF48</f>
      </c>
      <c r="AG53" s="6">
        <f>AG42+AG45+AG48</f>
      </c>
      <c r="AH53" s="7">
        <f>AH42+AH45+AH48</f>
      </c>
      <c r="AI53" s="6">
        <f>SUM(AD53:AE53,AG53)</f>
      </c>
      <c r="AJ53" s="6">
        <f>L53+M53+O53</f>
      </c>
      <c r="AK53" s="3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3"/>
      <c r="BE53" s="3"/>
      <c r="BF53" s="7"/>
    </row>
    <row x14ac:dyDescent="0.25" r="54" customHeight="1" ht="12.75">
      <c r="A54" s="5"/>
      <c r="B54" s="3"/>
      <c r="C54" s="3"/>
      <c r="D54" s="3"/>
      <c r="E54" s="3"/>
      <c r="F54" s="6"/>
      <c r="G54" s="6"/>
      <c r="H54" s="6"/>
      <c r="I54" s="6"/>
      <c r="J54" s="3"/>
      <c r="K54" s="5"/>
      <c r="L54" s="6"/>
      <c r="M54" s="6"/>
      <c r="N54" s="5"/>
      <c r="O54" s="6"/>
      <c r="P54" s="6"/>
      <c r="Q54" s="7"/>
      <c r="R54" s="6"/>
      <c r="S54" s="6"/>
      <c r="T54" s="6"/>
      <c r="U54" s="5"/>
      <c r="V54" s="6"/>
      <c r="W54" s="6"/>
      <c r="X54" s="6"/>
      <c r="Y54" s="15"/>
      <c r="Z54" s="6"/>
      <c r="AA54" s="6"/>
      <c r="AB54" s="5"/>
      <c r="AC54" s="3"/>
      <c r="AD54" s="6"/>
      <c r="AE54" s="6"/>
      <c r="AF54" s="7"/>
      <c r="AG54" s="6"/>
      <c r="AH54" s="7"/>
      <c r="AI54" s="15"/>
      <c r="AJ54" s="6"/>
      <c r="AK54" s="3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3"/>
      <c r="BE54" s="3"/>
      <c r="BF54" s="7"/>
    </row>
    <row x14ac:dyDescent="0.25" r="55" customHeight="1" ht="12.75">
      <c r="A55" s="5"/>
      <c r="B55" s="3"/>
      <c r="C55" s="3"/>
      <c r="D55" s="3"/>
      <c r="E55" s="3"/>
      <c r="F55" s="26" t="s">
        <v>878</v>
      </c>
      <c r="G55" s="26" t="s">
        <v>878</v>
      </c>
      <c r="H55" s="26" t="s">
        <v>878</v>
      </c>
      <c r="I55" s="26" t="s">
        <v>878</v>
      </c>
      <c r="J55" s="3"/>
      <c r="K55" s="5"/>
      <c r="L55" s="6"/>
      <c r="M55" s="6"/>
      <c r="N55" s="5"/>
      <c r="O55" s="6"/>
      <c r="P55" s="6"/>
      <c r="Q55" s="7"/>
      <c r="R55" s="6"/>
      <c r="S55" s="6"/>
      <c r="T55" s="6"/>
      <c r="U55" s="5"/>
      <c r="V55" s="6"/>
      <c r="W55" s="6"/>
      <c r="X55" s="6"/>
      <c r="Y55" s="15"/>
      <c r="Z55" s="6"/>
      <c r="AA55" s="6"/>
      <c r="AB55" s="5"/>
      <c r="AC55" s="3"/>
      <c r="AD55" s="6"/>
      <c r="AE55" s="6"/>
      <c r="AF55" s="7"/>
      <c r="AG55" s="6"/>
      <c r="AH55" s="7"/>
      <c r="AI55" s="15"/>
      <c r="AJ55" s="6"/>
      <c r="AK55" s="3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3"/>
      <c r="BE55" s="3"/>
      <c r="BF55" s="7"/>
    </row>
    <row x14ac:dyDescent="0.25" r="56" customHeight="1" ht="12.75">
      <c r="A56" s="5"/>
      <c r="B56" s="3"/>
      <c r="C56" s="3"/>
      <c r="D56" s="3"/>
      <c r="E56" s="3"/>
      <c r="F56" s="26" t="s">
        <v>879</v>
      </c>
      <c r="G56" s="26" t="s">
        <v>879</v>
      </c>
      <c r="H56" s="26" t="s">
        <v>879</v>
      </c>
      <c r="I56" s="26" t="s">
        <v>879</v>
      </c>
      <c r="J56" s="3"/>
      <c r="K56" s="5"/>
      <c r="L56" s="6"/>
      <c r="M56" s="6"/>
      <c r="N56" s="5"/>
      <c r="O56" s="6"/>
      <c r="P56" s="6"/>
      <c r="Q56" s="7"/>
      <c r="R56" s="6"/>
      <c r="S56" s="6"/>
      <c r="T56" s="6"/>
      <c r="U56" s="5"/>
      <c r="V56" s="6"/>
      <c r="W56" s="6"/>
      <c r="X56" s="6"/>
      <c r="Y56" s="15"/>
      <c r="Z56" s="6"/>
      <c r="AA56" s="6"/>
      <c r="AB56" s="5"/>
      <c r="AC56" s="3"/>
      <c r="AD56" s="6"/>
      <c r="AE56" s="6"/>
      <c r="AF56" s="7"/>
      <c r="AG56" s="6"/>
      <c r="AH56" s="7"/>
      <c r="AI56" s="15"/>
      <c r="AJ56" s="6"/>
      <c r="AK56" s="3"/>
      <c r="AL56" s="2" t="s">
        <v>880</v>
      </c>
      <c r="AM56" s="2" t="s">
        <v>880</v>
      </c>
      <c r="AN56" s="2" t="s">
        <v>880</v>
      </c>
      <c r="AO56" s="2" t="s">
        <v>880</v>
      </c>
      <c r="AP56" s="2" t="s">
        <v>880</v>
      </c>
      <c r="AQ56" s="2" t="s">
        <v>880</v>
      </c>
      <c r="AR56" s="2" t="s">
        <v>880</v>
      </c>
      <c r="AS56" s="2" t="s">
        <v>880</v>
      </c>
      <c r="AT56" s="2" t="s">
        <v>880</v>
      </c>
      <c r="AU56" s="2" t="s">
        <v>880</v>
      </c>
      <c r="AV56" s="2" t="s">
        <v>880</v>
      </c>
      <c r="AW56" s="2" t="s">
        <v>880</v>
      </c>
      <c r="AX56" s="2" t="s">
        <v>880</v>
      </c>
      <c r="AY56" s="2" t="s">
        <v>880</v>
      </c>
      <c r="AZ56" s="2" t="s">
        <v>880</v>
      </c>
      <c r="BA56" s="2" t="s">
        <v>880</v>
      </c>
      <c r="BB56" s="2" t="s">
        <v>880</v>
      </c>
      <c r="BC56" s="2" t="s">
        <v>880</v>
      </c>
      <c r="BD56" s="27" t="s">
        <v>880</v>
      </c>
      <c r="BE56" s="3"/>
      <c r="BF56" s="4" t="s">
        <v>881</v>
      </c>
    </row>
    <row x14ac:dyDescent="0.25" r="57" customHeight="1" ht="12.75">
      <c r="A57" s="1">
        <v>2013</v>
      </c>
      <c r="B57" s="28"/>
      <c r="C57" s="28" t="s">
        <v>882</v>
      </c>
      <c r="D57" s="28" t="s">
        <v>883</v>
      </c>
      <c r="E57" s="3"/>
      <c r="F57" s="26" t="s">
        <v>884</v>
      </c>
      <c r="G57" s="26" t="s">
        <v>885</v>
      </c>
      <c r="H57" s="26" t="s">
        <v>886</v>
      </c>
      <c r="I57" s="26" t="s">
        <v>887</v>
      </c>
      <c r="J57" s="3"/>
      <c r="K57" s="29" t="s">
        <v>888</v>
      </c>
      <c r="L57" s="2" t="s">
        <v>889</v>
      </c>
      <c r="M57" s="2" t="s">
        <v>890</v>
      </c>
      <c r="N57" s="29" t="s">
        <v>891</v>
      </c>
      <c r="O57" s="2" t="s">
        <v>892</v>
      </c>
      <c r="P57" s="2" t="s">
        <v>893</v>
      </c>
      <c r="Q57" s="4" t="s">
        <v>894</v>
      </c>
      <c r="R57" s="2" t="s">
        <v>895</v>
      </c>
      <c r="S57" s="2" t="s">
        <v>896</v>
      </c>
      <c r="T57" s="2" t="s">
        <v>897</v>
      </c>
      <c r="U57" s="29" t="s">
        <v>898</v>
      </c>
      <c r="V57" s="2" t="s">
        <v>899</v>
      </c>
      <c r="W57" s="2" t="s">
        <v>900</v>
      </c>
      <c r="X57" s="2" t="s">
        <v>901</v>
      </c>
      <c r="Y57" s="30" t="s">
        <v>902</v>
      </c>
      <c r="Z57" s="2" t="s">
        <v>903</v>
      </c>
      <c r="AA57" s="2" t="s">
        <v>904</v>
      </c>
      <c r="AB57" s="29" t="s">
        <v>887</v>
      </c>
      <c r="AC57" s="27" t="s">
        <v>887</v>
      </c>
      <c r="AD57" s="2" t="s">
        <v>905</v>
      </c>
      <c r="AE57" s="2" t="s">
        <v>906</v>
      </c>
      <c r="AF57" s="4" t="s">
        <v>907</v>
      </c>
      <c r="AG57" s="2" t="s">
        <v>908</v>
      </c>
      <c r="AH57" s="4" t="s">
        <v>909</v>
      </c>
      <c r="AI57" s="30" t="s">
        <v>0</v>
      </c>
      <c r="AJ57" s="2" t="s">
        <v>1</v>
      </c>
      <c r="AK57" s="3"/>
      <c r="AL57" s="2" t="s">
        <v>880</v>
      </c>
      <c r="AM57" s="2" t="s">
        <v>910</v>
      </c>
      <c r="AN57" s="2" t="s">
        <v>911</v>
      </c>
      <c r="AO57" s="2" t="s">
        <v>912</v>
      </c>
      <c r="AP57" s="2" t="s">
        <v>885</v>
      </c>
      <c r="AQ57" s="2" t="s">
        <v>886</v>
      </c>
      <c r="AR57" s="2" t="s">
        <v>913</v>
      </c>
      <c r="AS57" s="2" t="s">
        <v>914</v>
      </c>
      <c r="AT57" s="2" t="s">
        <v>915</v>
      </c>
      <c r="AU57" s="2" t="s">
        <v>916</v>
      </c>
      <c r="AV57" s="2" t="s">
        <v>917</v>
      </c>
      <c r="AW57" s="2" t="s">
        <v>918</v>
      </c>
      <c r="AX57" s="2" t="s">
        <v>919</v>
      </c>
      <c r="AY57" s="2" t="s">
        <v>920</v>
      </c>
      <c r="AZ57" s="2" t="s">
        <v>921</v>
      </c>
      <c r="BA57" s="2" t="s">
        <v>922</v>
      </c>
      <c r="BB57" s="2" t="s">
        <v>923</v>
      </c>
      <c r="BC57" s="2" t="s">
        <v>887</v>
      </c>
      <c r="BD57" s="27" t="s">
        <v>887</v>
      </c>
      <c r="BE57" s="3"/>
      <c r="BF57" s="4" t="s">
        <v>3</v>
      </c>
    </row>
    <row x14ac:dyDescent="0.25" r="58" customHeight="1" ht="12.75">
      <c r="A58" s="5" t="s">
        <v>617</v>
      </c>
      <c r="B58" s="3" t="s">
        <v>855</v>
      </c>
      <c r="C58" s="3" t="s">
        <v>856</v>
      </c>
      <c r="D58" s="3" t="s">
        <v>924</v>
      </c>
      <c r="E58" s="3"/>
      <c r="F58" s="6">
        <f>100*SUM(AM58:AO58)/AL58</f>
      </c>
      <c r="G58" s="6">
        <f>100*SUM(AP58)/AL58</f>
      </c>
      <c r="H58" s="6">
        <f>100*SUM(AQ58)/AL58</f>
      </c>
      <c r="I58" s="6">
        <f>100*SUM(AR58:BC58)/AL58</f>
      </c>
      <c r="J58" s="3"/>
      <c r="K58" s="6">
        <v>0.1163</v>
      </c>
      <c r="L58" s="6">
        <v>1.2</v>
      </c>
      <c r="M58" s="6">
        <v>5.1</v>
      </c>
      <c r="N58" s="5">
        <v>54</v>
      </c>
      <c r="O58" s="6"/>
      <c r="P58" s="6"/>
      <c r="Q58" s="7"/>
      <c r="R58" s="6"/>
      <c r="S58" s="6"/>
      <c r="T58" s="6"/>
      <c r="U58" s="5"/>
      <c r="V58" s="6"/>
      <c r="W58" s="6"/>
      <c r="X58" s="6"/>
      <c r="Y58" s="15"/>
      <c r="Z58" s="6"/>
      <c r="AA58" s="6"/>
      <c r="AB58" s="5"/>
      <c r="AC58" s="3"/>
      <c r="AD58" s="6">
        <v>0.0013955999999999999</v>
      </c>
      <c r="AE58" s="6">
        <v>0.0059313</v>
      </c>
      <c r="AF58" s="7">
        <v>6.2802</v>
      </c>
      <c r="AG58" s="6">
        <v>0</v>
      </c>
      <c r="AH58" s="7">
        <v>0</v>
      </c>
      <c r="AI58" s="15">
        <v>0.007326899999999999</v>
      </c>
      <c r="AJ58" s="6">
        <v>6.3</v>
      </c>
      <c r="AK58" s="3"/>
      <c r="AL58" s="6">
        <v>166.54199672990353</v>
      </c>
      <c r="AM58" s="6">
        <v>22.751472</v>
      </c>
      <c r="AN58" s="6">
        <v>110.74808099999998</v>
      </c>
      <c r="AO58" s="6">
        <v>33.04244372990354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/>
      <c r="BD58" s="3"/>
      <c r="BE58" s="3"/>
      <c r="BF58" s="7">
        <v>19.36883421968778</v>
      </c>
    </row>
    <row x14ac:dyDescent="0.25" r="59" customHeight="1" ht="12.75">
      <c r="A59" s="5" t="s">
        <v>120</v>
      </c>
      <c r="B59" s="3" t="s">
        <v>855</v>
      </c>
      <c r="C59" s="3" t="s">
        <v>856</v>
      </c>
      <c r="D59" s="3" t="s">
        <v>925</v>
      </c>
      <c r="E59" s="3"/>
      <c r="F59" s="6">
        <f>100*SUM(AM59:AO59)/AL59</f>
      </c>
      <c r="G59" s="6">
        <f>100*SUM(AP59)/AL59</f>
      </c>
      <c r="H59" s="6">
        <f>100*SUM(AQ59)/AL59</f>
      </c>
      <c r="I59" s="6">
        <f>100*SUM(AR59:BC59)/AL59</f>
      </c>
      <c r="J59" s="3"/>
      <c r="K59" s="23">
        <v>79.933811</v>
      </c>
      <c r="L59" s="6">
        <v>1.528</v>
      </c>
      <c r="M59" s="6">
        <v>5.223</v>
      </c>
      <c r="N59" s="7">
        <v>9.578800000000001</v>
      </c>
      <c r="O59" s="6"/>
      <c r="P59" s="6"/>
      <c r="Q59" s="7"/>
      <c r="R59" s="6"/>
      <c r="S59" s="6"/>
      <c r="T59" s="6"/>
      <c r="U59" s="5"/>
      <c r="V59" s="6"/>
      <c r="W59" s="6"/>
      <c r="X59" s="6"/>
      <c r="Y59" s="15"/>
      <c r="Z59" s="6"/>
      <c r="AA59" s="6"/>
      <c r="AB59" s="5"/>
      <c r="AC59" s="3"/>
      <c r="AD59" s="6">
        <v>1.22138863208</v>
      </c>
      <c r="AE59" s="6">
        <v>4.17494294853</v>
      </c>
      <c r="AF59" s="7">
        <v>765.6699888068001</v>
      </c>
      <c r="AG59" s="6">
        <v>0</v>
      </c>
      <c r="AH59" s="7">
        <v>0</v>
      </c>
      <c r="AI59" s="15">
        <v>5.39633158061</v>
      </c>
      <c r="AJ59" s="6">
        <v>6.7509999999999994</v>
      </c>
      <c r="AK59" s="3"/>
      <c r="AL59" s="6">
        <v>148.25051181</v>
      </c>
      <c r="AM59" s="6">
        <v>28.970207679999998</v>
      </c>
      <c r="AN59" s="6">
        <v>113.41906413</v>
      </c>
      <c r="AO59" s="6">
        <v>5.861240000000001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/>
      <c r="BD59" s="3"/>
      <c r="BE59" s="3"/>
      <c r="BF59" s="7">
        <v>11850.228391673809</v>
      </c>
    </row>
    <row x14ac:dyDescent="0.25" r="60" customHeight="1" ht="12.75">
      <c r="A60" s="5" t="s">
        <v>148</v>
      </c>
      <c r="B60" s="3" t="s">
        <v>855</v>
      </c>
      <c r="C60" s="3" t="s">
        <v>856</v>
      </c>
      <c r="D60" s="3"/>
      <c r="E60" s="3"/>
      <c r="F60" s="6">
        <f>100*SUM(AM60:AO60)/AL60</f>
      </c>
      <c r="G60" s="6">
        <f>100*SUM(AP60)/AL60</f>
      </c>
      <c r="H60" s="6">
        <f>100*SUM(AQ60)/AL60</f>
      </c>
      <c r="I60" s="6">
        <f>100*SUM(AR60:BC60)/AL60</f>
      </c>
      <c r="J60" s="3"/>
      <c r="K60" s="6">
        <v>68.6</v>
      </c>
      <c r="L60" s="6">
        <v>1.1</v>
      </c>
      <c r="M60" s="6">
        <v>4.6</v>
      </c>
      <c r="N60" s="5"/>
      <c r="O60" s="6"/>
      <c r="P60" s="6"/>
      <c r="Q60" s="7"/>
      <c r="R60" s="6"/>
      <c r="S60" s="6"/>
      <c r="T60" s="6"/>
      <c r="U60" s="5"/>
      <c r="V60" s="6"/>
      <c r="W60" s="6"/>
      <c r="X60" s="6"/>
      <c r="Y60" s="15"/>
      <c r="Z60" s="6"/>
      <c r="AA60" s="6"/>
      <c r="AB60" s="5"/>
      <c r="AC60" s="3"/>
      <c r="AD60" s="6">
        <v>0.7545999999999999</v>
      </c>
      <c r="AE60" s="6">
        <v>3.1555999999999993</v>
      </c>
      <c r="AF60" s="7">
        <v>0</v>
      </c>
      <c r="AG60" s="6">
        <v>0</v>
      </c>
      <c r="AH60" s="7">
        <v>0</v>
      </c>
      <c r="AI60" s="15">
        <v>3.9101999999999992</v>
      </c>
      <c r="AJ60" s="6">
        <v>5.699999999999999</v>
      </c>
      <c r="AK60" s="3"/>
      <c r="AL60" s="6">
        <v>120.74594199999999</v>
      </c>
      <c r="AM60" s="6">
        <v>20.855516</v>
      </c>
      <c r="AN60" s="6">
        <v>99.89042599999999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/>
      <c r="BD60" s="3"/>
      <c r="BE60" s="3"/>
      <c r="BF60" s="7">
        <v>8283.1716212</v>
      </c>
    </row>
    <row x14ac:dyDescent="0.25" r="61" customHeight="1" ht="12.75">
      <c r="A61" s="5" t="s">
        <v>153</v>
      </c>
      <c r="B61" s="3" t="s">
        <v>855</v>
      </c>
      <c r="C61" s="3" t="s">
        <v>856</v>
      </c>
      <c r="D61" s="3" t="s">
        <v>926</v>
      </c>
      <c r="E61" s="3"/>
      <c r="F61" s="6">
        <f>100*SUM(AM61:AO61)/AL61</f>
      </c>
      <c r="G61" s="6">
        <f>100*SUM(AP61)/AL61</f>
      </c>
      <c r="H61" s="6">
        <f>100*SUM(AQ61)/AL61</f>
      </c>
      <c r="I61" s="6">
        <f>100*SUM(AR61:BC61)/AL61</f>
      </c>
      <c r="J61" s="3"/>
      <c r="K61" s="6">
        <v>340.384</v>
      </c>
      <c r="L61" s="6">
        <v>0.6333830262292</v>
      </c>
      <c r="M61" s="6">
        <v>0.38104979963805585</v>
      </c>
      <c r="N61" s="7">
        <v>37.15595171923474</v>
      </c>
      <c r="O61" s="6"/>
      <c r="P61" s="6"/>
      <c r="Q61" s="7"/>
      <c r="R61" s="6"/>
      <c r="S61" s="6"/>
      <c r="T61" s="6"/>
      <c r="U61" s="5"/>
      <c r="V61" s="6"/>
      <c r="W61" s="6"/>
      <c r="X61" s="6"/>
      <c r="Y61" s="15"/>
      <c r="Z61" s="6"/>
      <c r="AA61" s="6"/>
      <c r="AB61" s="5"/>
      <c r="AC61" s="3"/>
      <c r="AD61" s="6">
        <v>2.15593448</v>
      </c>
      <c r="AE61" s="6">
        <v>1.2970325500000002</v>
      </c>
      <c r="AF61" s="7">
        <v>12647.29147</v>
      </c>
      <c r="AG61" s="6">
        <v>0</v>
      </c>
      <c r="AH61" s="7">
        <v>0</v>
      </c>
      <c r="AI61" s="15">
        <v>3.45296703</v>
      </c>
      <c r="AJ61" s="6">
        <v>1.0144328258672557</v>
      </c>
      <c r="AK61" s="3"/>
      <c r="AL61" s="6">
        <v>43.0188973450899</v>
      </c>
      <c r="AM61" s="6">
        <v>12.00866348877409</v>
      </c>
      <c r="AN61" s="6">
        <v>8.27461452457827</v>
      </c>
      <c r="AO61" s="6">
        <v>22.735619331737535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/>
      <c r="BD61" s="3"/>
      <c r="BE61" s="3"/>
      <c r="BF61" s="7">
        <v>14642.94435391108</v>
      </c>
    </row>
    <row x14ac:dyDescent="0.25" r="62" customHeight="1" ht="12.75">
      <c r="A62" s="5" t="s">
        <v>114</v>
      </c>
      <c r="B62" s="3" t="s">
        <v>855</v>
      </c>
      <c r="C62" s="3" t="s">
        <v>856</v>
      </c>
      <c r="D62" s="3" t="s">
        <v>927</v>
      </c>
      <c r="E62" s="3"/>
      <c r="F62" s="6">
        <f>100*SUM(AM62:AO62)/AL62</f>
      </c>
      <c r="G62" s="6">
        <f>100*SUM(AP62)/AL62</f>
      </c>
      <c r="H62" s="6">
        <f>100*SUM(AQ62)/AL62</f>
      </c>
      <c r="I62" s="6">
        <f>100*SUM(AR62:BC62)/AL62</f>
      </c>
      <c r="J62" s="3"/>
      <c r="K62" s="6">
        <v>282.40000000000003</v>
      </c>
      <c r="L62" s="6">
        <v>0.3113916430594901</v>
      </c>
      <c r="M62" s="6">
        <v>0.7020007082152974</v>
      </c>
      <c r="N62" s="7">
        <v>81.32092776203964</v>
      </c>
      <c r="O62" s="6"/>
      <c r="P62" s="6"/>
      <c r="Q62" s="7"/>
      <c r="R62" s="6"/>
      <c r="S62" s="6"/>
      <c r="T62" s="6"/>
      <c r="U62" s="5"/>
      <c r="V62" s="6"/>
      <c r="W62" s="6"/>
      <c r="X62" s="6"/>
      <c r="Y62" s="15"/>
      <c r="Z62" s="6"/>
      <c r="AA62" s="6"/>
      <c r="AB62" s="5"/>
      <c r="AC62" s="3"/>
      <c r="AD62" s="6">
        <v>0.8793700000000001</v>
      </c>
      <c r="AE62" s="6">
        <v>1.98245</v>
      </c>
      <c r="AF62" s="7">
        <v>22965.03</v>
      </c>
      <c r="AG62" s="6">
        <v>0</v>
      </c>
      <c r="AH62" s="7">
        <v>0</v>
      </c>
      <c r="AI62" s="15">
        <v>2.8618200000000003</v>
      </c>
      <c r="AJ62" s="6">
        <v>1.0133923512747876</v>
      </c>
      <c r="AK62" s="3"/>
      <c r="AL62" s="6">
        <v>70.90805190291722</v>
      </c>
      <c r="AM62" s="6">
        <v>5.903848540084986</v>
      </c>
      <c r="AN62" s="6">
        <v>15.244162999114728</v>
      </c>
      <c r="AO62" s="6">
        <v>49.76004036371751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/>
      <c r="BD62" s="3"/>
      <c r="BE62" s="3"/>
      <c r="BF62" s="7">
        <v>20024.433857383825</v>
      </c>
    </row>
    <row x14ac:dyDescent="0.25" r="63" customHeight="1" ht="12.75">
      <c r="A63" s="5" t="s">
        <v>314</v>
      </c>
      <c r="B63" s="3" t="s">
        <v>855</v>
      </c>
      <c r="C63" s="3" t="s">
        <v>856</v>
      </c>
      <c r="D63" s="3" t="s">
        <v>928</v>
      </c>
      <c r="E63" s="3"/>
      <c r="F63" s="6">
        <f>100*SUM(AM63:AO63)/AL63</f>
      </c>
      <c r="G63" s="6">
        <f>100*SUM(AP63)/AL63</f>
      </c>
      <c r="H63" s="6">
        <f>100*SUM(AQ63)/AL63</f>
      </c>
      <c r="I63" s="6">
        <f>100*SUM(AR63:BC63)/AL63</f>
      </c>
      <c r="J63" s="3"/>
      <c r="K63" s="6">
        <v>45.926</v>
      </c>
      <c r="L63" s="6">
        <v>0.86</v>
      </c>
      <c r="M63" s="6">
        <v>2.53</v>
      </c>
      <c r="N63" s="7">
        <v>28.612000000000002</v>
      </c>
      <c r="O63" s="6"/>
      <c r="P63" s="6"/>
      <c r="Q63" s="7"/>
      <c r="R63" s="6"/>
      <c r="S63" s="6"/>
      <c r="T63" s="6"/>
      <c r="U63" s="5"/>
      <c r="V63" s="6"/>
      <c r="W63" s="6"/>
      <c r="X63" s="6"/>
      <c r="Y63" s="15"/>
      <c r="Z63" s="6"/>
      <c r="AA63" s="6"/>
      <c r="AB63" s="5"/>
      <c r="AC63" s="3"/>
      <c r="AD63" s="6">
        <v>0.3949636</v>
      </c>
      <c r="AE63" s="6">
        <v>1.1619278</v>
      </c>
      <c r="AF63" s="7">
        <v>1314.0347120000001</v>
      </c>
      <c r="AG63" s="6">
        <v>0</v>
      </c>
      <c r="AH63" s="7">
        <v>0</v>
      </c>
      <c r="AI63" s="15">
        <v>1.5568914</v>
      </c>
      <c r="AJ63" s="6">
        <v>3.3899999999999997</v>
      </c>
      <c r="AK63" s="3"/>
      <c r="AL63" s="6">
        <v>88.7525559</v>
      </c>
      <c r="AM63" s="6">
        <v>16.3052216</v>
      </c>
      <c r="AN63" s="6">
        <v>54.9397343</v>
      </c>
      <c r="AO63" s="6">
        <v>17.507600000000004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/>
      <c r="BD63" s="3"/>
      <c r="BE63" s="3"/>
      <c r="BF63" s="7">
        <v>4076.0498822634004</v>
      </c>
    </row>
    <row x14ac:dyDescent="0.25" r="64" customHeight="1" ht="12.75">
      <c r="A64" s="5" t="s">
        <v>520</v>
      </c>
      <c r="B64" s="3" t="s">
        <v>855</v>
      </c>
      <c r="C64" s="3" t="s">
        <v>856</v>
      </c>
      <c r="D64" s="3"/>
      <c r="E64" s="3"/>
      <c r="F64" s="6">
        <f>100*SUM(AM64:AO64)/AL64</f>
      </c>
      <c r="G64" s="6">
        <f>100*SUM(AP64)/AL64</f>
      </c>
      <c r="H64" s="6">
        <f>100*SUM(AQ64)/AL64</f>
      </c>
      <c r="I64" s="6">
        <f>100*SUM(AR64:BC64)/AL64</f>
      </c>
      <c r="J64" s="3"/>
      <c r="K64" s="6">
        <v>13.08</v>
      </c>
      <c r="L64" s="6"/>
      <c r="M64" s="6">
        <v>5.1</v>
      </c>
      <c r="N64" s="6">
        <v>23.7</v>
      </c>
      <c r="O64" s="6"/>
      <c r="P64" s="6"/>
      <c r="Q64" s="7"/>
      <c r="R64" s="6"/>
      <c r="S64" s="6"/>
      <c r="T64" s="6"/>
      <c r="U64" s="5"/>
      <c r="V64" s="6"/>
      <c r="W64" s="6"/>
      <c r="X64" s="6"/>
      <c r="Y64" s="15"/>
      <c r="Z64" s="6"/>
      <c r="AA64" s="6"/>
      <c r="AB64" s="5"/>
      <c r="AC64" s="3"/>
      <c r="AD64" s="6">
        <v>0</v>
      </c>
      <c r="AE64" s="6">
        <v>0.66708</v>
      </c>
      <c r="AF64" s="7">
        <v>309.996</v>
      </c>
      <c r="AG64" s="6">
        <v>0</v>
      </c>
      <c r="AH64" s="7">
        <v>0</v>
      </c>
      <c r="AI64" s="15">
        <v>0.66708</v>
      </c>
      <c r="AJ64" s="6">
        <v>5.1</v>
      </c>
      <c r="AK64" s="3"/>
      <c r="AL64" s="6">
        <v>125.25004241479098</v>
      </c>
      <c r="AM64" s="6">
        <v>0</v>
      </c>
      <c r="AN64" s="6">
        <v>110.74808099999998</v>
      </c>
      <c r="AO64" s="6">
        <v>14.501961414791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/>
      <c r="BD64" s="3"/>
      <c r="BE64" s="3"/>
      <c r="BF64" s="7">
        <v>1638.270554785466</v>
      </c>
    </row>
    <row x14ac:dyDescent="0.25" r="65" customHeight="1" ht="12.75">
      <c r="A65" s="5" t="s">
        <v>360</v>
      </c>
      <c r="B65" s="3" t="s">
        <v>855</v>
      </c>
      <c r="C65" s="3" t="s">
        <v>856</v>
      </c>
      <c r="D65" s="3" t="s">
        <v>929</v>
      </c>
      <c r="E65" s="3"/>
      <c r="F65" s="6">
        <f>100*SUM(AM65:AO65)/AL65</f>
      </c>
      <c r="G65" s="6">
        <f>100*SUM(AP65)/AL65</f>
      </c>
      <c r="H65" s="6">
        <f>100*SUM(AQ65)/AL65</f>
      </c>
      <c r="I65" s="6">
        <f>100*SUM(AR65:BC65)/AL65</f>
      </c>
      <c r="J65" s="3"/>
      <c r="K65" s="6">
        <v>33.6</v>
      </c>
      <c r="L65" s="6"/>
      <c r="M65" s="6">
        <v>1.4988690476190478</v>
      </c>
      <c r="N65" s="7">
        <v>172.07440476190476</v>
      </c>
      <c r="O65" s="6"/>
      <c r="P65" s="6"/>
      <c r="Q65" s="7"/>
      <c r="R65" s="6"/>
      <c r="S65" s="6"/>
      <c r="T65" s="6"/>
      <c r="U65" s="5"/>
      <c r="V65" s="6"/>
      <c r="W65" s="6"/>
      <c r="X65" s="6"/>
      <c r="Y65" s="15"/>
      <c r="Z65" s="6"/>
      <c r="AA65" s="6"/>
      <c r="AB65" s="5"/>
      <c r="AC65" s="3"/>
      <c r="AD65" s="6">
        <v>0</v>
      </c>
      <c r="AE65" s="6">
        <v>0.5036200000000001</v>
      </c>
      <c r="AF65" s="7">
        <v>5781.7</v>
      </c>
      <c r="AG65" s="6">
        <v>0</v>
      </c>
      <c r="AH65" s="7">
        <v>0</v>
      </c>
      <c r="AI65" s="15">
        <v>0.5036200000000001</v>
      </c>
      <c r="AJ65" s="6">
        <v>1.4988690476190478</v>
      </c>
      <c r="AK65" s="3"/>
      <c r="AL65" s="6">
        <v>137.84023632774654</v>
      </c>
      <c r="AM65" s="6">
        <v>0</v>
      </c>
      <c r="AN65" s="6">
        <v>32.54840601845238</v>
      </c>
      <c r="AO65" s="6">
        <v>105.29183030929416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/>
      <c r="BD65" s="3"/>
      <c r="BE65" s="3"/>
      <c r="BF65" s="7">
        <v>4631.431940612284</v>
      </c>
    </row>
    <row x14ac:dyDescent="0.25" r="66" customHeight="1" ht="12.75">
      <c r="A66" s="5" t="s">
        <v>562</v>
      </c>
      <c r="B66" s="3" t="s">
        <v>855</v>
      </c>
      <c r="C66" s="3" t="s">
        <v>856</v>
      </c>
      <c r="D66" s="3"/>
      <c r="E66" s="3"/>
      <c r="F66" s="6">
        <f>100*SUM(AM66:AO66)/AL66</f>
      </c>
      <c r="G66" s="6">
        <f>100*SUM(AP66)/AL66</f>
      </c>
      <c r="H66" s="6">
        <f>100*SUM(AQ66)/AL66</f>
      </c>
      <c r="I66" s="6">
        <f>100*SUM(AR66:BC66)/AL66</f>
      </c>
      <c r="J66" s="3"/>
      <c r="K66" s="6">
        <v>20.743</v>
      </c>
      <c r="L66" s="6">
        <v>0.7619114882128911</v>
      </c>
      <c r="M66" s="6">
        <v>1.3654905269247457</v>
      </c>
      <c r="N66" s="7">
        <v>104.25518006074338</v>
      </c>
      <c r="O66" s="6"/>
      <c r="P66" s="6"/>
      <c r="Q66" s="7"/>
      <c r="R66" s="6"/>
      <c r="S66" s="6"/>
      <c r="T66" s="6"/>
      <c r="U66" s="5"/>
      <c r="V66" s="6"/>
      <c r="W66" s="6"/>
      <c r="X66" s="6"/>
      <c r="Y66" s="15"/>
      <c r="Z66" s="6"/>
      <c r="AA66" s="6"/>
      <c r="AB66" s="5"/>
      <c r="AC66" s="3"/>
      <c r="AD66" s="6">
        <v>0.1580433</v>
      </c>
      <c r="AE66" s="6">
        <v>0.2832437</v>
      </c>
      <c r="AF66" s="7">
        <v>2162.5652</v>
      </c>
      <c r="AG66" s="6">
        <v>0</v>
      </c>
      <c r="AH66" s="7">
        <v>0</v>
      </c>
      <c r="AI66" s="15">
        <v>0.441287</v>
      </c>
      <c r="AJ66" s="6">
        <v>2.127402015137637</v>
      </c>
      <c r="AK66" s="3"/>
      <c r="AL66" s="6">
        <v>107.89099964577127</v>
      </c>
      <c r="AM66" s="6">
        <v>14.445506575461602</v>
      </c>
      <c r="AN66" s="6">
        <v>29.652050094234202</v>
      </c>
      <c r="AO66" s="6">
        <v>63.79344297607546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/>
      <c r="BD66" s="3"/>
      <c r="BE66" s="3"/>
      <c r="BF66" s="7">
        <v>2237.9830056522333</v>
      </c>
    </row>
    <row x14ac:dyDescent="0.25" r="67" customHeight="1" ht="12.75">
      <c r="A67" s="5" t="s">
        <v>238</v>
      </c>
      <c r="B67" s="3" t="s">
        <v>855</v>
      </c>
      <c r="C67" s="3" t="s">
        <v>856</v>
      </c>
      <c r="D67" s="3" t="s">
        <v>924</v>
      </c>
      <c r="E67" s="3"/>
      <c r="F67" s="6">
        <f>100*SUM(AM67:AO67)/AL67</f>
      </c>
      <c r="G67" s="6">
        <f>100*SUM(AP67)/AL67</f>
      </c>
      <c r="H67" s="6">
        <f>100*SUM(AQ67)/AL67</f>
      </c>
      <c r="I67" s="6">
        <f>100*SUM(AR67:BC67)/AL67</f>
      </c>
      <c r="J67" s="3"/>
      <c r="K67" s="6">
        <v>4.1</v>
      </c>
      <c r="L67" s="7">
        <v>0.9170731707317074</v>
      </c>
      <c r="M67" s="7">
        <v>9.80487804878049</v>
      </c>
      <c r="N67" s="31">
        <v>302.4390243902439</v>
      </c>
      <c r="O67" s="6"/>
      <c r="P67" s="6"/>
      <c r="Q67" s="7"/>
      <c r="R67" s="6"/>
      <c r="S67" s="6"/>
      <c r="T67" s="6"/>
      <c r="U67" s="5"/>
      <c r="V67" s="6"/>
      <c r="W67" s="6"/>
      <c r="X67" s="6"/>
      <c r="Y67" s="15"/>
      <c r="Z67" s="6"/>
      <c r="AA67" s="6"/>
      <c r="AB67" s="5"/>
      <c r="AC67" s="3"/>
      <c r="AD67" s="6">
        <v>0.037599999999999995</v>
      </c>
      <c r="AE67" s="6">
        <v>0.402</v>
      </c>
      <c r="AF67" s="7">
        <v>1240</v>
      </c>
      <c r="AG67" s="6">
        <v>0</v>
      </c>
      <c r="AH67" s="7">
        <v>0</v>
      </c>
      <c r="AI67" s="15">
        <v>0.4396</v>
      </c>
      <c r="AJ67" s="6">
        <v>10.721951219512198</v>
      </c>
      <c r="AK67" s="3"/>
      <c r="AL67" s="6">
        <v>415.36483394525925</v>
      </c>
      <c r="AM67" s="6">
        <v>17.38730380487805</v>
      </c>
      <c r="AN67" s="6">
        <v>212.91596634146345</v>
      </c>
      <c r="AO67" s="6">
        <v>185.06156379891775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/>
      <c r="BD67" s="3"/>
      <c r="BE67" s="3"/>
      <c r="BF67" s="7">
        <v>1702.9958191755627</v>
      </c>
    </row>
    <row x14ac:dyDescent="0.25" r="68" customHeight="1" ht="12.75">
      <c r="A68" s="5" t="s">
        <v>481</v>
      </c>
      <c r="B68" s="3" t="s">
        <v>855</v>
      </c>
      <c r="C68" s="3" t="s">
        <v>856</v>
      </c>
      <c r="D68" s="3" t="s">
        <v>928</v>
      </c>
      <c r="E68" s="3"/>
      <c r="F68" s="6">
        <f>100*SUM(AM68:AO68)/AL68</f>
      </c>
      <c r="G68" s="6">
        <f>100*SUM(AP68)/AL68</f>
      </c>
      <c r="H68" s="6">
        <f>100*SUM(AQ68)/AL68</f>
      </c>
      <c r="I68" s="6">
        <f>100*SUM(AR68:BC68)/AL68</f>
      </c>
      <c r="J68" s="3"/>
      <c r="K68" s="6">
        <v>32.5</v>
      </c>
      <c r="L68" s="6">
        <v>0.38000000000000006</v>
      </c>
      <c r="M68" s="6">
        <v>0.7821538461538462</v>
      </c>
      <c r="N68" s="31">
        <v>112.21538461538462</v>
      </c>
      <c r="O68" s="6"/>
      <c r="P68" s="6"/>
      <c r="Q68" s="7"/>
      <c r="R68" s="6"/>
      <c r="S68" s="6"/>
      <c r="T68" s="6"/>
      <c r="U68" s="5"/>
      <c r="V68" s="6"/>
      <c r="W68" s="6"/>
      <c r="X68" s="6"/>
      <c r="Y68" s="15"/>
      <c r="Z68" s="6"/>
      <c r="AA68" s="6"/>
      <c r="AB68" s="5"/>
      <c r="AC68" s="3"/>
      <c r="AD68" s="6">
        <v>0.12350000000000001</v>
      </c>
      <c r="AE68" s="6">
        <v>0.25420000000000004</v>
      </c>
      <c r="AF68" s="7">
        <v>3647</v>
      </c>
      <c r="AG68" s="6">
        <v>0</v>
      </c>
      <c r="AH68" s="7">
        <v>0</v>
      </c>
      <c r="AI68" s="15">
        <v>0.37770000000000004</v>
      </c>
      <c r="AJ68" s="6">
        <v>1.1621538461538463</v>
      </c>
      <c r="AK68" s="3"/>
      <c r="AL68" s="6">
        <v>92.85361514402177</v>
      </c>
      <c r="AM68" s="6">
        <v>7.204632800000001</v>
      </c>
      <c r="AN68" s="6">
        <v>16.984713236923078</v>
      </c>
      <c r="AO68" s="6">
        <v>68.6642691070987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/>
      <c r="BD68" s="3"/>
      <c r="BE68" s="3"/>
      <c r="BF68" s="7">
        <v>3017.742492180708</v>
      </c>
    </row>
    <row x14ac:dyDescent="0.25" r="69" customHeight="1" ht="12.75">
      <c r="A69" s="5" t="s">
        <v>667</v>
      </c>
      <c r="B69" s="3" t="s">
        <v>855</v>
      </c>
      <c r="C69" s="3" t="s">
        <v>856</v>
      </c>
      <c r="D69" s="3"/>
      <c r="E69" s="3"/>
      <c r="F69" s="6">
        <f>100*SUM(AM69:AO69)/AL69</f>
      </c>
      <c r="G69" s="6">
        <f>100*SUM(AP69)/AL69</f>
      </c>
      <c r="H69" s="6">
        <f>100*SUM(AQ69)/AL69</f>
      </c>
      <c r="I69" s="6">
        <f>100*SUM(AR69:BC69)/AL69</f>
      </c>
      <c r="J69" s="3"/>
      <c r="K69" s="23">
        <v>18.4161</v>
      </c>
      <c r="L69" s="6">
        <v>0.68</v>
      </c>
      <c r="M69" s="6">
        <v>1.16</v>
      </c>
      <c r="N69" s="6">
        <v>43.04</v>
      </c>
      <c r="O69" s="6"/>
      <c r="P69" s="6"/>
      <c r="Q69" s="7"/>
      <c r="R69" s="6"/>
      <c r="S69" s="6"/>
      <c r="T69" s="6"/>
      <c r="U69" s="5"/>
      <c r="V69" s="6"/>
      <c r="W69" s="6"/>
      <c r="X69" s="6"/>
      <c r="Y69" s="15"/>
      <c r="Z69" s="6"/>
      <c r="AA69" s="6"/>
      <c r="AB69" s="5"/>
      <c r="AC69" s="3"/>
      <c r="AD69" s="6">
        <v>0.12522948</v>
      </c>
      <c r="AE69" s="6">
        <v>0.21362676</v>
      </c>
      <c r="AF69" s="7">
        <v>792.628944</v>
      </c>
      <c r="AG69" s="6">
        <v>0</v>
      </c>
      <c r="AH69" s="7">
        <v>0</v>
      </c>
      <c r="AI69" s="15">
        <v>0.33885624000000003</v>
      </c>
      <c r="AJ69" s="6">
        <v>1.8399999999999999</v>
      </c>
      <c r="AK69" s="3"/>
      <c r="AL69" s="6">
        <v>64.41831184694533</v>
      </c>
      <c r="AM69" s="6">
        <v>12.8925008</v>
      </c>
      <c r="AN69" s="6">
        <v>25.1897596</v>
      </c>
      <c r="AO69" s="6">
        <v>26.33605144694534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/>
      <c r="BD69" s="3"/>
      <c r="BE69" s="3"/>
      <c r="BF69" s="7">
        <v>1186.3340728045298</v>
      </c>
    </row>
    <row x14ac:dyDescent="0.25" r="70" customHeight="1" ht="12.75">
      <c r="A70" s="5" t="s">
        <v>493</v>
      </c>
      <c r="B70" s="3" t="s">
        <v>855</v>
      </c>
      <c r="C70" s="3" t="s">
        <v>856</v>
      </c>
      <c r="D70" s="3"/>
      <c r="E70" s="3"/>
      <c r="F70" s="6">
        <f>100*SUM(AM70:AO70)/AL70</f>
      </c>
      <c r="G70" s="6">
        <f>100*SUM(AP70)/AL70</f>
      </c>
      <c r="H70" s="6">
        <f>100*SUM(AQ70)/AL70</f>
      </c>
      <c r="I70" s="6">
        <f>100*SUM(AR70:BC70)/AL70</f>
      </c>
      <c r="J70" s="3"/>
      <c r="K70" s="6">
        <v>6.6</v>
      </c>
      <c r="L70" s="6">
        <v>0.296969696969697</v>
      </c>
      <c r="M70" s="6">
        <v>2.573787878787879</v>
      </c>
      <c r="N70" s="31">
        <v>342.2424242424243</v>
      </c>
      <c r="O70" s="6"/>
      <c r="P70" s="6"/>
      <c r="Q70" s="7"/>
      <c r="R70" s="6"/>
      <c r="S70" s="6"/>
      <c r="T70" s="6"/>
      <c r="U70" s="5"/>
      <c r="V70" s="6"/>
      <c r="W70" s="6"/>
      <c r="X70" s="6"/>
      <c r="Y70" s="15"/>
      <c r="Z70" s="6"/>
      <c r="AA70" s="6"/>
      <c r="AB70" s="5"/>
      <c r="AC70" s="3"/>
      <c r="AD70" s="6">
        <v>0.0196</v>
      </c>
      <c r="AE70" s="6">
        <v>0.16987000000000002</v>
      </c>
      <c r="AF70" s="7">
        <v>2258.8</v>
      </c>
      <c r="AG70" s="6">
        <v>0</v>
      </c>
      <c r="AH70" s="7">
        <v>0</v>
      </c>
      <c r="AI70" s="15">
        <v>0.18947000000000003</v>
      </c>
      <c r="AJ70" s="6">
        <v>2.870757575757576</v>
      </c>
      <c r="AK70" s="3"/>
      <c r="AL70" s="6">
        <v>270.9381654317793</v>
      </c>
      <c r="AM70" s="6">
        <v>5.630414787878788</v>
      </c>
      <c r="AN70" s="6">
        <v>55.89060166212122</v>
      </c>
      <c r="AO70" s="6">
        <v>209.4171489817793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/>
      <c r="BD70" s="3"/>
      <c r="BE70" s="3"/>
      <c r="BF70" s="7">
        <v>1788.1918918497431</v>
      </c>
    </row>
    <row x14ac:dyDescent="0.25" r="71" customHeight="1" ht="12.75">
      <c r="A71" s="5" t="s">
        <v>737</v>
      </c>
      <c r="B71" s="3" t="s">
        <v>855</v>
      </c>
      <c r="C71" s="3" t="s">
        <v>856</v>
      </c>
      <c r="D71" s="3" t="s">
        <v>930</v>
      </c>
      <c r="E71" s="3"/>
      <c r="F71" s="6">
        <f>100*SUM(AM71:AO71)/AL71</f>
      </c>
      <c r="G71" s="6">
        <f>100*SUM(AP71)/AL71</f>
      </c>
      <c r="H71" s="6">
        <f>100*SUM(AQ71)/AL71</f>
      </c>
      <c r="I71" s="6">
        <f>100*SUM(AR71:BC71)/AL71</f>
      </c>
      <c r="J71" s="3"/>
      <c r="K71" s="6">
        <v>7.6</v>
      </c>
      <c r="L71" s="6">
        <v>0.88</v>
      </c>
      <c r="M71" s="6">
        <v>1.54</v>
      </c>
      <c r="N71" s="7">
        <v>79</v>
      </c>
      <c r="O71" s="6"/>
      <c r="P71" s="6"/>
      <c r="Q71" s="7"/>
      <c r="R71" s="6"/>
      <c r="S71" s="6"/>
      <c r="T71" s="6"/>
      <c r="U71" s="5"/>
      <c r="V71" s="6"/>
      <c r="W71" s="6"/>
      <c r="X71" s="6"/>
      <c r="Y71" s="15"/>
      <c r="Z71" s="6"/>
      <c r="AA71" s="6"/>
      <c r="AB71" s="5"/>
      <c r="AC71" s="3"/>
      <c r="AD71" s="6">
        <v>0.06688</v>
      </c>
      <c r="AE71" s="6">
        <v>0.11703999999999999</v>
      </c>
      <c r="AF71" s="7">
        <v>600.4</v>
      </c>
      <c r="AG71" s="6">
        <v>0</v>
      </c>
      <c r="AH71" s="7">
        <v>0</v>
      </c>
      <c r="AI71" s="15">
        <v>0.18391999999999997</v>
      </c>
      <c r="AJ71" s="6">
        <v>2.42</v>
      </c>
      <c r="AK71" s="3"/>
      <c r="AL71" s="6">
        <v>98.46586158263666</v>
      </c>
      <c r="AM71" s="6">
        <v>16.6844128</v>
      </c>
      <c r="AN71" s="6">
        <v>33.4415774</v>
      </c>
      <c r="AO71" s="6">
        <v>48.33987138263666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/>
      <c r="BD71" s="3"/>
      <c r="BE71" s="3"/>
      <c r="BF71" s="7">
        <v>748.3405480280386</v>
      </c>
    </row>
    <row x14ac:dyDescent="0.25" r="72" customHeight="1" ht="12.75">
      <c r="A72" s="5" t="s">
        <v>286</v>
      </c>
      <c r="B72" s="3" t="s">
        <v>855</v>
      </c>
      <c r="C72" s="3" t="s">
        <v>856</v>
      </c>
      <c r="D72" s="3" t="s">
        <v>928</v>
      </c>
      <c r="E72" s="3"/>
      <c r="F72" s="6">
        <f>100*SUM(AM72:AO72)/AL72</f>
      </c>
      <c r="G72" s="6">
        <f>100*SUM(AP72)/AL72</f>
      </c>
      <c r="H72" s="6">
        <f>100*SUM(AQ72)/AL72</f>
      </c>
      <c r="I72" s="6">
        <f>100*SUM(AR72:BC72)/AL72</f>
      </c>
      <c r="J72" s="3"/>
      <c r="K72" s="6">
        <v>0.91</v>
      </c>
      <c r="L72" s="6">
        <v>3.85</v>
      </c>
      <c r="M72" s="6">
        <v>6.06</v>
      </c>
      <c r="N72" s="7">
        <v>270.259</v>
      </c>
      <c r="O72" s="6"/>
      <c r="P72" s="6"/>
      <c r="Q72" s="7"/>
      <c r="R72" s="6"/>
      <c r="S72" s="6"/>
      <c r="T72" s="6"/>
      <c r="U72" s="5"/>
      <c r="V72" s="6"/>
      <c r="W72" s="6"/>
      <c r="X72" s="6"/>
      <c r="Y72" s="15"/>
      <c r="Z72" s="6"/>
      <c r="AA72" s="6"/>
      <c r="AB72" s="5"/>
      <c r="AC72" s="3"/>
      <c r="AD72" s="6">
        <v>0.035035000000000004</v>
      </c>
      <c r="AE72" s="6">
        <v>0.055146</v>
      </c>
      <c r="AF72" s="7">
        <v>245.93569000000002</v>
      </c>
      <c r="AG72" s="6">
        <v>0</v>
      </c>
      <c r="AH72" s="7">
        <v>0</v>
      </c>
      <c r="AI72" s="15">
        <v>0.09018100000000001</v>
      </c>
      <c r="AJ72" s="6">
        <v>9.91</v>
      </c>
      <c r="AK72" s="3"/>
      <c r="AL72" s="6">
        <v>369.95978460000003</v>
      </c>
      <c r="AM72" s="6">
        <v>72.994306</v>
      </c>
      <c r="AN72" s="6">
        <v>131.59477859999998</v>
      </c>
      <c r="AO72" s="6">
        <v>165.37070000000003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/>
      <c r="BD72" s="3"/>
      <c r="BE72" s="3"/>
      <c r="BF72" s="7">
        <v>336.66340398600005</v>
      </c>
    </row>
    <row x14ac:dyDescent="0.25" r="73" customHeight="1" ht="12.75">
      <c r="A73" s="5" t="s">
        <v>712</v>
      </c>
      <c r="B73" s="3" t="s">
        <v>855</v>
      </c>
      <c r="C73" s="3" t="s">
        <v>856</v>
      </c>
      <c r="D73" s="3" t="s">
        <v>928</v>
      </c>
      <c r="E73" s="3"/>
      <c r="F73" s="6">
        <f>100*SUM(AM73:AO73)/AL73</f>
      </c>
      <c r="G73" s="6">
        <f>100*SUM(AP73)/AL73</f>
      </c>
      <c r="H73" s="6">
        <f>100*SUM(AQ73)/AL73</f>
      </c>
      <c r="I73" s="6">
        <f>100*SUM(AR73:BC73)/AL73</f>
      </c>
      <c r="J73" s="3"/>
      <c r="K73" s="6">
        <v>10.828</v>
      </c>
      <c r="L73" s="6">
        <v>0.31</v>
      </c>
      <c r="M73" s="6">
        <v>0.5</v>
      </c>
      <c r="N73" s="5">
        <v>111</v>
      </c>
      <c r="O73" s="6"/>
      <c r="P73" s="6"/>
      <c r="Q73" s="7"/>
      <c r="R73" s="6"/>
      <c r="S73" s="6"/>
      <c r="T73" s="6"/>
      <c r="U73" s="5"/>
      <c r="V73" s="6"/>
      <c r="W73" s="6"/>
      <c r="X73" s="6"/>
      <c r="Y73" s="15"/>
      <c r="Z73" s="6"/>
      <c r="AA73" s="6"/>
      <c r="AB73" s="5"/>
      <c r="AC73" s="3"/>
      <c r="AD73" s="6">
        <v>0.0335668</v>
      </c>
      <c r="AE73" s="6">
        <v>0.054139999999999994</v>
      </c>
      <c r="AF73" s="7">
        <v>1201.908</v>
      </c>
      <c r="AG73" s="6">
        <v>0</v>
      </c>
      <c r="AH73" s="7">
        <v>0</v>
      </c>
      <c r="AI73" s="15">
        <v>0.0877068</v>
      </c>
      <c r="AJ73" s="6">
        <v>0.81</v>
      </c>
      <c r="AK73" s="3"/>
      <c r="AL73" s="6">
        <v>84.65569737813505</v>
      </c>
      <c r="AM73" s="6">
        <v>5.8774636</v>
      </c>
      <c r="AN73" s="6">
        <v>10.857655</v>
      </c>
      <c r="AO73" s="6">
        <v>67.92057877813505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/>
      <c r="BD73" s="3"/>
      <c r="BE73" s="3"/>
      <c r="BF73" s="7">
        <v>916.6518912104463</v>
      </c>
    </row>
    <row x14ac:dyDescent="0.25" r="74" customHeight="1" ht="12.75">
      <c r="A74" s="5" t="s">
        <v>435</v>
      </c>
      <c r="B74" s="3" t="s">
        <v>855</v>
      </c>
      <c r="C74" s="3" t="s">
        <v>856</v>
      </c>
      <c r="D74" s="3" t="s">
        <v>928</v>
      </c>
      <c r="E74" s="3"/>
      <c r="F74" s="6">
        <f>100*SUM(AM74:AO74)/AL74</f>
      </c>
      <c r="G74" s="6">
        <f>100*SUM(AP74)/AL74</f>
      </c>
      <c r="H74" s="6">
        <f>100*SUM(AQ74)/AL74</f>
      </c>
      <c r="I74" s="6">
        <f>100*SUM(AR74:BC74)/AL74</f>
      </c>
      <c r="J74" s="3"/>
      <c r="K74" s="23">
        <v>3.2604767999999997</v>
      </c>
      <c r="L74" s="7">
        <v>1.414858096828047</v>
      </c>
      <c r="M74" s="7">
        <v>1.1</v>
      </c>
      <c r="N74" s="31">
        <v>386.98957772065734</v>
      </c>
      <c r="O74" s="6"/>
      <c r="P74" s="6"/>
      <c r="Q74" s="7"/>
      <c r="R74" s="6"/>
      <c r="S74" s="6"/>
      <c r="T74" s="6"/>
      <c r="U74" s="5"/>
      <c r="V74" s="6"/>
      <c r="W74" s="6"/>
      <c r="X74" s="6"/>
      <c r="Y74" s="15"/>
      <c r="Z74" s="6"/>
      <c r="AA74" s="6"/>
      <c r="AB74" s="5"/>
      <c r="AC74" s="3"/>
      <c r="AD74" s="6">
        <v>0.04613112000000001</v>
      </c>
      <c r="AE74" s="6">
        <v>0.0358652448</v>
      </c>
      <c r="AF74" s="7">
        <v>1261.77054</v>
      </c>
      <c r="AG74" s="6">
        <v>0</v>
      </c>
      <c r="AH74" s="7">
        <v>0</v>
      </c>
      <c r="AI74" s="15">
        <v>0.08199636480000001</v>
      </c>
      <c r="AJ74" s="6">
        <v>2.514858096828047</v>
      </c>
      <c r="AK74" s="3"/>
      <c r="AL74" s="6">
        <v>287.5097306800371</v>
      </c>
      <c r="AM74" s="6">
        <v>26.825086978297165</v>
      </c>
      <c r="AN74" s="6">
        <v>23.886841</v>
      </c>
      <c r="AO74" s="6">
        <v>236.7978027017399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/>
      <c r="BD74" s="3"/>
      <c r="BE74" s="3"/>
      <c r="BF74" s="7">
        <v>937.418806656509</v>
      </c>
    </row>
    <row x14ac:dyDescent="0.25" r="75" customHeight="1" ht="12.75">
      <c r="A75" s="5" t="s">
        <v>826</v>
      </c>
      <c r="B75" s="3" t="s">
        <v>855</v>
      </c>
      <c r="C75" s="3" t="s">
        <v>856</v>
      </c>
      <c r="D75" s="3"/>
      <c r="E75" s="3"/>
      <c r="F75" s="6">
        <f>100*SUM(AM75:AO75)/AL75</f>
      </c>
      <c r="G75" s="6">
        <f>100*SUM(AP75)/AL75</f>
      </c>
      <c r="H75" s="6">
        <f>100*SUM(AQ75)/AL75</f>
      </c>
      <c r="I75" s="6">
        <f>100*SUM(AR75:BC75)/AL75</f>
      </c>
      <c r="J75" s="3"/>
      <c r="K75" s="6">
        <v>2.7</v>
      </c>
      <c r="L75" s="6">
        <v>0.85</v>
      </c>
      <c r="M75" s="6">
        <v>1.58</v>
      </c>
      <c r="N75" s="5">
        <v>26</v>
      </c>
      <c r="O75" s="6"/>
      <c r="P75" s="6"/>
      <c r="Q75" s="7"/>
      <c r="R75" s="6"/>
      <c r="S75" s="6"/>
      <c r="T75" s="6"/>
      <c r="U75" s="5"/>
      <c r="V75" s="6"/>
      <c r="W75" s="6"/>
      <c r="X75" s="6"/>
      <c r="Y75" s="15"/>
      <c r="Z75" s="6"/>
      <c r="AA75" s="6"/>
      <c r="AB75" s="5"/>
      <c r="AC75" s="3"/>
      <c r="AD75" s="6">
        <v>0.022949999999999998</v>
      </c>
      <c r="AE75" s="6">
        <v>0.04266000000000001</v>
      </c>
      <c r="AF75" s="7">
        <v>70.2</v>
      </c>
      <c r="AG75" s="6">
        <v>0</v>
      </c>
      <c r="AH75" s="7">
        <v>0</v>
      </c>
      <c r="AI75" s="15">
        <v>0.06561</v>
      </c>
      <c r="AJ75" s="6">
        <v>2.43</v>
      </c>
      <c r="AK75" s="3"/>
      <c r="AL75" s="6">
        <v>66.33514055884245</v>
      </c>
      <c r="AM75" s="6">
        <v>16.115626</v>
      </c>
      <c r="AN75" s="6">
        <v>34.3101898</v>
      </c>
      <c r="AO75" s="6">
        <v>15.909324758842445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/>
      <c r="BD75" s="3"/>
      <c r="BE75" s="3"/>
      <c r="BF75" s="7">
        <v>179.10487950887463</v>
      </c>
    </row>
    <row x14ac:dyDescent="0.25" r="76" customHeight="1" ht="12.75">
      <c r="A76" s="5" t="s">
        <v>790</v>
      </c>
      <c r="B76" s="3" t="s">
        <v>855</v>
      </c>
      <c r="C76" s="3" t="s">
        <v>856</v>
      </c>
      <c r="D76" s="3" t="s">
        <v>931</v>
      </c>
      <c r="E76" s="3"/>
      <c r="F76" s="6">
        <f>100*SUM(AM76:AO76)/AL76</f>
      </c>
      <c r="G76" s="6">
        <f>100*SUM(AP76)/AL76</f>
      </c>
      <c r="H76" s="6">
        <f>100*SUM(AQ76)/AL76</f>
      </c>
      <c r="I76" s="6">
        <f>100*SUM(AR76:BC76)/AL76</f>
      </c>
      <c r="J76" s="3"/>
      <c r="K76" s="6">
        <v>5.9</v>
      </c>
      <c r="L76" s="6">
        <v>0.6</v>
      </c>
      <c r="M76" s="6"/>
      <c r="N76" s="5">
        <v>110</v>
      </c>
      <c r="O76" s="6"/>
      <c r="P76" s="6"/>
      <c r="Q76" s="7"/>
      <c r="R76" s="6"/>
      <c r="S76" s="6"/>
      <c r="T76" s="6"/>
      <c r="U76" s="5"/>
      <c r="V76" s="6"/>
      <c r="W76" s="6"/>
      <c r="X76" s="6"/>
      <c r="Y76" s="15"/>
      <c r="Z76" s="6"/>
      <c r="AA76" s="6"/>
      <c r="AB76" s="5"/>
      <c r="AC76" s="3"/>
      <c r="AD76" s="6">
        <v>0.0354</v>
      </c>
      <c r="AE76" s="6">
        <v>0</v>
      </c>
      <c r="AF76" s="7">
        <v>649</v>
      </c>
      <c r="AG76" s="6">
        <v>0</v>
      </c>
      <c r="AH76" s="7">
        <v>0</v>
      </c>
      <c r="AI76" s="15">
        <v>0.0354</v>
      </c>
      <c r="AJ76" s="6">
        <v>0.6</v>
      </c>
      <c r="AK76" s="3"/>
      <c r="AL76" s="6">
        <v>78.68441767202575</v>
      </c>
      <c r="AM76" s="6">
        <v>11.375736</v>
      </c>
      <c r="AN76" s="6">
        <v>0</v>
      </c>
      <c r="AO76" s="6">
        <v>67.30868167202574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/>
      <c r="BD76" s="3"/>
      <c r="BE76" s="3"/>
      <c r="BF76" s="7">
        <v>464.2380642649519</v>
      </c>
    </row>
    <row x14ac:dyDescent="0.25" r="77" customHeight="1" ht="12.75">
      <c r="A77" s="5" t="s">
        <v>805</v>
      </c>
      <c r="B77" s="3" t="s">
        <v>855</v>
      </c>
      <c r="C77" s="3" t="s">
        <v>856</v>
      </c>
      <c r="D77" s="3" t="s">
        <v>928</v>
      </c>
      <c r="E77" s="3"/>
      <c r="F77" s="6">
        <f>100*SUM(AM77:AO77)/AL77</f>
      </c>
      <c r="G77" s="6">
        <f>100*SUM(AP77)/AL77</f>
      </c>
      <c r="H77" s="6">
        <f>100*SUM(AQ77)/AL77</f>
      </c>
      <c r="I77" s="6">
        <f>100*SUM(AR77:BC77)/AL77</f>
      </c>
      <c r="J77" s="3"/>
      <c r="K77" s="6">
        <v>2.3</v>
      </c>
      <c r="L77" s="6">
        <v>0.32</v>
      </c>
      <c r="M77" s="6">
        <v>0.66</v>
      </c>
      <c r="N77" s="6">
        <v>191.8</v>
      </c>
      <c r="O77" s="6"/>
      <c r="P77" s="6"/>
      <c r="Q77" s="7"/>
      <c r="R77" s="6"/>
      <c r="S77" s="6"/>
      <c r="T77" s="6"/>
      <c r="U77" s="5"/>
      <c r="V77" s="6"/>
      <c r="W77" s="6"/>
      <c r="X77" s="6"/>
      <c r="Y77" s="15"/>
      <c r="Z77" s="6"/>
      <c r="AA77" s="6"/>
      <c r="AB77" s="5"/>
      <c r="AC77" s="3"/>
      <c r="AD77" s="6">
        <v>0.00736</v>
      </c>
      <c r="AE77" s="6">
        <v>0.01518</v>
      </c>
      <c r="AF77" s="7">
        <v>441.14</v>
      </c>
      <c r="AG77" s="6">
        <v>0</v>
      </c>
      <c r="AH77" s="7">
        <v>0</v>
      </c>
      <c r="AI77" s="15">
        <v>0.02254</v>
      </c>
      <c r="AJ77" s="6">
        <v>0.98</v>
      </c>
      <c r="AK77" s="3"/>
      <c r="AL77" s="6">
        <v>137.76102875176852</v>
      </c>
      <c r="AM77" s="6">
        <v>6.0670592</v>
      </c>
      <c r="AN77" s="6">
        <v>14.3321046</v>
      </c>
      <c r="AO77" s="6">
        <v>117.36186495176851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/>
      <c r="BD77" s="3"/>
      <c r="BE77" s="3"/>
      <c r="BF77" s="7">
        <v>316.8503661290676</v>
      </c>
    </row>
    <row x14ac:dyDescent="0.25" r="78" customHeight="1" ht="12.75">
      <c r="A78" s="5" t="s">
        <v>207</v>
      </c>
      <c r="B78" s="3" t="s">
        <v>855</v>
      </c>
      <c r="C78" s="3" t="s">
        <v>856</v>
      </c>
      <c r="D78" s="3"/>
      <c r="E78" s="3"/>
      <c r="F78" s="6">
        <f>100*SUM(AM78:AO78)/AL78</f>
      </c>
      <c r="G78" s="6">
        <f>100*SUM(AP78)/AL78</f>
      </c>
      <c r="H78" s="6">
        <f>100*SUM(AQ78)/AL78</f>
      </c>
      <c r="I78" s="6">
        <f>100*SUM(AR78:BC78)/AL78</f>
      </c>
      <c r="J78" s="3"/>
      <c r="K78" s="6">
        <v>0.75</v>
      </c>
      <c r="L78" s="7">
        <v>2.5734354485776803</v>
      </c>
      <c r="M78" s="6"/>
      <c r="N78" s="31">
        <v>638.4870897155361</v>
      </c>
      <c r="O78" s="6"/>
      <c r="P78" s="6"/>
      <c r="Q78" s="7"/>
      <c r="R78" s="6"/>
      <c r="S78" s="6"/>
      <c r="T78" s="6"/>
      <c r="U78" s="5"/>
      <c r="V78" s="6"/>
      <c r="W78" s="6"/>
      <c r="X78" s="6"/>
      <c r="Y78" s="15"/>
      <c r="Z78" s="6"/>
      <c r="AA78" s="6"/>
      <c r="AB78" s="5"/>
      <c r="AC78" s="3"/>
      <c r="AD78" s="6">
        <v>0.019300765864332603</v>
      </c>
      <c r="AE78" s="6">
        <v>0</v>
      </c>
      <c r="AF78" s="7">
        <v>478.86531728665204</v>
      </c>
      <c r="AG78" s="6">
        <v>0</v>
      </c>
      <c r="AH78" s="7">
        <v>0</v>
      </c>
      <c r="AI78" s="15">
        <v>0.019300765864332603</v>
      </c>
      <c r="AJ78" s="6">
        <v>2.5734354485776803</v>
      </c>
      <c r="AK78" s="3"/>
      <c r="AL78" s="6">
        <v>439.47960627853683</v>
      </c>
      <c r="AM78" s="6">
        <v>48.791203793435436</v>
      </c>
      <c r="AN78" s="6">
        <v>0</v>
      </c>
      <c r="AO78" s="6">
        <v>390.6884024851014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/>
      <c r="BD78" s="3"/>
      <c r="BE78" s="3"/>
      <c r="BF78" s="7">
        <v>329.60970470890265</v>
      </c>
    </row>
    <row x14ac:dyDescent="0.25" r="79" customHeight="1" ht="12.75">
      <c r="A79" s="5" t="s">
        <v>627</v>
      </c>
      <c r="B79" s="3" t="s">
        <v>855</v>
      </c>
      <c r="C79" s="3" t="s">
        <v>856</v>
      </c>
      <c r="D79" s="3"/>
      <c r="E79" s="3"/>
      <c r="F79" s="6">
        <f>100*SUM(AM79:AO79)/AL79</f>
      </c>
      <c r="G79" s="6">
        <f>100*SUM(AP79)/AL79</f>
      </c>
      <c r="H79" s="6">
        <f>100*SUM(AQ79)/AL79</f>
      </c>
      <c r="I79" s="6">
        <f>100*SUM(AR79:BC79)/AL79</f>
      </c>
      <c r="J79" s="3"/>
      <c r="K79" s="6">
        <v>0.285</v>
      </c>
      <c r="L79" s="6">
        <v>2.36</v>
      </c>
      <c r="M79" s="6">
        <v>3.8</v>
      </c>
      <c r="N79" s="31"/>
      <c r="O79" s="6"/>
      <c r="P79" s="6"/>
      <c r="Q79" s="7"/>
      <c r="R79" s="6"/>
      <c r="S79" s="6"/>
      <c r="T79" s="6"/>
      <c r="U79" s="5"/>
      <c r="V79" s="6"/>
      <c r="W79" s="6"/>
      <c r="X79" s="6"/>
      <c r="Y79" s="15"/>
      <c r="Z79" s="6"/>
      <c r="AA79" s="6"/>
      <c r="AB79" s="5"/>
      <c r="AC79" s="3"/>
      <c r="AD79" s="6">
        <v>0.0067259999999999985</v>
      </c>
      <c r="AE79" s="6">
        <v>0.01083</v>
      </c>
      <c r="AF79" s="7">
        <v>0</v>
      </c>
      <c r="AG79" s="6">
        <v>0</v>
      </c>
      <c r="AH79" s="7">
        <v>0</v>
      </c>
      <c r="AI79" s="15">
        <v>0.017556</v>
      </c>
      <c r="AJ79" s="6">
        <v>6.16</v>
      </c>
      <c r="AK79" s="3"/>
      <c r="AL79" s="6">
        <v>127.26273959999999</v>
      </c>
      <c r="AM79" s="6">
        <v>44.7445616</v>
      </c>
      <c r="AN79" s="6">
        <v>82.51817799999999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/>
      <c r="BD79" s="3"/>
      <c r="BE79" s="3"/>
      <c r="BF79" s="7">
        <v>36.269880785999995</v>
      </c>
    </row>
    <row x14ac:dyDescent="0.25" r="80" customHeight="1" ht="12.75">
      <c r="A80" s="5" t="s">
        <v>261</v>
      </c>
      <c r="B80" s="3" t="s">
        <v>855</v>
      </c>
      <c r="C80" s="3" t="s">
        <v>856</v>
      </c>
      <c r="D80" s="3" t="s">
        <v>929</v>
      </c>
      <c r="E80" s="3"/>
      <c r="F80" s="6">
        <f>100*SUM(AM80:AO80)/AL80</f>
      </c>
      <c r="G80" s="6">
        <f>100*SUM(AP80)/AL80</f>
      </c>
      <c r="H80" s="6">
        <f>100*SUM(AQ80)/AL80</f>
      </c>
      <c r="I80" s="6">
        <f>100*SUM(AR80:BC80)/AL80</f>
      </c>
      <c r="J80" s="3"/>
      <c r="K80" s="23">
        <v>0.145097</v>
      </c>
      <c r="L80" s="6">
        <v>11.46</v>
      </c>
      <c r="M80" s="6"/>
      <c r="N80" s="5"/>
      <c r="O80" s="6"/>
      <c r="P80" s="6"/>
      <c r="Q80" s="7"/>
      <c r="R80" s="6"/>
      <c r="S80" s="6"/>
      <c r="T80" s="6"/>
      <c r="U80" s="5"/>
      <c r="V80" s="6"/>
      <c r="W80" s="6"/>
      <c r="X80" s="6"/>
      <c r="Y80" s="15"/>
      <c r="Z80" s="6"/>
      <c r="AA80" s="6"/>
      <c r="AB80" s="5"/>
      <c r="AC80" s="3"/>
      <c r="AD80" s="6">
        <v>0.0166281162</v>
      </c>
      <c r="AE80" s="6">
        <v>0</v>
      </c>
      <c r="AF80" s="7">
        <v>0</v>
      </c>
      <c r="AG80" s="6">
        <v>0</v>
      </c>
      <c r="AH80" s="7">
        <v>0</v>
      </c>
      <c r="AI80" s="15">
        <v>0.0166281162</v>
      </c>
      <c r="AJ80" s="6">
        <v>11.46</v>
      </c>
      <c r="AK80" s="3"/>
      <c r="AL80" s="6">
        <v>217.2765576</v>
      </c>
      <c r="AM80" s="6">
        <v>217.2765576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/>
      <c r="BD80" s="3"/>
      <c r="BE80" s="3"/>
      <c r="BF80" s="7">
        <v>31.5261766780872</v>
      </c>
    </row>
    <row x14ac:dyDescent="0.25" r="81" customHeight="1" ht="12.75">
      <c r="A81" s="5" t="s">
        <v>223</v>
      </c>
      <c r="B81" s="3" t="s">
        <v>855</v>
      </c>
      <c r="C81" s="3" t="s">
        <v>856</v>
      </c>
      <c r="D81" s="3"/>
      <c r="E81" s="3"/>
      <c r="F81" s="6">
        <f>100*SUM(AM81:AO81)/AL81</f>
      </c>
      <c r="G81" s="6">
        <f>100*SUM(AP81)/AL81</f>
      </c>
      <c r="H81" s="6">
        <f>100*SUM(AQ81)/AL81</f>
      </c>
      <c r="I81" s="6">
        <f>100*SUM(AR81:BC81)/AL81</f>
      </c>
      <c r="J81" s="3"/>
      <c r="K81" s="23">
        <v>0.31</v>
      </c>
      <c r="L81" s="6">
        <v>2.063064516129032</v>
      </c>
      <c r="M81" s="6">
        <v>3.029516129032258</v>
      </c>
      <c r="N81" s="7">
        <v>523.2</v>
      </c>
      <c r="O81" s="6"/>
      <c r="P81" s="6"/>
      <c r="Q81" s="7"/>
      <c r="R81" s="6"/>
      <c r="S81" s="6"/>
      <c r="T81" s="6"/>
      <c r="U81" s="5"/>
      <c r="V81" s="6"/>
      <c r="W81" s="6"/>
      <c r="X81" s="6"/>
      <c r="Y81" s="15"/>
      <c r="Z81" s="6"/>
      <c r="AA81" s="6"/>
      <c r="AB81" s="5"/>
      <c r="AC81" s="3"/>
      <c r="AD81" s="6">
        <v>0.006395499999999999</v>
      </c>
      <c r="AE81" s="6">
        <v>0.009391499999999999</v>
      </c>
      <c r="AF81" s="7">
        <v>162.192</v>
      </c>
      <c r="AG81" s="6">
        <v>0</v>
      </c>
      <c r="AH81" s="7">
        <v>0</v>
      </c>
      <c r="AI81" s="15">
        <v>0.015787</v>
      </c>
      <c r="AJ81" s="6">
        <v>5.09258064516129</v>
      </c>
      <c r="AK81" s="3"/>
      <c r="AL81" s="6">
        <v>425.04624328575363</v>
      </c>
      <c r="AM81" s="6">
        <v>39.11479547741935</v>
      </c>
      <c r="AN81" s="6">
        <v>65.78688189193548</v>
      </c>
      <c r="AO81" s="6">
        <v>320.1445659163988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/>
      <c r="BD81" s="3"/>
      <c r="BE81" s="3"/>
      <c r="BF81" s="7">
        <v>131.7643354185836</v>
      </c>
    </row>
    <row x14ac:dyDescent="0.25" r="82" customHeight="1" ht="12.75">
      <c r="A82" s="5" t="s">
        <v>574</v>
      </c>
      <c r="B82" s="3" t="s">
        <v>855</v>
      </c>
      <c r="C82" s="3" t="s">
        <v>856</v>
      </c>
      <c r="D82" s="3"/>
      <c r="E82" s="3"/>
      <c r="F82" s="6">
        <f>100*SUM(AM82:AO82)/AL82</f>
      </c>
      <c r="G82" s="6">
        <f>100*SUM(AP82)/AL82</f>
      </c>
      <c r="H82" s="6">
        <f>100*SUM(AQ82)/AL82</f>
      </c>
      <c r="I82" s="6">
        <f>100*SUM(AR82:BC82)/AL82</f>
      </c>
      <c r="J82" s="3"/>
      <c r="K82" s="6">
        <v>0.1745</v>
      </c>
      <c r="L82" s="6">
        <v>6.81</v>
      </c>
      <c r="M82" s="6"/>
      <c r="N82" s="5"/>
      <c r="O82" s="6"/>
      <c r="P82" s="6"/>
      <c r="Q82" s="7"/>
      <c r="R82" s="6"/>
      <c r="S82" s="6"/>
      <c r="T82" s="6"/>
      <c r="U82" s="5"/>
      <c r="V82" s="6"/>
      <c r="W82" s="6"/>
      <c r="X82" s="6"/>
      <c r="Y82" s="15"/>
      <c r="Z82" s="6"/>
      <c r="AA82" s="6"/>
      <c r="AB82" s="5"/>
      <c r="AC82" s="3"/>
      <c r="AD82" s="6">
        <v>0.011883449999999997</v>
      </c>
      <c r="AE82" s="6">
        <v>0</v>
      </c>
      <c r="AF82" s="7">
        <v>0</v>
      </c>
      <c r="AG82" s="6">
        <v>0</v>
      </c>
      <c r="AH82" s="7">
        <v>0</v>
      </c>
      <c r="AI82" s="15">
        <v>0.011883449999999997</v>
      </c>
      <c r="AJ82" s="6">
        <v>6.81</v>
      </c>
      <c r="AK82" s="3"/>
      <c r="AL82" s="6">
        <v>129.11460359999998</v>
      </c>
      <c r="AM82" s="6">
        <v>129.11460359999998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/>
      <c r="BD82" s="3"/>
      <c r="BE82" s="3"/>
      <c r="BF82" s="7">
        <v>22.530498328199997</v>
      </c>
    </row>
    <row x14ac:dyDescent="0.25" r="83" customHeight="1" ht="12.75">
      <c r="A83" s="5" t="s">
        <v>92</v>
      </c>
      <c r="B83" s="3" t="s">
        <v>855</v>
      </c>
      <c r="C83" s="3" t="s">
        <v>856</v>
      </c>
      <c r="D83" s="3" t="s">
        <v>928</v>
      </c>
      <c r="E83" s="3"/>
      <c r="F83" s="6">
        <f>100*SUM(AM83:AO83)/AL83</f>
      </c>
      <c r="G83" s="6">
        <f>100*SUM(AP83)/AL83</f>
      </c>
      <c r="H83" s="6">
        <f>100*SUM(AQ83)/AL83</f>
      </c>
      <c r="I83" s="6">
        <f>100*SUM(AR83:BC83)/AL83</f>
      </c>
      <c r="J83" s="3"/>
      <c r="K83" s="23">
        <v>0.0695</v>
      </c>
      <c r="L83" s="6">
        <v>1.89</v>
      </c>
      <c r="M83" s="6">
        <v>9.12</v>
      </c>
      <c r="N83" s="7">
        <v>555.66</v>
      </c>
      <c r="O83" s="6"/>
      <c r="P83" s="6"/>
      <c r="Q83" s="7"/>
      <c r="R83" s="6"/>
      <c r="S83" s="6"/>
      <c r="T83" s="6"/>
      <c r="U83" s="5"/>
      <c r="V83" s="6"/>
      <c r="W83" s="6"/>
      <c r="X83" s="6"/>
      <c r="Y83" s="15"/>
      <c r="Z83" s="6"/>
      <c r="AA83" s="6"/>
      <c r="AB83" s="5"/>
      <c r="AC83" s="3"/>
      <c r="AD83" s="6">
        <v>0.00131355</v>
      </c>
      <c r="AE83" s="6">
        <v>0.006338399999999999</v>
      </c>
      <c r="AF83" s="7">
        <v>38.61837</v>
      </c>
      <c r="AG83" s="6">
        <v>0</v>
      </c>
      <c r="AH83" s="7">
        <v>0</v>
      </c>
      <c r="AI83" s="15">
        <v>0.007651949999999999</v>
      </c>
      <c r="AJ83" s="6">
        <v>11.01</v>
      </c>
      <c r="AK83" s="3"/>
      <c r="AL83" s="6">
        <v>573.8839415807074</v>
      </c>
      <c r="AM83" s="6">
        <v>35.8335684</v>
      </c>
      <c r="AN83" s="6">
        <v>198.04362719999997</v>
      </c>
      <c r="AO83" s="6">
        <v>340.0067459807074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/>
      <c r="BD83" s="3"/>
      <c r="BE83" s="3"/>
      <c r="BF83" s="7">
        <v>39.88493393985917</v>
      </c>
    </row>
    <row x14ac:dyDescent="0.25" r="84" customHeight="1" ht="12.75">
      <c r="A84" s="5" t="s">
        <v>256</v>
      </c>
      <c r="B84" s="3" t="s">
        <v>855</v>
      </c>
      <c r="C84" s="3" t="s">
        <v>856</v>
      </c>
      <c r="D84" s="3"/>
      <c r="E84" s="3"/>
      <c r="F84" s="6">
        <f>100*SUM(AM84:AO84)/AL84</f>
      </c>
      <c r="G84" s="6">
        <f>100*SUM(AP84)/AL84</f>
      </c>
      <c r="H84" s="6">
        <f>100*SUM(AQ84)/AL84</f>
      </c>
      <c r="I84" s="6">
        <f>100*SUM(AR84:BC84)/AL84</f>
      </c>
      <c r="J84" s="3"/>
      <c r="K84" s="6">
        <v>0.064</v>
      </c>
      <c r="L84" s="6">
        <v>3.55</v>
      </c>
      <c r="M84" s="6">
        <v>6.49</v>
      </c>
      <c r="N84" s="7">
        <v>307.8589</v>
      </c>
      <c r="O84" s="6"/>
      <c r="P84" s="6"/>
      <c r="Q84" s="7"/>
      <c r="R84" s="6"/>
      <c r="S84" s="6"/>
      <c r="T84" s="6"/>
      <c r="U84" s="5"/>
      <c r="V84" s="6"/>
      <c r="W84" s="6"/>
      <c r="X84" s="6"/>
      <c r="Y84" s="15"/>
      <c r="Z84" s="6"/>
      <c r="AA84" s="6"/>
      <c r="AB84" s="5"/>
      <c r="AC84" s="3"/>
      <c r="AD84" s="6">
        <v>0.0022719999999999997</v>
      </c>
      <c r="AE84" s="6">
        <v>0.0041536</v>
      </c>
      <c r="AF84" s="7">
        <v>19.7029696</v>
      </c>
      <c r="AG84" s="6">
        <v>0</v>
      </c>
      <c r="AH84" s="7">
        <v>0</v>
      </c>
      <c r="AI84" s="15">
        <v>0.0064256</v>
      </c>
      <c r="AJ84" s="6">
        <v>10.04</v>
      </c>
      <c r="AK84" s="3"/>
      <c r="AL84" s="6">
        <v>396.6167699</v>
      </c>
      <c r="AM84" s="6">
        <v>67.30643799999999</v>
      </c>
      <c r="AN84" s="6">
        <v>140.9323619</v>
      </c>
      <c r="AO84" s="6">
        <v>188.37797000000003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/>
      <c r="BD84" s="3"/>
      <c r="BE84" s="3"/>
      <c r="BF84" s="7">
        <v>25.3834732736</v>
      </c>
    </row>
    <row x14ac:dyDescent="0.25" r="85" customHeight="1" ht="12.75">
      <c r="A85" s="5" t="s">
        <v>279</v>
      </c>
      <c r="B85" s="3" t="s">
        <v>855</v>
      </c>
      <c r="C85" s="3" t="s">
        <v>856</v>
      </c>
      <c r="D85" s="3" t="s">
        <v>924</v>
      </c>
      <c r="E85" s="3"/>
      <c r="F85" s="6">
        <f>100*SUM(AM85:AO85)/AL85</f>
      </c>
      <c r="G85" s="6">
        <f>100*SUM(AP85)/AL85</f>
      </c>
      <c r="H85" s="6">
        <f>100*SUM(AQ85)/AL85</f>
      </c>
      <c r="I85" s="6">
        <f>100*SUM(AR85:BC85)/AL85</f>
      </c>
      <c r="J85" s="3"/>
      <c r="K85" s="6">
        <v>2.33</v>
      </c>
      <c r="L85" s="7">
        <v>2.2336909871244632</v>
      </c>
      <c r="M85" s="7">
        <v>8.735579399141631</v>
      </c>
      <c r="N85" s="31">
        <v>201.5922746781116</v>
      </c>
      <c r="O85" s="6"/>
      <c r="P85" s="6"/>
      <c r="Q85" s="7"/>
      <c r="R85" s="6"/>
      <c r="S85" s="6"/>
      <c r="T85" s="6"/>
      <c r="U85" s="5"/>
      <c r="V85" s="6"/>
      <c r="W85" s="6"/>
      <c r="X85" s="6"/>
      <c r="Y85" s="15"/>
      <c r="Z85" s="6"/>
      <c r="AA85" s="6"/>
      <c r="AB85" s="5"/>
      <c r="AC85" s="3"/>
      <c r="AD85" s="6">
        <v>0.052044999999999994</v>
      </c>
      <c r="AE85" s="6">
        <v>0.20353900000000003</v>
      </c>
      <c r="AF85" s="7">
        <v>469.71000000000004</v>
      </c>
      <c r="AG85" s="6">
        <v>0</v>
      </c>
      <c r="AH85" s="7">
        <v>0</v>
      </c>
      <c r="AI85" s="15">
        <v>0.25558400000000003</v>
      </c>
      <c r="AJ85" s="6">
        <v>10.969270386266095</v>
      </c>
      <c r="AK85" s="3"/>
      <c r="AL85" s="6">
        <v>355.39934246335235</v>
      </c>
      <c r="AM85" s="6">
        <v>42.34979829184549</v>
      </c>
      <c r="AN85" s="6">
        <v>189.69581468197424</v>
      </c>
      <c r="AO85" s="6">
        <v>123.35372948953263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/>
      <c r="BD85" s="3"/>
      <c r="BE85" s="3"/>
      <c r="BF85" s="7">
        <v>828.080467939611</v>
      </c>
    </row>
    <row x14ac:dyDescent="0.25" r="86" customHeight="1" ht="12.75">
      <c r="A86" s="5" t="s">
        <v>334</v>
      </c>
      <c r="B86" s="3" t="s">
        <v>855</v>
      </c>
      <c r="C86" s="3" t="s">
        <v>856</v>
      </c>
      <c r="D86" s="3"/>
      <c r="E86" s="3"/>
      <c r="F86" s="6">
        <f>100*SUM(AM86:AO86)/AL86</f>
      </c>
      <c r="G86" s="6">
        <f>100*SUM(AP86)/AL86</f>
      </c>
      <c r="H86" s="6">
        <f>100*SUM(AQ86)/AL86</f>
      </c>
      <c r="I86" s="6">
        <f>100*SUM(AR86:BC86)/AL86</f>
      </c>
      <c r="J86" s="3"/>
      <c r="K86" s="6">
        <v>2.3499999999999996</v>
      </c>
      <c r="L86" s="7">
        <v>0.8372340425531917</v>
      </c>
      <c r="M86" s="7">
        <v>9.176595744680851</v>
      </c>
      <c r="N86" s="31">
        <v>91.38297872340426</v>
      </c>
      <c r="O86" s="6"/>
      <c r="P86" s="6"/>
      <c r="Q86" s="7"/>
      <c r="R86" s="6"/>
      <c r="S86" s="6"/>
      <c r="T86" s="6"/>
      <c r="U86" s="5"/>
      <c r="V86" s="6"/>
      <c r="W86" s="6"/>
      <c r="X86" s="6"/>
      <c r="Y86" s="15"/>
      <c r="Z86" s="6"/>
      <c r="AA86" s="6"/>
      <c r="AB86" s="5"/>
      <c r="AC86" s="3"/>
      <c r="AD86" s="6">
        <v>0.019675</v>
      </c>
      <c r="AE86" s="6">
        <v>0.21564999999999998</v>
      </c>
      <c r="AF86" s="7">
        <v>214.75</v>
      </c>
      <c r="AG86" s="6">
        <v>0</v>
      </c>
      <c r="AH86" s="7">
        <v>0</v>
      </c>
      <c r="AI86" s="15">
        <v>0.23532499999999998</v>
      </c>
      <c r="AJ86" s="6">
        <v>10.013829787234043</v>
      </c>
      <c r="AK86" s="3"/>
      <c r="AL86" s="6">
        <v>271.0631906327564</v>
      </c>
      <c r="AM86" s="6">
        <v>15.873589063829789</v>
      </c>
      <c r="AN86" s="6">
        <v>199.27262134042553</v>
      </c>
      <c r="AO86" s="6">
        <v>55.916980228501075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/>
      <c r="BD86" s="3"/>
      <c r="BE86" s="3"/>
      <c r="BF86" s="7">
        <v>636.9984979869774</v>
      </c>
    </row>
    <row x14ac:dyDescent="0.25" r="87" customHeight="1" ht="12.75">
      <c r="A87" s="5" t="s">
        <v>502</v>
      </c>
      <c r="B87" s="3" t="s">
        <v>855</v>
      </c>
      <c r="C87" s="3" t="s">
        <v>856</v>
      </c>
      <c r="D87" s="3"/>
      <c r="E87" s="3"/>
      <c r="F87" s="6">
        <f>100*SUM(AM87:AO87)/AL87</f>
      </c>
      <c r="G87" s="6">
        <f>100*SUM(AP87)/AL87</f>
      </c>
      <c r="H87" s="6">
        <f>100*SUM(AQ87)/AL87</f>
      </c>
      <c r="I87" s="6">
        <f>100*SUM(AR87:BC87)/AL87</f>
      </c>
      <c r="J87" s="3"/>
      <c r="K87" s="6">
        <v>2.23</v>
      </c>
      <c r="L87" s="7">
        <v>0.4845291479820628</v>
      </c>
      <c r="M87" s="7">
        <v>6.1986098654708535</v>
      </c>
      <c r="N87" s="31">
        <v>203.0493273542601</v>
      </c>
      <c r="O87" s="6"/>
      <c r="P87" s="6"/>
      <c r="Q87" s="7"/>
      <c r="R87" s="6"/>
      <c r="S87" s="6"/>
      <c r="T87" s="6"/>
      <c r="U87" s="5"/>
      <c r="V87" s="6"/>
      <c r="W87" s="6"/>
      <c r="X87" s="6"/>
      <c r="Y87" s="15"/>
      <c r="Z87" s="6"/>
      <c r="AA87" s="6"/>
      <c r="AB87" s="5"/>
      <c r="AC87" s="3"/>
      <c r="AD87" s="6">
        <v>0.010805</v>
      </c>
      <c r="AE87" s="6">
        <v>0.13822900000000002</v>
      </c>
      <c r="AF87" s="7">
        <v>452.8</v>
      </c>
      <c r="AG87" s="6">
        <v>0</v>
      </c>
      <c r="AH87" s="7">
        <v>0</v>
      </c>
      <c r="AI87" s="15">
        <v>0.14903400000000003</v>
      </c>
      <c r="AJ87" s="6">
        <v>6.683139013452916</v>
      </c>
      <c r="AK87" s="3"/>
      <c r="AL87" s="6">
        <v>268.0364900561894</v>
      </c>
      <c r="AM87" s="6">
        <v>9.186459452914798</v>
      </c>
      <c r="AN87" s="6">
        <v>134.60473479775789</v>
      </c>
      <c r="AO87" s="6">
        <v>124.24529580551673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/>
      <c r="BD87" s="3"/>
      <c r="BE87" s="3"/>
      <c r="BF87" s="7">
        <v>597.7213728253023</v>
      </c>
    </row>
    <row x14ac:dyDescent="0.25" r="88" customHeight="1" ht="12.75">
      <c r="A88" s="5" t="s">
        <v>782</v>
      </c>
      <c r="B88" s="3" t="s">
        <v>855</v>
      </c>
      <c r="C88" s="3" t="s">
        <v>856</v>
      </c>
      <c r="D88" s="3" t="s">
        <v>929</v>
      </c>
      <c r="E88" s="3"/>
      <c r="F88" s="6">
        <f>100*SUM(AM88:AO88)/AL88</f>
      </c>
      <c r="G88" s="6">
        <f>100*SUM(AP88)/AL88</f>
      </c>
      <c r="H88" s="6">
        <f>100*SUM(AQ88)/AL88</f>
      </c>
      <c r="I88" s="6">
        <f>100*SUM(AR88:BC88)/AL88</f>
      </c>
      <c r="J88" s="3"/>
      <c r="K88" s="6">
        <v>5.640000000000001</v>
      </c>
      <c r="L88" s="6">
        <v>1.3011347517730496</v>
      </c>
      <c r="M88" s="6">
        <v>0.9768439716312056</v>
      </c>
      <c r="N88" s="7">
        <v>53.34091134751773</v>
      </c>
      <c r="O88" s="6"/>
      <c r="P88" s="6"/>
      <c r="Q88" s="7"/>
      <c r="R88" s="6"/>
      <c r="S88" s="6"/>
      <c r="T88" s="6"/>
      <c r="U88" s="5"/>
      <c r="V88" s="6"/>
      <c r="W88" s="6"/>
      <c r="X88" s="6"/>
      <c r="Y88" s="15"/>
      <c r="Z88" s="6"/>
      <c r="AA88" s="6"/>
      <c r="AB88" s="5"/>
      <c r="AC88" s="3"/>
      <c r="AD88" s="6">
        <v>0.073384</v>
      </c>
      <c r="AE88" s="6">
        <v>0.055094000000000004</v>
      </c>
      <c r="AF88" s="7">
        <v>300.84274000000005</v>
      </c>
      <c r="AG88" s="6">
        <v>0</v>
      </c>
      <c r="AH88" s="7">
        <v>0</v>
      </c>
      <c r="AI88" s="15">
        <v>0.128478</v>
      </c>
      <c r="AJ88" s="6">
        <v>2.2779787234042552</v>
      </c>
      <c r="AK88" s="3"/>
      <c r="AL88" s="6">
        <v>78.52056135070922</v>
      </c>
      <c r="AM88" s="6">
        <v>24.66894239432624</v>
      </c>
      <c r="AN88" s="6">
        <v>21.212469665602836</v>
      </c>
      <c r="AO88" s="6">
        <v>32.639149290780146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/>
      <c r="BD88" s="3"/>
      <c r="BE88" s="3"/>
      <c r="BF88" s="7">
        <v>442.855966018</v>
      </c>
    </row>
    <row x14ac:dyDescent="0.25" r="89" customHeight="1" ht="12.75">
      <c r="A89" s="5" t="s">
        <v>770</v>
      </c>
      <c r="B89" s="3" t="s">
        <v>855</v>
      </c>
      <c r="C89" s="3" t="s">
        <v>856</v>
      </c>
      <c r="D89" s="3"/>
      <c r="E89" s="3"/>
      <c r="F89" s="6">
        <f>100*SUM(AM89:AO89)/AL89</f>
      </c>
      <c r="G89" s="6">
        <f>100*SUM(AP89)/AL89</f>
      </c>
      <c r="H89" s="6">
        <f>100*SUM(AQ89)/AL89</f>
      </c>
      <c r="I89" s="6">
        <f>100*SUM(AR89:BC89)/AL89</f>
      </c>
      <c r="J89" s="3"/>
      <c r="K89" s="6">
        <v>0.255</v>
      </c>
      <c r="L89" s="6">
        <v>1.61</v>
      </c>
      <c r="M89" s="6">
        <v>2.67</v>
      </c>
      <c r="N89" s="5"/>
      <c r="O89" s="6"/>
      <c r="P89" s="6"/>
      <c r="Q89" s="7"/>
      <c r="R89" s="6"/>
      <c r="S89" s="6"/>
      <c r="T89" s="6"/>
      <c r="U89" s="5"/>
      <c r="V89" s="6"/>
      <c r="W89" s="6"/>
      <c r="X89" s="6"/>
      <c r="Y89" s="15"/>
      <c r="Z89" s="6"/>
      <c r="AA89" s="6"/>
      <c r="AB89" s="5"/>
      <c r="AC89" s="3"/>
      <c r="AD89" s="6">
        <v>0.004105500000000001</v>
      </c>
      <c r="AE89" s="6">
        <v>0.0068084999999999994</v>
      </c>
      <c r="AF89" s="7">
        <v>0</v>
      </c>
      <c r="AG89" s="6">
        <v>0</v>
      </c>
      <c r="AH89" s="7">
        <v>0</v>
      </c>
      <c r="AI89" s="24">
        <v>0.010914</v>
      </c>
      <c r="AJ89" s="6">
        <v>4.28</v>
      </c>
      <c r="AK89" s="3"/>
      <c r="AL89" s="6">
        <v>88.50476929999999</v>
      </c>
      <c r="AM89" s="6">
        <v>30.524891599999997</v>
      </c>
      <c r="AN89" s="6">
        <v>57.979877699999996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/>
      <c r="BD89" s="3"/>
      <c r="BE89" s="3"/>
      <c r="BF89" s="7">
        <v>22.5687161715</v>
      </c>
    </row>
    <row x14ac:dyDescent="0.25" r="90" customHeight="1" ht="12.75">
      <c r="A90" s="5" t="s">
        <v>591</v>
      </c>
      <c r="B90" s="3" t="s">
        <v>855</v>
      </c>
      <c r="C90" s="3" t="s">
        <v>856</v>
      </c>
      <c r="D90" s="3" t="s">
        <v>929</v>
      </c>
      <c r="E90" s="3"/>
      <c r="F90" s="6">
        <f>100*SUM(AM90:AO90)/AL90</f>
      </c>
      <c r="G90" s="6">
        <f>100*SUM(AP90)/AL90</f>
      </c>
      <c r="H90" s="6">
        <f>100*SUM(AQ90)/AL90</f>
      </c>
      <c r="I90" s="6">
        <f>100*SUM(AR90:BC90)/AL90</f>
      </c>
      <c r="J90" s="3"/>
      <c r="K90" s="6">
        <v>0.3</v>
      </c>
      <c r="L90" s="6">
        <v>0.54</v>
      </c>
      <c r="M90" s="6">
        <v>1.12</v>
      </c>
      <c r="N90" s="7">
        <v>329.349</v>
      </c>
      <c r="O90" s="6"/>
      <c r="P90" s="6"/>
      <c r="Q90" s="7"/>
      <c r="R90" s="6"/>
      <c r="S90" s="6"/>
      <c r="T90" s="6"/>
      <c r="U90" s="5"/>
      <c r="V90" s="6"/>
      <c r="W90" s="6"/>
      <c r="X90" s="6"/>
      <c r="Y90" s="15"/>
      <c r="Z90" s="6"/>
      <c r="AA90" s="6"/>
      <c r="AB90" s="5"/>
      <c r="AC90" s="3"/>
      <c r="AD90" s="6">
        <v>0.0016200000000000001</v>
      </c>
      <c r="AE90" s="6">
        <v>0.00336</v>
      </c>
      <c r="AF90" s="7">
        <v>98.8047</v>
      </c>
      <c r="AG90" s="6">
        <v>0</v>
      </c>
      <c r="AH90" s="7">
        <v>0</v>
      </c>
      <c r="AI90" s="15">
        <v>0.00498</v>
      </c>
      <c r="AJ90" s="6">
        <v>1.6600000000000001</v>
      </c>
      <c r="AK90" s="3"/>
      <c r="AL90" s="6">
        <v>236.08700960000002</v>
      </c>
      <c r="AM90" s="6">
        <v>10.2381624</v>
      </c>
      <c r="AN90" s="6">
        <v>24.321147200000002</v>
      </c>
      <c r="AO90" s="6">
        <v>201.5277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/>
      <c r="BD90" s="3"/>
      <c r="BE90" s="3"/>
      <c r="BF90" s="7">
        <v>70.82610288000001</v>
      </c>
    </row>
    <row x14ac:dyDescent="0.25" r="91" customHeight="1" ht="12.75">
      <c r="A91" s="5" t="s">
        <v>422</v>
      </c>
      <c r="B91" s="3" t="s">
        <v>855</v>
      </c>
      <c r="C91" s="3" t="s">
        <v>856</v>
      </c>
      <c r="D91" s="3" t="s">
        <v>928</v>
      </c>
      <c r="E91" s="3"/>
      <c r="F91" s="6">
        <f>100*SUM(AM91:AO91)/AL91</f>
      </c>
      <c r="G91" s="6">
        <f>100*SUM(AP91)/AL91</f>
      </c>
      <c r="H91" s="6">
        <f>100*SUM(AQ91)/AL91</f>
      </c>
      <c r="I91" s="6">
        <f>100*SUM(AR91:BC91)/AL91</f>
      </c>
      <c r="J91" s="3"/>
      <c r="K91" s="7">
        <v>88</v>
      </c>
      <c r="L91" s="6">
        <v>0.29</v>
      </c>
      <c r="M91" s="6">
        <v>0.39</v>
      </c>
      <c r="N91" s="6">
        <v>47.4</v>
      </c>
      <c r="O91" s="6"/>
      <c r="P91" s="6"/>
      <c r="Q91" s="7"/>
      <c r="R91" s="6"/>
      <c r="S91" s="6"/>
      <c r="T91" s="6"/>
      <c r="U91" s="5"/>
      <c r="V91" s="6"/>
      <c r="W91" s="6"/>
      <c r="X91" s="6"/>
      <c r="Y91" s="15"/>
      <c r="Z91" s="6"/>
      <c r="AA91" s="6"/>
      <c r="AB91" s="5"/>
      <c r="AC91" s="3"/>
      <c r="AD91" s="6">
        <v>0.2552</v>
      </c>
      <c r="AE91" s="6">
        <v>0.3432</v>
      </c>
      <c r="AF91" s="7">
        <v>4171.2</v>
      </c>
      <c r="AG91" s="6">
        <v>0</v>
      </c>
      <c r="AH91" s="7">
        <v>0</v>
      </c>
      <c r="AI91" s="15">
        <v>0.5984</v>
      </c>
      <c r="AJ91" s="6">
        <v>0.6799999999999999</v>
      </c>
      <c r="AK91" s="3"/>
      <c r="AL91" s="6">
        <v>42.971166129582</v>
      </c>
      <c r="AM91" s="6">
        <v>5.498272399999999</v>
      </c>
      <c r="AN91" s="6">
        <v>8.4689709</v>
      </c>
      <c r="AO91" s="6">
        <v>29.003922829582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/>
      <c r="BD91" s="3"/>
      <c r="BE91" s="3"/>
      <c r="BF91" s="7">
        <v>3781.462619403216</v>
      </c>
    </row>
    <row x14ac:dyDescent="0.25" r="92" customHeight="1" ht="12.75">
      <c r="A92" s="5" t="s">
        <v>50</v>
      </c>
      <c r="B92" s="3" t="s">
        <v>855</v>
      </c>
      <c r="C92" s="3" t="s">
        <v>856</v>
      </c>
      <c r="D92" s="3" t="s">
        <v>928</v>
      </c>
      <c r="E92" s="3"/>
      <c r="F92" s="6">
        <f>100*SUM(AM92:AO92)/AL92</f>
      </c>
      <c r="G92" s="6">
        <f>100*SUM(AP92)/AL92</f>
      </c>
      <c r="H92" s="6">
        <f>100*SUM(AQ92)/AL92</f>
      </c>
      <c r="I92" s="6">
        <f>100*SUM(AR92:BC92)/AL92</f>
      </c>
      <c r="J92" s="3"/>
      <c r="K92" s="23">
        <v>0.4288</v>
      </c>
      <c r="L92" s="6">
        <v>5.9852472014925375</v>
      </c>
      <c r="M92" s="7">
        <v>4.038619402985074</v>
      </c>
      <c r="N92" s="31">
        <v>825.6996268656716</v>
      </c>
      <c r="O92" s="6"/>
      <c r="P92" s="6"/>
      <c r="Q92" s="7"/>
      <c r="R92" s="6"/>
      <c r="S92" s="6"/>
      <c r="T92" s="6"/>
      <c r="U92" s="5"/>
      <c r="V92" s="6"/>
      <c r="W92" s="6"/>
      <c r="X92" s="6"/>
      <c r="Y92" s="15"/>
      <c r="Z92" s="6"/>
      <c r="AA92" s="6"/>
      <c r="AB92" s="5"/>
      <c r="AC92" s="3"/>
      <c r="AD92" s="6">
        <v>0.025664740000000005</v>
      </c>
      <c r="AE92" s="6">
        <v>0.0173176</v>
      </c>
      <c r="AF92" s="7">
        <v>354.06</v>
      </c>
      <c r="AG92" s="6">
        <v>0</v>
      </c>
      <c r="AH92" s="7">
        <v>0</v>
      </c>
      <c r="AI92" s="15">
        <v>0.04298234000000001</v>
      </c>
      <c r="AJ92" s="6">
        <v>10.023866604477611</v>
      </c>
      <c r="AK92" s="3"/>
      <c r="AL92" s="6">
        <v>706.4207379340195</v>
      </c>
      <c r="AM92" s="6">
        <v>113.47765343152986</v>
      </c>
      <c r="AN92" s="6">
        <v>87.69987230783582</v>
      </c>
      <c r="AO92" s="6">
        <v>505.2432121946538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/>
      <c r="BD92" s="3"/>
      <c r="BE92" s="3"/>
      <c r="BF92" s="7">
        <v>302.9132124261076</v>
      </c>
    </row>
    <row x14ac:dyDescent="0.25" r="93" customHeight="1" ht="12.75">
      <c r="A93" s="5" t="s">
        <v>837</v>
      </c>
      <c r="B93" s="3" t="s">
        <v>855</v>
      </c>
      <c r="C93" s="3" t="s">
        <v>856</v>
      </c>
      <c r="D93" s="3"/>
      <c r="E93" s="3"/>
      <c r="F93" s="6">
        <f>100*SUM(AM93:AO93)/AL93</f>
      </c>
      <c r="G93" s="6">
        <f>100*SUM(AP93)/AL93</f>
      </c>
      <c r="H93" s="6">
        <f>100*SUM(AQ93)/AL93</f>
      </c>
      <c r="I93" s="6">
        <f>100*SUM(AR93:BC93)/AL93</f>
      </c>
      <c r="J93" s="3"/>
      <c r="K93" s="6">
        <v>0.34</v>
      </c>
      <c r="L93" s="6">
        <v>1.5</v>
      </c>
      <c r="M93" s="6">
        <v>1</v>
      </c>
      <c r="N93" s="5"/>
      <c r="O93" s="6"/>
      <c r="P93" s="6"/>
      <c r="Q93" s="7"/>
      <c r="R93" s="6"/>
      <c r="S93" s="6"/>
      <c r="T93" s="6"/>
      <c r="U93" s="5"/>
      <c r="V93" s="6"/>
      <c r="W93" s="6"/>
      <c r="X93" s="6"/>
      <c r="Y93" s="15"/>
      <c r="Z93" s="6"/>
      <c r="AA93" s="6"/>
      <c r="AB93" s="5"/>
      <c r="AC93" s="3"/>
      <c r="AD93" s="6">
        <v>0.0051</v>
      </c>
      <c r="AE93" s="6">
        <v>0.0034000000000000002</v>
      </c>
      <c r="AF93" s="7">
        <v>0</v>
      </c>
      <c r="AG93" s="6">
        <v>0</v>
      </c>
      <c r="AH93" s="7">
        <v>0</v>
      </c>
      <c r="AI93" s="15">
        <v>0.0085</v>
      </c>
      <c r="AJ93" s="6">
        <v>2.5</v>
      </c>
      <c r="AK93" s="3"/>
      <c r="AL93" s="6">
        <v>50.15465</v>
      </c>
      <c r="AM93" s="6">
        <v>28.439339999999998</v>
      </c>
      <c r="AN93" s="6">
        <v>21.71531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/>
      <c r="BD93" s="3"/>
      <c r="BE93" s="3"/>
      <c r="BF93" s="7">
        <v>17.052581</v>
      </c>
    </row>
    <row x14ac:dyDescent="0.25" r="94" customHeight="1" ht="12.75">
      <c r="A94" s="5" t="s">
        <v>417</v>
      </c>
      <c r="B94" s="3" t="s">
        <v>855</v>
      </c>
      <c r="C94" s="3" t="s">
        <v>856</v>
      </c>
      <c r="D94" s="3"/>
      <c r="E94" s="3"/>
      <c r="F94" s="6">
        <f>100*SUM(AM94:AO94)/AL94</f>
      </c>
      <c r="G94" s="6">
        <f>100*SUM(AP94)/AL94</f>
      </c>
      <c r="H94" s="6">
        <f>100*SUM(AQ94)/AL94</f>
      </c>
      <c r="I94" s="6">
        <f>100*SUM(AR94:BC94)/AL94</f>
      </c>
      <c r="J94" s="3"/>
      <c r="K94" s="6">
        <v>2.851</v>
      </c>
      <c r="L94" s="6">
        <v>2.24</v>
      </c>
      <c r="M94" s="6">
        <v>6.47</v>
      </c>
      <c r="N94" s="6">
        <v>15.4</v>
      </c>
      <c r="O94" s="6"/>
      <c r="P94" s="6"/>
      <c r="Q94" s="7"/>
      <c r="R94" s="6"/>
      <c r="S94" s="6"/>
      <c r="T94" s="6"/>
      <c r="U94" s="5"/>
      <c r="V94" s="6"/>
      <c r="W94" s="6"/>
      <c r="X94" s="6"/>
      <c r="Y94" s="15"/>
      <c r="Z94" s="6"/>
      <c r="AA94" s="6"/>
      <c r="AB94" s="6">
        <v>0.02</v>
      </c>
      <c r="AC94" s="3" t="s">
        <v>932</v>
      </c>
      <c r="AD94" s="6">
        <v>0.06386240000000001</v>
      </c>
      <c r="AE94" s="6">
        <v>0.1844597</v>
      </c>
      <c r="AF94" s="7">
        <v>43.9054</v>
      </c>
      <c r="AG94" s="6">
        <v>0</v>
      </c>
      <c r="AH94" s="7">
        <v>0</v>
      </c>
      <c r="AI94" s="15">
        <v>0.24832210000000002</v>
      </c>
      <c r="AJ94" s="6">
        <v>8.71</v>
      </c>
      <c r="AK94" s="3"/>
      <c r="AL94" s="6">
        <v>192.7786855340836</v>
      </c>
      <c r="AM94" s="6">
        <v>42.469414400000005</v>
      </c>
      <c r="AN94" s="6">
        <v>140.49805569999998</v>
      </c>
      <c r="AO94" s="6">
        <v>9.423215434083604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0.388</v>
      </c>
      <c r="BD94" s="3" t="s">
        <v>933</v>
      </c>
      <c r="BE94" s="3"/>
      <c r="BF94" s="7">
        <v>549.6120324576723</v>
      </c>
    </row>
    <row x14ac:dyDescent="0.25" r="95" customHeight="1" ht="12.75">
      <c r="A95" s="5" t="s">
        <v>720</v>
      </c>
      <c r="B95" s="3" t="s">
        <v>855</v>
      </c>
      <c r="C95" s="3" t="s">
        <v>856</v>
      </c>
      <c r="D95" s="3" t="s">
        <v>929</v>
      </c>
      <c r="E95" s="3"/>
      <c r="F95" s="6">
        <f>100*SUM(AM95:AO95)/AL95</f>
      </c>
      <c r="G95" s="6">
        <f>100*SUM(AP95)/AL95</f>
      </c>
      <c r="H95" s="6">
        <f>100*SUM(AQ95)/AL95</f>
      </c>
      <c r="I95" s="6">
        <f>100*SUM(AR95:BC95)/AL95</f>
      </c>
      <c r="J95" s="3"/>
      <c r="K95" s="6">
        <v>7.049</v>
      </c>
      <c r="L95" s="6">
        <v>1.46</v>
      </c>
      <c r="M95" s="6">
        <v>1.27</v>
      </c>
      <c r="N95" s="5">
        <v>113</v>
      </c>
      <c r="O95" s="6"/>
      <c r="P95" s="6">
        <v>0.01</v>
      </c>
      <c r="Q95" s="7"/>
      <c r="R95" s="6"/>
      <c r="S95" s="6"/>
      <c r="T95" s="6"/>
      <c r="U95" s="5"/>
      <c r="V95" s="6"/>
      <c r="W95" s="6"/>
      <c r="X95" s="6"/>
      <c r="Y95" s="15"/>
      <c r="Z95" s="6"/>
      <c r="AA95" s="6"/>
      <c r="AB95" s="5"/>
      <c r="AC95" s="3"/>
      <c r="AD95" s="6">
        <v>0.10291539999999999</v>
      </c>
      <c r="AE95" s="6">
        <v>0.0895223</v>
      </c>
      <c r="AF95" s="7">
        <v>796.537</v>
      </c>
      <c r="AG95" s="6">
        <v>0</v>
      </c>
      <c r="AH95" s="7">
        <v>0.07049000000000001</v>
      </c>
      <c r="AI95" s="15">
        <v>0.1924377</v>
      </c>
      <c r="AJ95" s="6">
        <v>2.73</v>
      </c>
      <c r="AK95" s="3"/>
      <c r="AL95" s="6">
        <v>124.81213441897106</v>
      </c>
      <c r="AM95" s="6">
        <v>27.6809576</v>
      </c>
      <c r="AN95" s="6">
        <v>27.578443699999998</v>
      </c>
      <c r="AO95" s="6">
        <v>69.1443729903537</v>
      </c>
      <c r="AP95" s="6">
        <v>0</v>
      </c>
      <c r="AQ95" s="6">
        <v>0.40836012861736337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/>
      <c r="BD95" s="3"/>
      <c r="BE95" s="3"/>
      <c r="BF95" s="7">
        <v>879.800735519327</v>
      </c>
    </row>
    <row x14ac:dyDescent="0.25" r="96" customHeight="1" ht="12.75">
      <c r="A96" s="5" t="s">
        <v>446</v>
      </c>
      <c r="B96" s="3" t="s">
        <v>855</v>
      </c>
      <c r="C96" s="3" t="s">
        <v>856</v>
      </c>
      <c r="D96" s="3" t="s">
        <v>927</v>
      </c>
      <c r="E96" s="3"/>
      <c r="F96" s="6">
        <f>100*SUM(AM96:AO96)/AL96</f>
      </c>
      <c r="G96" s="6">
        <f>100*SUM(AP96)/AL96</f>
      </c>
      <c r="H96" s="6">
        <f>100*SUM(AQ96)/AL96</f>
      </c>
      <c r="I96" s="6">
        <f>100*SUM(AR96:BC96)/AL96</f>
      </c>
      <c r="J96" s="3"/>
      <c r="K96" s="6">
        <v>21.299</v>
      </c>
      <c r="L96" s="6">
        <v>0.5502666791868164</v>
      </c>
      <c r="M96" s="6">
        <v>1.4204239635663645</v>
      </c>
      <c r="N96" s="31">
        <v>188.7984881919339</v>
      </c>
      <c r="O96" s="6"/>
      <c r="P96" s="6">
        <v>0.07210620216911592</v>
      </c>
      <c r="Q96" s="7"/>
      <c r="R96" s="6"/>
      <c r="S96" s="6"/>
      <c r="T96" s="6"/>
      <c r="U96" s="5"/>
      <c r="V96" s="6"/>
      <c r="W96" s="6"/>
      <c r="X96" s="6"/>
      <c r="Y96" s="15"/>
      <c r="Z96" s="6"/>
      <c r="AA96" s="6"/>
      <c r="AB96" s="5"/>
      <c r="AC96" s="3"/>
      <c r="AD96" s="6">
        <v>0.11720130000000001</v>
      </c>
      <c r="AE96" s="6">
        <v>0.3025361</v>
      </c>
      <c r="AF96" s="7">
        <v>4021.219</v>
      </c>
      <c r="AG96" s="6">
        <v>0</v>
      </c>
      <c r="AH96" s="7">
        <v>1.53579</v>
      </c>
      <c r="AI96" s="15">
        <v>0.4197374</v>
      </c>
      <c r="AJ96" s="6">
        <v>1.9706906427531807</v>
      </c>
      <c r="AK96" s="3"/>
      <c r="AL96" s="6">
        <v>159.74753918196438</v>
      </c>
      <c r="AM96" s="6">
        <v>10.432814120043195</v>
      </c>
      <c r="AN96" s="6">
        <v>30.84494670027231</v>
      </c>
      <c r="AO96" s="6">
        <v>115.5252485624599</v>
      </c>
      <c r="AP96" s="6">
        <v>0</v>
      </c>
      <c r="AQ96" s="6">
        <v>2.9445297991889783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/>
      <c r="BD96" s="3"/>
      <c r="BE96" s="3"/>
      <c r="BF96" s="7">
        <v>3402.4628370366595</v>
      </c>
    </row>
    <row x14ac:dyDescent="0.25" r="97" customHeight="1" ht="12.75">
      <c r="A97" s="5" t="s">
        <v>771</v>
      </c>
      <c r="B97" s="3" t="s">
        <v>855</v>
      </c>
      <c r="C97" s="3" t="s">
        <v>856</v>
      </c>
      <c r="D97" s="3"/>
      <c r="E97" s="3"/>
      <c r="F97" s="6">
        <f>100*SUM(AM97:AO97)/AL97</f>
      </c>
      <c r="G97" s="6">
        <f>100*SUM(AP97)/AL97</f>
      </c>
      <c r="H97" s="6">
        <f>100*SUM(AQ97)/AL97</f>
      </c>
      <c r="I97" s="6">
        <f>100*SUM(AR97:BC97)/AL97</f>
      </c>
      <c r="J97" s="3"/>
      <c r="K97" s="23">
        <v>4.617036</v>
      </c>
      <c r="L97" s="6">
        <v>0.19544061774697014</v>
      </c>
      <c r="M97" s="6">
        <v>0.18035367148967432</v>
      </c>
      <c r="N97" s="7">
        <v>172.21633999366694</v>
      </c>
      <c r="O97" s="6"/>
      <c r="P97" s="23">
        <v>0.06309008398461696</v>
      </c>
      <c r="Q97" s="7"/>
      <c r="R97" s="6"/>
      <c r="S97" s="6"/>
      <c r="T97" s="6"/>
      <c r="U97" s="5"/>
      <c r="V97" s="6"/>
      <c r="W97" s="6"/>
      <c r="X97" s="6"/>
      <c r="Y97" s="15"/>
      <c r="Z97" s="6"/>
      <c r="AA97" s="6"/>
      <c r="AB97" s="5"/>
      <c r="AC97" s="3"/>
      <c r="AD97" s="6">
        <v>0.009023563679999999</v>
      </c>
      <c r="AE97" s="6">
        <v>0.00832699394</v>
      </c>
      <c r="AF97" s="7">
        <v>795.129041539</v>
      </c>
      <c r="AG97" s="6">
        <v>0</v>
      </c>
      <c r="AH97" s="7">
        <v>0.29128918899999995</v>
      </c>
      <c r="AI97" s="15">
        <v>0.01735055762</v>
      </c>
      <c r="AJ97" s="6">
        <v>0.3757942892366445</v>
      </c>
      <c r="AK97" s="3"/>
      <c r="AL97" s="6">
        <v>115.57693155255542</v>
      </c>
      <c r="AM97" s="6">
        <v>3.705468118610745</v>
      </c>
      <c r="AN97" s="6">
        <v>3.9164358860364397</v>
      </c>
      <c r="AO97" s="6">
        <v>105.37868006686439</v>
      </c>
      <c r="AP97" s="6">
        <v>0</v>
      </c>
      <c r="AQ97" s="6">
        <v>2.5763474810438436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/>
      <c r="BD97" s="3"/>
      <c r="BE97" s="3"/>
      <c r="BF97" s="7">
        <v>533.6228537476842</v>
      </c>
    </row>
    <row x14ac:dyDescent="0.25" r="98" customHeight="1" ht="12.75">
      <c r="A98" s="5" t="s">
        <v>126</v>
      </c>
      <c r="B98" s="3" t="s">
        <v>855</v>
      </c>
      <c r="C98" s="3" t="s">
        <v>856</v>
      </c>
      <c r="D98" s="3"/>
      <c r="E98" s="3"/>
      <c r="F98" s="6">
        <f>100*SUM(AM98:AO98)/AL98</f>
      </c>
      <c r="G98" s="6">
        <f>100*SUM(AP98)/AL98</f>
      </c>
      <c r="H98" s="6">
        <f>100*SUM(AQ98)/AL98</f>
      </c>
      <c r="I98" s="6">
        <f>100*SUM(AR98:BC98)/AL98</f>
      </c>
      <c r="J98" s="3"/>
      <c r="K98" s="6">
        <v>201.10000000000002</v>
      </c>
      <c r="L98" s="6">
        <v>0.7895624067628045</v>
      </c>
      <c r="M98" s="6"/>
      <c r="N98" s="31">
        <v>116.57135753356539</v>
      </c>
      <c r="O98" s="6">
        <v>0.04002983590253605</v>
      </c>
      <c r="P98" s="6"/>
      <c r="Q98" s="7"/>
      <c r="R98" s="6"/>
      <c r="S98" s="6"/>
      <c r="T98" s="6"/>
      <c r="U98" s="5"/>
      <c r="V98" s="6"/>
      <c r="W98" s="6"/>
      <c r="X98" s="6"/>
      <c r="Y98" s="15"/>
      <c r="Z98" s="6"/>
      <c r="AA98" s="6"/>
      <c r="AB98" s="5"/>
      <c r="AC98" s="3"/>
      <c r="AD98" s="6">
        <v>1.5878100000000002</v>
      </c>
      <c r="AE98" s="6">
        <v>0</v>
      </c>
      <c r="AF98" s="7">
        <v>23442.500000000004</v>
      </c>
      <c r="AG98" s="6">
        <v>0.0805</v>
      </c>
      <c r="AH98" s="7">
        <v>0</v>
      </c>
      <c r="AI98" s="15">
        <v>1.6683100000000002</v>
      </c>
      <c r="AJ98" s="6">
        <v>0.8295922426653406</v>
      </c>
      <c r="AK98" s="3"/>
      <c r="AL98" s="6">
        <v>89.07930010605594</v>
      </c>
      <c r="AM98" s="6">
        <v>14.969755824763798</v>
      </c>
      <c r="AN98" s="6">
        <v>0</v>
      </c>
      <c r="AO98" s="6">
        <v>71.32967633002411</v>
      </c>
      <c r="AP98" s="6">
        <v>2.779867951268026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/>
      <c r="BD98" s="3"/>
      <c r="BE98" s="3"/>
      <c r="BF98" s="7">
        <v>17913.84725132785</v>
      </c>
    </row>
    <row x14ac:dyDescent="0.25" r="99" customHeight="1" ht="12.75">
      <c r="A99" s="5" t="s">
        <v>683</v>
      </c>
      <c r="B99" s="3" t="s">
        <v>855</v>
      </c>
      <c r="C99" s="3" t="s">
        <v>856</v>
      </c>
      <c r="D99" s="3" t="s">
        <v>931</v>
      </c>
      <c r="E99" s="3"/>
      <c r="F99" s="6">
        <f>100*SUM(AM99:AO99)/AL99</f>
      </c>
      <c r="G99" s="6">
        <f>100*SUM(AP99)/AL99</f>
      </c>
      <c r="H99" s="6">
        <f>100*SUM(AQ99)/AL99</f>
      </c>
      <c r="I99" s="6">
        <f>100*SUM(AR99:BC99)/AL99</f>
      </c>
      <c r="J99" s="3"/>
      <c r="K99" s="6">
        <v>1.349</v>
      </c>
      <c r="L99" s="6">
        <v>1.5959970348406227</v>
      </c>
      <c r="M99" s="6">
        <v>3.1573758339510754</v>
      </c>
      <c r="N99" s="7">
        <v>145.80459229058562</v>
      </c>
      <c r="O99" s="6">
        <v>0.11542624166048925</v>
      </c>
      <c r="P99" s="6"/>
      <c r="Q99" s="7"/>
      <c r="R99" s="6"/>
      <c r="S99" s="6"/>
      <c r="T99" s="6"/>
      <c r="U99" s="5"/>
      <c r="V99" s="6"/>
      <c r="W99" s="6"/>
      <c r="X99" s="6"/>
      <c r="Y99" s="15"/>
      <c r="Z99" s="6"/>
      <c r="AA99" s="6"/>
      <c r="AB99" s="5"/>
      <c r="AC99" s="3"/>
      <c r="AD99" s="6">
        <v>0.02153</v>
      </c>
      <c r="AE99" s="6">
        <v>0.042593000000000006</v>
      </c>
      <c r="AF99" s="7">
        <v>196.690395</v>
      </c>
      <c r="AG99" s="6">
        <v>0.0015570999999999998</v>
      </c>
      <c r="AH99" s="7">
        <v>0</v>
      </c>
      <c r="AI99" s="15">
        <v>0.06568010000000002</v>
      </c>
      <c r="AJ99" s="6">
        <v>4.868799110452187</v>
      </c>
      <c r="AK99" s="3"/>
      <c r="AL99" s="6">
        <v>196.05596845218682</v>
      </c>
      <c r="AM99" s="6">
        <v>30.259401541882877</v>
      </c>
      <c r="AN99" s="6">
        <v>68.56339502075612</v>
      </c>
      <c r="AO99" s="6">
        <v>89.21740808005931</v>
      </c>
      <c r="AP99" s="6">
        <v>8.015763809488508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/>
      <c r="BD99" s="3"/>
      <c r="BE99" s="3"/>
      <c r="BF99" s="7">
        <v>264.479501442</v>
      </c>
    </row>
    <row x14ac:dyDescent="0.25" r="100" customHeight="1" ht="12.75">
      <c r="A100" s="5" t="s">
        <v>654</v>
      </c>
      <c r="B100" s="3" t="s">
        <v>855</v>
      </c>
      <c r="C100" s="3" t="s">
        <v>856</v>
      </c>
      <c r="D100" s="3" t="s">
        <v>928</v>
      </c>
      <c r="E100" s="3"/>
      <c r="F100" s="6">
        <f>100*SUM(AM100:AO100)/AL100</f>
      </c>
      <c r="G100" s="6">
        <f>100*SUM(AP100)/AL100</f>
      </c>
      <c r="H100" s="6">
        <f>100*SUM(AQ100)/AL100</f>
      </c>
      <c r="I100" s="6">
        <f>100*SUM(AR100:BC100)/AL100</f>
      </c>
      <c r="J100" s="3"/>
      <c r="K100" s="6">
        <v>5.6000000000000005</v>
      </c>
      <c r="L100" s="7">
        <v>1.5101785714285714</v>
      </c>
      <c r="M100" s="7">
        <v>4.36875</v>
      </c>
      <c r="N100" s="31">
        <v>93.1267857142857</v>
      </c>
      <c r="O100" s="6"/>
      <c r="P100" s="7">
        <v>0.21910714285714286</v>
      </c>
      <c r="Q100" s="7"/>
      <c r="R100" s="6"/>
      <c r="S100" s="6"/>
      <c r="T100" s="6"/>
      <c r="U100" s="5"/>
      <c r="V100" s="6"/>
      <c r="W100" s="6"/>
      <c r="X100" s="6"/>
      <c r="Y100" s="15"/>
      <c r="Z100" s="6"/>
      <c r="AA100" s="6"/>
      <c r="AB100" s="5"/>
      <c r="AC100" s="3"/>
      <c r="AD100" s="6">
        <v>0.08457</v>
      </c>
      <c r="AE100" s="6">
        <v>0.24465000000000003</v>
      </c>
      <c r="AF100" s="7">
        <v>521.51</v>
      </c>
      <c r="AG100" s="6">
        <v>0</v>
      </c>
      <c r="AH100" s="7">
        <v>1.227</v>
      </c>
      <c r="AI100" s="15">
        <v>0.32922000000000007</v>
      </c>
      <c r="AJ100" s="6">
        <v>5.878928571428572</v>
      </c>
      <c r="AK100" s="3"/>
      <c r="AL100" s="6">
        <v>189.43255458186152</v>
      </c>
      <c r="AM100" s="6">
        <v>28.632321235714283</v>
      </c>
      <c r="AN100" s="6">
        <v>94.8687605625</v>
      </c>
      <c r="AO100" s="6">
        <v>56.98401067983463</v>
      </c>
      <c r="AP100" s="6">
        <v>0</v>
      </c>
      <c r="AQ100" s="6">
        <v>8.947462103812587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/>
      <c r="BD100" s="3"/>
      <c r="BE100" s="3"/>
      <c r="BF100" s="7">
        <v>1060.8223056584247</v>
      </c>
    </row>
    <row x14ac:dyDescent="0.25" r="101" customHeight="1" ht="12.75">
      <c r="A101" s="5" t="s">
        <v>449</v>
      </c>
      <c r="B101" s="3" t="s">
        <v>855</v>
      </c>
      <c r="C101" s="3" t="s">
        <v>856</v>
      </c>
      <c r="D101" s="3" t="s">
        <v>928</v>
      </c>
      <c r="E101" s="3"/>
      <c r="F101" s="6">
        <f>100*SUM(AM101:AO101)/AL101</f>
      </c>
      <c r="G101" s="6">
        <f>100*SUM(AP101)/AL101</f>
      </c>
      <c r="H101" s="6">
        <f>100*SUM(AQ101)/AL101</f>
      </c>
      <c r="I101" s="6">
        <f>100*SUM(AR101:BC101)/AL101</f>
      </c>
      <c r="J101" s="3"/>
      <c r="K101" s="6">
        <v>11.5</v>
      </c>
      <c r="L101" s="6">
        <v>1.1724347826086956</v>
      </c>
      <c r="M101" s="6">
        <v>2.0458260869565215</v>
      </c>
      <c r="N101" s="31">
        <v>329.72173913043474</v>
      </c>
      <c r="O101" s="6"/>
      <c r="P101" s="6">
        <v>0.3577391304347826</v>
      </c>
      <c r="Q101" s="7"/>
      <c r="R101" s="6"/>
      <c r="S101" s="6"/>
      <c r="T101" s="6"/>
      <c r="U101" s="5"/>
      <c r="V101" s="6"/>
      <c r="W101" s="6"/>
      <c r="X101" s="6"/>
      <c r="Y101" s="15"/>
      <c r="Z101" s="6"/>
      <c r="AA101" s="6"/>
      <c r="AB101" s="5"/>
      <c r="AC101" s="3"/>
      <c r="AD101" s="6">
        <v>0.13482999999999998</v>
      </c>
      <c r="AE101" s="6">
        <v>0.23526999999999998</v>
      </c>
      <c r="AF101" s="7">
        <v>3791.7999999999997</v>
      </c>
      <c r="AG101" s="6">
        <v>0</v>
      </c>
      <c r="AH101" s="7">
        <v>4.114</v>
      </c>
      <c r="AI101" s="15">
        <v>0.3701</v>
      </c>
      <c r="AJ101" s="6">
        <v>3.218260869565217</v>
      </c>
      <c r="AK101" s="3"/>
      <c r="AL101" s="6">
        <v>283.0190130181322</v>
      </c>
      <c r="AM101" s="6">
        <v>22.228847606956517</v>
      </c>
      <c r="AN101" s="6">
        <v>44.42574768434782</v>
      </c>
      <c r="AO101" s="6">
        <v>201.75577799524675</v>
      </c>
      <c r="AP101" s="6">
        <v>0</v>
      </c>
      <c r="AQ101" s="6">
        <v>14.608639731581157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/>
      <c r="BD101" s="3"/>
      <c r="BE101" s="3"/>
      <c r="BF101" s="7">
        <v>3254.7186497085204</v>
      </c>
    </row>
    <row x14ac:dyDescent="0.25" r="102" customHeight="1" ht="12.75">
      <c r="A102" s="5" t="s">
        <v>603</v>
      </c>
      <c r="B102" s="3" t="s">
        <v>855</v>
      </c>
      <c r="C102" s="3" t="s">
        <v>856</v>
      </c>
      <c r="D102" s="3"/>
      <c r="E102" s="3"/>
      <c r="F102" s="6">
        <f>100*SUM(AM102:AO102)/AL102</f>
      </c>
      <c r="G102" s="6">
        <f>100*SUM(AP102)/AL102</f>
      </c>
      <c r="H102" s="6">
        <f>100*SUM(AQ102)/AL102</f>
      </c>
      <c r="I102" s="6">
        <f>100*SUM(AR102:BC102)/AL102</f>
      </c>
      <c r="J102" s="3"/>
      <c r="K102" s="6">
        <v>1.117</v>
      </c>
      <c r="L102" s="6">
        <v>0.8948155774395703</v>
      </c>
      <c r="M102" s="6">
        <v>2.5260519247985678</v>
      </c>
      <c r="N102" s="7">
        <v>238.26150402864818</v>
      </c>
      <c r="O102" s="23">
        <v>0.09056580125335721</v>
      </c>
      <c r="P102" s="6">
        <v>0.17382452999104744</v>
      </c>
      <c r="Q102" s="7"/>
      <c r="R102" s="6"/>
      <c r="S102" s="6"/>
      <c r="T102" s="6"/>
      <c r="U102" s="5"/>
      <c r="V102" s="6"/>
      <c r="W102" s="6"/>
      <c r="X102" s="6"/>
      <c r="Y102" s="15"/>
      <c r="Z102" s="6"/>
      <c r="AA102" s="6"/>
      <c r="AB102" s="5"/>
      <c r="AC102" s="3"/>
      <c r="AD102" s="6">
        <v>0.00999509</v>
      </c>
      <c r="AE102" s="6">
        <v>0.028216</v>
      </c>
      <c r="AF102" s="7">
        <v>266.1381</v>
      </c>
      <c r="AG102" s="6">
        <v>0.00101162</v>
      </c>
      <c r="AH102" s="7">
        <v>0.194162</v>
      </c>
      <c r="AI102" s="15">
        <v>0.03922271</v>
      </c>
      <c r="AJ102" s="6">
        <v>3.5114333034914953</v>
      </c>
      <c r="AK102" s="3"/>
      <c r="AL102" s="6">
        <v>230.9984688187418</v>
      </c>
      <c r="AM102" s="6">
        <v>16.965309629400178</v>
      </c>
      <c r="AN102" s="6">
        <v>54.85400062309759</v>
      </c>
      <c r="AO102" s="6">
        <v>145.79152481238506</v>
      </c>
      <c r="AP102" s="6">
        <v>6.289333011459266</v>
      </c>
      <c r="AQ102" s="6">
        <v>7.098300742399687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/>
      <c r="BD102" s="3"/>
      <c r="BE102" s="3"/>
      <c r="BF102" s="7">
        <v>258.02528967053456</v>
      </c>
    </row>
    <row x14ac:dyDescent="0.25" r="103" customHeight="1" ht="12.75">
      <c r="A103" s="5" t="s">
        <v>425</v>
      </c>
      <c r="B103" s="3" t="s">
        <v>855</v>
      </c>
      <c r="C103" s="3" t="s">
        <v>856</v>
      </c>
      <c r="D103" s="3" t="s">
        <v>929</v>
      </c>
      <c r="E103" s="3"/>
      <c r="F103" s="6">
        <f>100*SUM(AM103:AO103)/AL103</f>
      </c>
      <c r="G103" s="6">
        <f>100*SUM(AP103)/AL103</f>
      </c>
      <c r="H103" s="6">
        <f>100*SUM(AQ103)/AL103</f>
      </c>
      <c r="I103" s="6">
        <f>100*SUM(AR103:BC103)/AL103</f>
      </c>
      <c r="J103" s="3"/>
      <c r="K103" s="23">
        <v>27.265</v>
      </c>
      <c r="L103" s="6">
        <v>0.22907720520814231</v>
      </c>
      <c r="M103" s="6">
        <v>0.6353570511644966</v>
      </c>
      <c r="N103" s="31">
        <v>179.1181734824867</v>
      </c>
      <c r="O103" s="6"/>
      <c r="P103" s="6">
        <v>0.2255209976159912</v>
      </c>
      <c r="Q103" s="7"/>
      <c r="R103" s="6"/>
      <c r="S103" s="6"/>
      <c r="T103" s="6"/>
      <c r="U103" s="5"/>
      <c r="V103" s="6"/>
      <c r="W103" s="6"/>
      <c r="X103" s="6"/>
      <c r="Y103" s="15"/>
      <c r="Z103" s="6"/>
      <c r="AA103" s="6"/>
      <c r="AB103" s="5"/>
      <c r="AC103" s="3"/>
      <c r="AD103" s="6">
        <v>0.062457900000000004</v>
      </c>
      <c r="AE103" s="6">
        <v>0.1732301</v>
      </c>
      <c r="AF103" s="7">
        <v>4883.657</v>
      </c>
      <c r="AG103" s="6">
        <v>0</v>
      </c>
      <c r="AH103" s="7">
        <v>6.14883</v>
      </c>
      <c r="AI103" s="15">
        <v>0.235688</v>
      </c>
      <c r="AJ103" s="6">
        <v>0.8644342563726389</v>
      </c>
      <c r="AK103" s="3"/>
      <c r="AL103" s="6">
        <v>136.95144870825882</v>
      </c>
      <c r="AM103" s="6">
        <v>4.343203016776087</v>
      </c>
      <c r="AN103" s="6">
        <v>13.796975326722904</v>
      </c>
      <c r="AO103" s="6">
        <v>109.60189200552162</v>
      </c>
      <c r="AP103" s="6">
        <v>0</v>
      </c>
      <c r="AQ103" s="6">
        <v>9.209378359238226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/>
      <c r="BD103" s="3"/>
      <c r="BE103" s="3"/>
      <c r="BF103" s="7">
        <v>3733.9812490306767</v>
      </c>
    </row>
    <row x14ac:dyDescent="0.25" r="104" customHeight="1" ht="12.75">
      <c r="A104" s="5" t="s">
        <v>321</v>
      </c>
      <c r="B104" s="3" t="s">
        <v>855</v>
      </c>
      <c r="C104" s="3" t="s">
        <v>856</v>
      </c>
      <c r="D104" s="3" t="s">
        <v>929</v>
      </c>
      <c r="E104" s="3"/>
      <c r="F104" s="6">
        <f>100*SUM(AM104:AO104)/AL104</f>
      </c>
      <c r="G104" s="6">
        <f>100*SUM(AP104)/AL104</f>
      </c>
      <c r="H104" s="6">
        <f>100*SUM(AQ104)/AL104</f>
      </c>
      <c r="I104" s="6">
        <f>100*SUM(AR104:BC104)/AL104</f>
      </c>
      <c r="J104" s="3"/>
      <c r="K104" s="6">
        <v>1.1740000000000002</v>
      </c>
      <c r="L104" s="7">
        <v>2.393015332197615</v>
      </c>
      <c r="M104" s="7">
        <v>2.393015332197615</v>
      </c>
      <c r="N104" s="31">
        <v>363.77172061328787</v>
      </c>
      <c r="O104" s="6">
        <v>0.3479727427597956</v>
      </c>
      <c r="P104" s="6"/>
      <c r="Q104" s="7"/>
      <c r="R104" s="6"/>
      <c r="S104" s="6"/>
      <c r="T104" s="6"/>
      <c r="U104" s="5"/>
      <c r="V104" s="6"/>
      <c r="W104" s="6"/>
      <c r="X104" s="6"/>
      <c r="Y104" s="15"/>
      <c r="Z104" s="6"/>
      <c r="AA104" s="6"/>
      <c r="AB104" s="5"/>
      <c r="AC104" s="3"/>
      <c r="AD104" s="6">
        <v>0.028094</v>
      </c>
      <c r="AE104" s="6">
        <v>0.028094</v>
      </c>
      <c r="AF104" s="7">
        <v>427.06800000000004</v>
      </c>
      <c r="AG104" s="6">
        <v>0.004085200000000001</v>
      </c>
      <c r="AH104" s="7">
        <v>0</v>
      </c>
      <c r="AI104" s="15">
        <v>0.0602732</v>
      </c>
      <c r="AJ104" s="6">
        <v>5.134003407155025</v>
      </c>
      <c r="AK104" s="3"/>
      <c r="AL104" s="6">
        <v>344.0913829965052</v>
      </c>
      <c r="AM104" s="6">
        <v>45.370517771720614</v>
      </c>
      <c r="AN104" s="6">
        <v>51.96506977342419</v>
      </c>
      <c r="AO104" s="6">
        <v>222.59086312768068</v>
      </c>
      <c r="AP104" s="6">
        <v>24.164932323679732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/>
      <c r="BD104" s="3"/>
      <c r="BE104" s="3"/>
      <c r="BF104" s="7">
        <v>403.9632836378972</v>
      </c>
    </row>
    <row x14ac:dyDescent="0.25" r="105" customHeight="1" ht="12.75">
      <c r="A105" s="5" t="s">
        <v>787</v>
      </c>
      <c r="B105" s="3" t="s">
        <v>855</v>
      </c>
      <c r="C105" s="3" t="s">
        <v>856</v>
      </c>
      <c r="D105" s="3" t="s">
        <v>928</v>
      </c>
      <c r="E105" s="3"/>
      <c r="F105" s="6">
        <f>100*SUM(AM105:AO105)/AL105</f>
      </c>
      <c r="G105" s="6">
        <f>100*SUM(AP105)/AL105</f>
      </c>
      <c r="H105" s="6">
        <f>100*SUM(AQ105)/AL105</f>
      </c>
      <c r="I105" s="6">
        <f>100*SUM(AR105:BC105)/AL105</f>
      </c>
      <c r="J105" s="3"/>
      <c r="K105" s="6">
        <v>6.470000000000001</v>
      </c>
      <c r="L105" s="6"/>
      <c r="M105" s="6">
        <v>0.21882534775888715</v>
      </c>
      <c r="N105" s="31">
        <v>103.05255023183926</v>
      </c>
      <c r="O105" s="6"/>
      <c r="P105" s="6">
        <v>0.131112828438949</v>
      </c>
      <c r="Q105" s="7"/>
      <c r="R105" s="6"/>
      <c r="S105" s="6"/>
      <c r="T105" s="6"/>
      <c r="U105" s="5"/>
      <c r="V105" s="6"/>
      <c r="W105" s="6"/>
      <c r="X105" s="6"/>
      <c r="Y105" s="15"/>
      <c r="Z105" s="6"/>
      <c r="AA105" s="6"/>
      <c r="AB105" s="5"/>
      <c r="AC105" s="3"/>
      <c r="AD105" s="6">
        <v>0</v>
      </c>
      <c r="AE105" s="6">
        <v>0.014157999999999999</v>
      </c>
      <c r="AF105" s="7">
        <v>666.7500000000001</v>
      </c>
      <c r="AG105" s="6">
        <v>0</v>
      </c>
      <c r="AH105" s="7">
        <v>0.8483000000000002</v>
      </c>
      <c r="AI105" s="15">
        <v>0.014157999999999999</v>
      </c>
      <c r="AJ105" s="6">
        <v>0.21882534775888715</v>
      </c>
      <c r="AK105" s="3"/>
      <c r="AL105" s="6">
        <v>73.16354267496187</v>
      </c>
      <c r="AM105" s="6">
        <v>0</v>
      </c>
      <c r="AN105" s="6">
        <v>4.751860262442039</v>
      </c>
      <c r="AO105" s="6">
        <v>63.05755726404828</v>
      </c>
      <c r="AP105" s="6">
        <v>0</v>
      </c>
      <c r="AQ105" s="6">
        <v>5.35412514847155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/>
      <c r="BD105" s="3"/>
      <c r="BE105" s="3"/>
      <c r="BF105" s="7">
        <v>473.3681211070034</v>
      </c>
    </row>
    <row x14ac:dyDescent="0.25" r="106" customHeight="1" ht="12.75">
      <c r="A106" s="5" t="s">
        <v>379</v>
      </c>
      <c r="B106" s="3" t="s">
        <v>855</v>
      </c>
      <c r="C106" s="3" t="s">
        <v>856</v>
      </c>
      <c r="D106" s="3"/>
      <c r="E106" s="3"/>
      <c r="F106" s="6">
        <f>100*SUM(AM106:AO106)/AL106</f>
      </c>
      <c r="G106" s="6">
        <f>100*SUM(AP106)/AL106</f>
      </c>
      <c r="H106" s="6">
        <f>100*SUM(AQ106)/AL106</f>
      </c>
      <c r="I106" s="6">
        <f>100*SUM(AR106:BC106)/AL106</f>
      </c>
      <c r="J106" s="3"/>
      <c r="K106" s="6">
        <v>25.490000000000002</v>
      </c>
      <c r="L106" s="7">
        <v>1.3249509611612393</v>
      </c>
      <c r="M106" s="7">
        <v>2.724872499019223</v>
      </c>
      <c r="N106" s="31">
        <v>115.99333071792859</v>
      </c>
      <c r="O106" s="7">
        <v>0.1</v>
      </c>
      <c r="P106" s="6">
        <v>0.16498626912514713</v>
      </c>
      <c r="Q106" s="7"/>
      <c r="R106" s="6"/>
      <c r="S106" s="6"/>
      <c r="T106" s="6"/>
      <c r="U106" s="5"/>
      <c r="V106" s="6"/>
      <c r="W106" s="6"/>
      <c r="X106" s="6"/>
      <c r="Y106" s="15"/>
      <c r="Z106" s="6"/>
      <c r="AA106" s="6"/>
      <c r="AB106" s="5"/>
      <c r="AC106" s="3"/>
      <c r="AD106" s="6">
        <v>0.33773</v>
      </c>
      <c r="AE106" s="6">
        <v>0.6945699999999999</v>
      </c>
      <c r="AF106" s="7">
        <v>2956.67</v>
      </c>
      <c r="AG106" s="6">
        <v>0.025490000000000002</v>
      </c>
      <c r="AH106" s="7">
        <v>4.205500000000001</v>
      </c>
      <c r="AI106" s="15">
        <v>1.0577899999999998</v>
      </c>
      <c r="AJ106" s="6">
        <v>4.149823460180462</v>
      </c>
      <c r="AK106" s="3"/>
      <c r="AL106" s="6">
        <v>168.94979307415807</v>
      </c>
      <c r="AM106" s="6">
        <v>25.120487245194187</v>
      </c>
      <c r="AN106" s="6">
        <v>59.17145102667712</v>
      </c>
      <c r="AO106" s="6">
        <v>70.97598339428235</v>
      </c>
      <c r="AP106" s="6">
        <v>6.94449</v>
      </c>
      <c r="AQ106" s="6">
        <v>6.7373814080044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/>
      <c r="BD106" s="3"/>
      <c r="BE106" s="3"/>
      <c r="BF106" s="7">
        <v>4306.530225460289</v>
      </c>
    </row>
    <row x14ac:dyDescent="0.25" r="107" customHeight="1" ht="12.75">
      <c r="A107" s="5" t="s">
        <v>367</v>
      </c>
      <c r="B107" s="3" t="s">
        <v>855</v>
      </c>
      <c r="C107" s="3" t="s">
        <v>856</v>
      </c>
      <c r="D107" s="3"/>
      <c r="E107" s="3"/>
      <c r="F107" s="6">
        <f>100*SUM(AM107:AO107)/AL107</f>
      </c>
      <c r="G107" s="6">
        <f>100*SUM(AP107)/AL107</f>
      </c>
      <c r="H107" s="6">
        <f>100*SUM(AQ107)/AL107</f>
      </c>
      <c r="I107" s="6">
        <f>100*SUM(AR107:BC107)/AL107</f>
      </c>
      <c r="J107" s="3"/>
      <c r="K107" s="23">
        <v>4.005707999999999</v>
      </c>
      <c r="L107" s="6">
        <v>2.7111622190134685</v>
      </c>
      <c r="M107" s="6">
        <v>6.4935332380692765</v>
      </c>
      <c r="N107" s="31">
        <v>78.10484688349726</v>
      </c>
      <c r="O107" s="6">
        <v>0.3001564367647368</v>
      </c>
      <c r="P107" s="6">
        <v>0.04294285304869951</v>
      </c>
      <c r="Q107" s="7"/>
      <c r="R107" s="6"/>
      <c r="S107" s="6"/>
      <c r="T107" s="6"/>
      <c r="U107" s="5"/>
      <c r="V107" s="6"/>
      <c r="W107" s="6"/>
      <c r="X107" s="6"/>
      <c r="Y107" s="15"/>
      <c r="Z107" s="6"/>
      <c r="AA107" s="6"/>
      <c r="AB107" s="5"/>
      <c r="AC107" s="3"/>
      <c r="AD107" s="6">
        <v>0.1086012419</v>
      </c>
      <c r="AE107" s="6">
        <v>0.2601119804</v>
      </c>
      <c r="AF107" s="7">
        <v>312.86521</v>
      </c>
      <c r="AG107" s="6">
        <v>0.0120233904</v>
      </c>
      <c r="AH107" s="7">
        <v>0.17201653</v>
      </c>
      <c r="AI107" s="15">
        <v>0.38073661270000003</v>
      </c>
      <c r="AJ107" s="6">
        <v>9.504851893847484</v>
      </c>
      <c r="AK107" s="3"/>
      <c r="AL107" s="6">
        <v>262.8016084371208</v>
      </c>
      <c r="AM107" s="6">
        <v>51.40244276111899</v>
      </c>
      <c r="AN107" s="6">
        <v>141.00908725997814</v>
      </c>
      <c r="AO107" s="6">
        <v>47.79212978112389</v>
      </c>
      <c r="AP107" s="6">
        <v>20.84433373548347</v>
      </c>
      <c r="AQ107" s="6">
        <v>1.7536148994163465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/>
      <c r="BD107" s="3"/>
      <c r="BE107" s="3"/>
      <c r="BF107" s="7">
        <v>1052.7065053294423</v>
      </c>
    </row>
    <row x14ac:dyDescent="0.25" r="108" customHeight="1" ht="12.75">
      <c r="A108" s="5" t="s">
        <v>644</v>
      </c>
      <c r="B108" s="3" t="s">
        <v>855</v>
      </c>
      <c r="C108" s="3" t="s">
        <v>856</v>
      </c>
      <c r="D108" s="3"/>
      <c r="E108" s="3"/>
      <c r="F108" s="6">
        <f>100*SUM(AM108:AO108)/AL108</f>
      </c>
      <c r="G108" s="6">
        <f>100*SUM(AP108)/AL108</f>
      </c>
      <c r="H108" s="6">
        <f>100*SUM(AQ108)/AL108</f>
      </c>
      <c r="I108" s="6">
        <f>100*SUM(AR108:BC108)/AL108</f>
      </c>
      <c r="J108" s="3"/>
      <c r="K108" s="23">
        <v>1.49</v>
      </c>
      <c r="L108" s="6">
        <v>0.71</v>
      </c>
      <c r="M108" s="6">
        <v>1.56</v>
      </c>
      <c r="N108" s="5">
        <v>245</v>
      </c>
      <c r="O108" s="6">
        <v>0.27</v>
      </c>
      <c r="P108" s="6"/>
      <c r="Q108" s="7"/>
      <c r="R108" s="6"/>
      <c r="S108" s="6"/>
      <c r="T108" s="6"/>
      <c r="U108" s="5"/>
      <c r="V108" s="6"/>
      <c r="W108" s="6"/>
      <c r="X108" s="6"/>
      <c r="Y108" s="15"/>
      <c r="Z108" s="6"/>
      <c r="AA108" s="6"/>
      <c r="AB108" s="5"/>
      <c r="AC108" s="3"/>
      <c r="AD108" s="6">
        <v>0.010578999999999998</v>
      </c>
      <c r="AE108" s="6">
        <v>0.023244</v>
      </c>
      <c r="AF108" s="7">
        <v>365.05</v>
      </c>
      <c r="AG108" s="6">
        <v>0.0040230000000000005</v>
      </c>
      <c r="AH108" s="7">
        <v>0</v>
      </c>
      <c r="AI108" s="15">
        <v>0.037846</v>
      </c>
      <c r="AJ108" s="6">
        <v>2.54</v>
      </c>
      <c r="AK108" s="3"/>
      <c r="AL108" s="6">
        <v>216.00208519678458</v>
      </c>
      <c r="AM108" s="6">
        <v>13.461287599999999</v>
      </c>
      <c r="AN108" s="6">
        <v>33.8758836</v>
      </c>
      <c r="AO108" s="6">
        <v>149.91479099678457</v>
      </c>
      <c r="AP108" s="6">
        <v>18.750123000000002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/>
      <c r="BD108" s="3"/>
      <c r="BE108" s="3"/>
      <c r="BF108" s="7">
        <v>321.843106943209</v>
      </c>
    </row>
    <row x14ac:dyDescent="0.25" r="109" customHeight="1" ht="12.75">
      <c r="A109" s="5" t="s">
        <v>105</v>
      </c>
      <c r="B109" s="3" t="s">
        <v>855</v>
      </c>
      <c r="C109" s="3" t="s">
        <v>856</v>
      </c>
      <c r="D109" s="3" t="s">
        <v>928</v>
      </c>
      <c r="E109" s="3"/>
      <c r="F109" s="6">
        <f>100*SUM(AM109:AO109)/AL109</f>
      </c>
      <c r="G109" s="6">
        <f>100*SUM(AP109)/AL109</f>
      </c>
      <c r="H109" s="6">
        <f>100*SUM(AQ109)/AL109</f>
      </c>
      <c r="I109" s="6">
        <f>100*SUM(AR109:BC109)/AL109</f>
      </c>
      <c r="J109" s="3"/>
      <c r="K109" s="6">
        <v>69.49000000000001</v>
      </c>
      <c r="L109" s="6">
        <v>1.4514131529716503</v>
      </c>
      <c r="M109" s="6">
        <v>2.8235400777090227</v>
      </c>
      <c r="N109" s="31">
        <v>358.0692185926032</v>
      </c>
      <c r="O109" s="6"/>
      <c r="P109" s="6">
        <v>0.7537544970499351</v>
      </c>
      <c r="Q109" s="7"/>
      <c r="R109" s="6"/>
      <c r="S109" s="6"/>
      <c r="T109" s="6"/>
      <c r="U109" s="5"/>
      <c r="V109" s="6"/>
      <c r="W109" s="6"/>
      <c r="X109" s="6"/>
      <c r="Y109" s="15"/>
      <c r="Z109" s="6"/>
      <c r="AA109" s="6"/>
      <c r="AB109" s="5"/>
      <c r="AC109" s="3"/>
      <c r="AD109" s="6">
        <v>1.008587</v>
      </c>
      <c r="AE109" s="6">
        <v>1.9620780000000002</v>
      </c>
      <c r="AF109" s="7">
        <v>24882.23</v>
      </c>
      <c r="AG109" s="6">
        <v>0</v>
      </c>
      <c r="AH109" s="7">
        <v>52.3784</v>
      </c>
      <c r="AI109" s="15">
        <v>2.9706650000000003</v>
      </c>
      <c r="AJ109" s="6">
        <v>4.274953230680673</v>
      </c>
      <c r="AK109" s="3"/>
      <c r="AL109" s="6">
        <v>338.7140498231946</v>
      </c>
      <c r="AM109" s="6">
        <v>27.51815475855518</v>
      </c>
      <c r="AN109" s="6">
        <v>61.314048084875516</v>
      </c>
      <c r="AO109" s="6">
        <v>219.10151864364116</v>
      </c>
      <c r="AP109" s="6">
        <v>0</v>
      </c>
      <c r="AQ109" s="6">
        <v>30.780328336122754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/>
      <c r="BD109" s="3"/>
      <c r="BE109" s="3"/>
      <c r="BF109" s="7">
        <v>23537.239322213798</v>
      </c>
    </row>
    <row x14ac:dyDescent="0.25" r="110" customHeight="1" ht="12.75">
      <c r="A110" s="5" t="s">
        <v>586</v>
      </c>
      <c r="B110" s="3" t="s">
        <v>855</v>
      </c>
      <c r="C110" s="3" t="s">
        <v>856</v>
      </c>
      <c r="D110" s="3" t="s">
        <v>927</v>
      </c>
      <c r="E110" s="3"/>
      <c r="F110" s="6">
        <f>100*SUM(AM110:AO110)/AL110</f>
      </c>
      <c r="G110" s="6">
        <f>100*SUM(AP110)/AL110</f>
      </c>
      <c r="H110" s="6">
        <f>100*SUM(AQ110)/AL110</f>
      </c>
      <c r="I110" s="6">
        <f>100*SUM(AR110:BC110)/AL110</f>
      </c>
      <c r="J110" s="3"/>
      <c r="K110" s="6">
        <v>11.256</v>
      </c>
      <c r="L110" s="6">
        <v>1.8129557569296375</v>
      </c>
      <c r="M110" s="6">
        <v>2.679493603411514</v>
      </c>
      <c r="N110" s="31">
        <v>117.43061478322672</v>
      </c>
      <c r="O110" s="6"/>
      <c r="P110" s="6">
        <v>0.4372690120824449</v>
      </c>
      <c r="Q110" s="7"/>
      <c r="R110" s="6"/>
      <c r="S110" s="6"/>
      <c r="T110" s="6"/>
      <c r="U110" s="5"/>
      <c r="V110" s="6"/>
      <c r="W110" s="6"/>
      <c r="X110" s="6"/>
      <c r="Y110" s="15"/>
      <c r="Z110" s="6"/>
      <c r="AA110" s="6"/>
      <c r="AB110" s="5"/>
      <c r="AC110" s="3"/>
      <c r="AD110" s="6">
        <v>0.2040663</v>
      </c>
      <c r="AE110" s="6">
        <v>0.30160380000000003</v>
      </c>
      <c r="AF110" s="7">
        <v>1321.799</v>
      </c>
      <c r="AG110" s="6">
        <v>0</v>
      </c>
      <c r="AH110" s="7">
        <v>4.9219</v>
      </c>
      <c r="AI110" s="15">
        <v>0.5056701</v>
      </c>
      <c r="AJ110" s="6">
        <v>4.492449360341151</v>
      </c>
      <c r="AK110" s="3"/>
      <c r="AL110" s="6">
        <v>182.27065404788374</v>
      </c>
      <c r="AM110" s="6">
        <v>34.372843450852876</v>
      </c>
      <c r="AN110" s="6">
        <v>58.186034241098085</v>
      </c>
      <c r="AO110" s="6">
        <v>71.85545335449532</v>
      </c>
      <c r="AP110" s="6">
        <v>0</v>
      </c>
      <c r="AQ110" s="6">
        <v>17.85632300143746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/>
      <c r="BD110" s="3"/>
      <c r="BE110" s="3"/>
      <c r="BF110" s="7">
        <v>2051.6384819629793</v>
      </c>
    </row>
    <row x14ac:dyDescent="0.25" r="111" customHeight="1" ht="12.75">
      <c r="A111" s="5" t="s">
        <v>72</v>
      </c>
      <c r="B111" s="3" t="s">
        <v>855</v>
      </c>
      <c r="C111" s="3" t="s">
        <v>856</v>
      </c>
      <c r="D111" s="3" t="s">
        <v>934</v>
      </c>
      <c r="E111" s="3"/>
      <c r="F111" s="6">
        <f>100*SUM(AM111:AO111)/AL111</f>
      </c>
      <c r="G111" s="6">
        <f>100*SUM(AP111)/AL111</f>
      </c>
      <c r="H111" s="6">
        <f>100*SUM(AQ111)/AL111</f>
      </c>
      <c r="I111" s="6">
        <f>100*SUM(AR111:BC111)/AL111</f>
      </c>
      <c r="J111" s="3"/>
      <c r="K111" s="6">
        <v>203.09699999999998</v>
      </c>
      <c r="L111" s="6">
        <v>1.0594354421778758</v>
      </c>
      <c r="M111" s="6">
        <v>2.5489258334687372</v>
      </c>
      <c r="N111" s="7">
        <v>100.22595286488722</v>
      </c>
      <c r="O111" s="6">
        <v>0.21476708173926745</v>
      </c>
      <c r="P111" s="6"/>
      <c r="Q111" s="7"/>
      <c r="R111" s="6"/>
      <c r="S111" s="6"/>
      <c r="T111" s="6"/>
      <c r="U111" s="5"/>
      <c r="V111" s="6"/>
      <c r="W111" s="6"/>
      <c r="X111" s="6"/>
      <c r="Y111" s="15"/>
      <c r="Z111" s="6"/>
      <c r="AA111" s="6"/>
      <c r="AB111" s="5"/>
      <c r="AC111" s="3"/>
      <c r="AD111" s="6">
        <v>2.1516816000000003</v>
      </c>
      <c r="AE111" s="6">
        <v>5.1767919000000004</v>
      </c>
      <c r="AF111" s="7">
        <v>20355.590349</v>
      </c>
      <c r="AG111" s="6">
        <v>0.4361855</v>
      </c>
      <c r="AH111" s="7">
        <v>0</v>
      </c>
      <c r="AI111" s="15">
        <v>7.764659000000001</v>
      </c>
      <c r="AJ111" s="6">
        <v>3.8231283573858805</v>
      </c>
      <c r="AK111" s="3"/>
      <c r="AL111" s="6">
        <v>151.6795935026293</v>
      </c>
      <c r="AM111" s="6">
        <v>20.086429832097966</v>
      </c>
      <c r="AN111" s="6">
        <v>55.350714640782</v>
      </c>
      <c r="AO111" s="6">
        <v>61.327970515074085</v>
      </c>
      <c r="AP111" s="6">
        <v>14.914478514675253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/>
      <c r="BD111" s="3"/>
      <c r="BE111" s="3"/>
      <c r="BF111" s="7">
        <v>30805.6704016035</v>
      </c>
    </row>
    <row x14ac:dyDescent="0.25" r="112" customHeight="1" ht="12.75">
      <c r="A112" s="5" t="s">
        <v>200</v>
      </c>
      <c r="B112" s="3" t="s">
        <v>855</v>
      </c>
      <c r="C112" s="3" t="s">
        <v>856</v>
      </c>
      <c r="D112" s="3" t="s">
        <v>928</v>
      </c>
      <c r="E112" s="3"/>
      <c r="F112" s="6">
        <f>100*SUM(AM112:AO112)/AL112</f>
      </c>
      <c r="G112" s="6">
        <f>100*SUM(AP112)/AL112</f>
      </c>
      <c r="H112" s="6">
        <f>100*SUM(AQ112)/AL112</f>
      </c>
      <c r="I112" s="6">
        <f>100*SUM(AR112:BC112)/AL112</f>
      </c>
      <c r="J112" s="3"/>
      <c r="K112" s="6">
        <v>31.700000000000003</v>
      </c>
      <c r="L112" s="6">
        <v>0.6563091482649842</v>
      </c>
      <c r="M112" s="6">
        <v>1.1900315457413249</v>
      </c>
      <c r="N112" s="31">
        <v>397.6214511041009</v>
      </c>
      <c r="O112" s="6"/>
      <c r="P112" s="6">
        <v>0.45321766561514193</v>
      </c>
      <c r="Q112" s="7"/>
      <c r="R112" s="6"/>
      <c r="S112" s="6"/>
      <c r="T112" s="6"/>
      <c r="U112" s="5"/>
      <c r="V112" s="6"/>
      <c r="W112" s="6"/>
      <c r="X112" s="6"/>
      <c r="Y112" s="15"/>
      <c r="Z112" s="6"/>
      <c r="AA112" s="6"/>
      <c r="AB112" s="5"/>
      <c r="AC112" s="3"/>
      <c r="AD112" s="6">
        <v>0.20804999999999998</v>
      </c>
      <c r="AE112" s="6">
        <v>0.37724</v>
      </c>
      <c r="AF112" s="7">
        <v>12604.6</v>
      </c>
      <c r="AG112" s="7">
        <v>14.367</v>
      </c>
      <c r="AH112" s="6">
        <v>0</v>
      </c>
      <c r="AI112" s="15">
        <v>0.58529</v>
      </c>
      <c r="AJ112" s="6">
        <v>1.846340694006309</v>
      </c>
      <c r="AK112" s="3"/>
      <c r="AL112" s="6">
        <v>300.0962542804467</v>
      </c>
      <c r="AM112" s="6">
        <v>12.443332675078864</v>
      </c>
      <c r="AN112" s="6">
        <v>25.841903925552046</v>
      </c>
      <c r="AO112" s="6">
        <v>243.30341525758976</v>
      </c>
      <c r="AP112" s="6">
        <v>0</v>
      </c>
      <c r="AQ112" s="6">
        <v>18.507602422226054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/>
      <c r="BD112" s="3"/>
      <c r="BE112" s="3"/>
      <c r="BF112" s="7">
        <v>9513.051260690161</v>
      </c>
    </row>
    <row x14ac:dyDescent="0.25" r="113" customHeight="1" ht="12.75">
      <c r="A113" s="5" t="s">
        <v>295</v>
      </c>
      <c r="B113" s="3" t="s">
        <v>855</v>
      </c>
      <c r="C113" s="3" t="s">
        <v>856</v>
      </c>
      <c r="D113" s="3"/>
      <c r="E113" s="3"/>
      <c r="F113" s="6">
        <f>100*SUM(AM113:AO113)/AL113</f>
      </c>
      <c r="G113" s="6">
        <f>100*SUM(AP113)/AL113</f>
      </c>
      <c r="H113" s="6">
        <f>100*SUM(AQ113)/AL113</f>
      </c>
      <c r="I113" s="6">
        <f>100*SUM(AR113:BC113)/AL113</f>
      </c>
      <c r="J113" s="3"/>
      <c r="K113" s="6">
        <v>23.54</v>
      </c>
      <c r="L113" s="6">
        <v>1.2076125743415462</v>
      </c>
      <c r="M113" s="7">
        <v>3.7820390824129144</v>
      </c>
      <c r="N113" s="31">
        <v>200.48598130841125</v>
      </c>
      <c r="O113" s="7">
        <v>0.3970433305012745</v>
      </c>
      <c r="P113" s="6"/>
      <c r="Q113" s="7"/>
      <c r="R113" s="6"/>
      <c r="S113" s="6"/>
      <c r="T113" s="6"/>
      <c r="U113" s="5"/>
      <c r="V113" s="6"/>
      <c r="W113" s="6"/>
      <c r="X113" s="6"/>
      <c r="Y113" s="15"/>
      <c r="Z113" s="6"/>
      <c r="AA113" s="6"/>
      <c r="AB113" s="5"/>
      <c r="AC113" s="3"/>
      <c r="AD113" s="6">
        <v>0.28427199999999997</v>
      </c>
      <c r="AE113" s="6">
        <v>0.8902920000000001</v>
      </c>
      <c r="AF113" s="7">
        <v>4719.4400000000005</v>
      </c>
      <c r="AG113" s="6">
        <v>0.093464</v>
      </c>
      <c r="AH113" s="7">
        <v>0</v>
      </c>
      <c r="AI113" s="15">
        <v>1.2680280000000002</v>
      </c>
      <c r="AJ113" s="6">
        <v>5.386694987255735</v>
      </c>
      <c r="AK113" s="3"/>
      <c r="AL113" s="6">
        <v>255.27338032712797</v>
      </c>
      <c r="AM113" s="6">
        <v>22.895803059983006</v>
      </c>
      <c r="AN113" s="6">
        <v>82.12815110671198</v>
      </c>
      <c r="AO113" s="6">
        <v>122.67679177810503</v>
      </c>
      <c r="AP113" s="6">
        <v>27.572634382327955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/>
      <c r="BD113" s="3"/>
      <c r="BE113" s="3"/>
      <c r="BF113" s="7">
        <v>6009.135372900592</v>
      </c>
    </row>
    <row x14ac:dyDescent="0.25" r="114" customHeight="1" ht="12.75">
      <c r="A114" s="5" t="s">
        <v>160</v>
      </c>
      <c r="B114" s="3" t="s">
        <v>855</v>
      </c>
      <c r="C114" s="3" t="s">
        <v>856</v>
      </c>
      <c r="D114" s="3" t="s">
        <v>935</v>
      </c>
      <c r="E114" s="3"/>
      <c r="F114" s="6">
        <f>100*SUM(AM114:AO114)/AL114</f>
      </c>
      <c r="G114" s="6">
        <f>100*SUM(AP114)/AL114</f>
      </c>
      <c r="H114" s="6">
        <f>100*SUM(AQ114)/AL114</f>
      </c>
      <c r="I114" s="6">
        <f>100*SUM(AR114:BC114)/AL114</f>
      </c>
      <c r="J114" s="3"/>
      <c r="K114" s="6">
        <v>0.373</v>
      </c>
      <c r="L114" s="6">
        <v>2.27</v>
      </c>
      <c r="M114" s="6"/>
      <c r="N114" s="7">
        <v>629.7438999999999</v>
      </c>
      <c r="O114" s="6">
        <v>0.44</v>
      </c>
      <c r="P114" s="6">
        <v>0.5598</v>
      </c>
      <c r="Q114" s="7"/>
      <c r="R114" s="6"/>
      <c r="S114" s="6"/>
      <c r="T114" s="6"/>
      <c r="U114" s="5"/>
      <c r="V114" s="6"/>
      <c r="W114" s="6"/>
      <c r="X114" s="6"/>
      <c r="Y114" s="15"/>
      <c r="Z114" s="6"/>
      <c r="AA114" s="6"/>
      <c r="AB114" s="5"/>
      <c r="AC114" s="3"/>
      <c r="AD114" s="6">
        <v>0.0084671</v>
      </c>
      <c r="AE114" s="6">
        <v>0</v>
      </c>
      <c r="AF114" s="7">
        <v>234.8944747</v>
      </c>
      <c r="AG114" s="6">
        <v>0.0016411999999999998</v>
      </c>
      <c r="AH114" s="7">
        <v>0.20880539999999997</v>
      </c>
      <c r="AI114" s="15">
        <v>0.0101083</v>
      </c>
      <c r="AJ114" s="6">
        <v>2.71</v>
      </c>
      <c r="AK114" s="3"/>
      <c r="AL114" s="6">
        <v>481.7924272</v>
      </c>
      <c r="AM114" s="6">
        <v>43.0382012</v>
      </c>
      <c r="AN114" s="6">
        <v>0</v>
      </c>
      <c r="AO114" s="6">
        <v>385.33847000000003</v>
      </c>
      <c r="AP114" s="6">
        <v>30.555756000000002</v>
      </c>
      <c r="AQ114" s="6">
        <v>22.859999999999996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/>
      <c r="BD114" s="3"/>
      <c r="BE114" s="3"/>
      <c r="BF114" s="7">
        <v>179.7085753456</v>
      </c>
    </row>
    <row x14ac:dyDescent="0.25" r="115" customHeight="1" ht="12.75">
      <c r="A115" s="5" t="s">
        <v>343</v>
      </c>
      <c r="B115" s="3" t="s">
        <v>855</v>
      </c>
      <c r="C115" s="3" t="s">
        <v>856</v>
      </c>
      <c r="D115" s="3" t="s">
        <v>929</v>
      </c>
      <c r="E115" s="3"/>
      <c r="F115" s="6">
        <f>100*SUM(AM115:AO115)/AL115</f>
      </c>
      <c r="G115" s="6">
        <f>100*SUM(AP115)/AL115</f>
      </c>
      <c r="H115" s="6">
        <f>100*SUM(AQ115)/AL115</f>
      </c>
      <c r="I115" s="6">
        <f>100*SUM(AR115:BC115)/AL115</f>
      </c>
      <c r="J115" s="3"/>
      <c r="K115" s="6">
        <v>22.6</v>
      </c>
      <c r="L115" s="6">
        <v>1.5543805309734515</v>
      </c>
      <c r="M115" s="6">
        <v>2.870265486725664</v>
      </c>
      <c r="N115" s="31">
        <v>164.14601769911505</v>
      </c>
      <c r="O115" s="6">
        <v>0.354646017699115</v>
      </c>
      <c r="P115" s="6"/>
      <c r="Q115" s="7"/>
      <c r="R115" s="6"/>
      <c r="S115" s="6"/>
      <c r="T115" s="6"/>
      <c r="U115" s="5"/>
      <c r="V115" s="6"/>
      <c r="W115" s="6"/>
      <c r="X115" s="6"/>
      <c r="Y115" s="15"/>
      <c r="Z115" s="6"/>
      <c r="AA115" s="6"/>
      <c r="AB115" s="5"/>
      <c r="AC115" s="3"/>
      <c r="AD115" s="6">
        <v>0.35129000000000005</v>
      </c>
      <c r="AE115" s="6">
        <v>0.6486800000000001</v>
      </c>
      <c r="AF115" s="7">
        <v>3709.7000000000003</v>
      </c>
      <c r="AG115" s="6">
        <v>0.08015</v>
      </c>
      <c r="AH115" s="7">
        <v>0</v>
      </c>
      <c r="AI115" s="15">
        <v>1.0801200000000002</v>
      </c>
      <c r="AJ115" s="6">
        <v>4.779292035398231</v>
      </c>
      <c r="AK115" s="3"/>
      <c r="AL115" s="6">
        <v>216.86790621034345</v>
      </c>
      <c r="AM115" s="6">
        <v>29.47037093982301</v>
      </c>
      <c r="AN115" s="6">
        <v>62.32870482654867</v>
      </c>
      <c r="AO115" s="6">
        <v>100.4404732094585</v>
      </c>
      <c r="AP115" s="6">
        <v>24.628357234513274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/>
      <c r="BD115" s="3"/>
      <c r="BE115" s="3"/>
      <c r="BF115" s="7">
        <v>4901.214680353763</v>
      </c>
    </row>
    <row x14ac:dyDescent="0.25" r="116" customHeight="1" ht="12.75">
      <c r="A116" s="5" t="s">
        <v>85</v>
      </c>
      <c r="B116" s="3" t="s">
        <v>855</v>
      </c>
      <c r="C116" s="3" t="s">
        <v>856</v>
      </c>
      <c r="D116" s="3"/>
      <c r="E116" s="3"/>
      <c r="F116" s="6">
        <f>100*SUM(AM116:AO116)/AL116</f>
      </c>
      <c r="G116" s="6">
        <f>100*SUM(AP116)/AL116</f>
      </c>
      <c r="H116" s="6">
        <f>100*SUM(AQ116)/AL116</f>
      </c>
      <c r="I116" s="6">
        <f>100*SUM(AR116:BC116)/AL116</f>
      </c>
      <c r="J116" s="3"/>
      <c r="K116" s="23">
        <v>1.0266782399999999</v>
      </c>
      <c r="L116" s="6">
        <v>3.5806521162852345</v>
      </c>
      <c r="M116" s="6">
        <v>1.153053812847928</v>
      </c>
      <c r="N116" s="31">
        <v>688.6308433886745</v>
      </c>
      <c r="O116" s="6">
        <v>0.18149067774145092</v>
      </c>
      <c r="P116" s="6">
        <v>1.3909479760669712</v>
      </c>
      <c r="Q116" s="7"/>
      <c r="R116" s="6"/>
      <c r="S116" s="6"/>
      <c r="T116" s="6"/>
      <c r="U116" s="5"/>
      <c r="V116" s="6"/>
      <c r="W116" s="6"/>
      <c r="X116" s="6"/>
      <c r="Y116" s="15"/>
      <c r="Z116" s="6"/>
      <c r="AA116" s="6"/>
      <c r="AB116" s="5"/>
      <c r="AC116" s="3"/>
      <c r="AD116" s="6">
        <v>0.036761776127999996</v>
      </c>
      <c r="AE116" s="6">
        <v>0.011838152592</v>
      </c>
      <c r="AF116" s="7">
        <v>707.0023022999999</v>
      </c>
      <c r="AG116" s="6">
        <v>0.0018633252959999996</v>
      </c>
      <c r="AH116" s="7">
        <v>1.4280560199999999</v>
      </c>
      <c r="AI116" s="15">
        <v>0.050463254016</v>
      </c>
      <c r="AJ116" s="6">
        <v>4.915196606874613</v>
      </c>
      <c r="AK116" s="3"/>
      <c r="AL116" s="6">
        <v>583.7021012850295</v>
      </c>
      <c r="AM116" s="6">
        <v>67.88758863783687</v>
      </c>
      <c r="AN116" s="6">
        <v>25.038920992674736</v>
      </c>
      <c r="AO116" s="6">
        <v>421.37122024715364</v>
      </c>
      <c r="AP116" s="6">
        <v>12.603601966687284</v>
      </c>
      <c r="AQ116" s="6">
        <v>56.80076944067696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/>
      <c r="BD116" s="3"/>
      <c r="BE116" s="3"/>
      <c r="BF116" s="7">
        <v>599.2742460316157</v>
      </c>
    </row>
    <row x14ac:dyDescent="0.25" r="117" customHeight="1" ht="12.75">
      <c r="A117" s="5" t="s">
        <v>376</v>
      </c>
      <c r="B117" s="3" t="s">
        <v>855</v>
      </c>
      <c r="C117" s="3" t="s">
        <v>856</v>
      </c>
      <c r="D117" s="3" t="s">
        <v>936</v>
      </c>
      <c r="E117" s="3"/>
      <c r="F117" s="6">
        <f>100*SUM(AM117:AO117)/AL117</f>
      </c>
      <c r="G117" s="6">
        <f>100*SUM(AP117)/AL117</f>
      </c>
      <c r="H117" s="6">
        <f>100*SUM(AQ117)/AL117</f>
      </c>
      <c r="I117" s="6">
        <f>100*SUM(AR117:BC117)/AL117</f>
      </c>
      <c r="J117" s="3"/>
      <c r="K117" s="6">
        <v>15.3</v>
      </c>
      <c r="L117" s="6">
        <v>1.3950326797385622</v>
      </c>
      <c r="M117" s="6">
        <v>4.579673202614379</v>
      </c>
      <c r="N117" s="31">
        <v>201.17647058823528</v>
      </c>
      <c r="O117" s="6">
        <v>0.4898039215686274</v>
      </c>
      <c r="P117" s="6"/>
      <c r="Q117" s="7"/>
      <c r="R117" s="6"/>
      <c r="S117" s="6"/>
      <c r="T117" s="6"/>
      <c r="U117" s="5"/>
      <c r="V117" s="6"/>
      <c r="W117" s="6"/>
      <c r="X117" s="6"/>
      <c r="Y117" s="15"/>
      <c r="Z117" s="6"/>
      <c r="AA117" s="6"/>
      <c r="AB117" s="5"/>
      <c r="AC117" s="3"/>
      <c r="AD117" s="6">
        <v>0.21344000000000002</v>
      </c>
      <c r="AE117" s="6">
        <v>0.70069</v>
      </c>
      <c r="AF117" s="7">
        <v>3078</v>
      </c>
      <c r="AG117" s="6">
        <v>0.07493999999999999</v>
      </c>
      <c r="AH117" s="7">
        <v>0</v>
      </c>
      <c r="AI117" s="15">
        <v>0.9890700000000001</v>
      </c>
      <c r="AJ117" s="6">
        <v>6.464509803921569</v>
      </c>
      <c r="AK117" s="3"/>
      <c r="AL117" s="6">
        <v>283.01191361009813</v>
      </c>
      <c r="AM117" s="6">
        <v>26.449205793464053</v>
      </c>
      <c r="AN117" s="6">
        <v>99.44902329346404</v>
      </c>
      <c r="AO117" s="6">
        <v>123.09930017022887</v>
      </c>
      <c r="AP117" s="6">
        <v>34.01438435294117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/>
      <c r="BD117" s="3"/>
      <c r="BE117" s="3"/>
      <c r="BF117" s="7">
        <v>4330.082278234501</v>
      </c>
    </row>
    <row x14ac:dyDescent="0.25" r="118" customHeight="1" ht="12.75">
      <c r="A118" s="5" t="s">
        <v>576</v>
      </c>
      <c r="B118" s="3" t="s">
        <v>855</v>
      </c>
      <c r="C118" s="3" t="s">
        <v>856</v>
      </c>
      <c r="D118" s="3" t="s">
        <v>928</v>
      </c>
      <c r="E118" s="3"/>
      <c r="F118" s="6">
        <f>100*SUM(AM118:AO118)/AL118</f>
      </c>
      <c r="G118" s="6">
        <f>100*SUM(AP118)/AL118</f>
      </c>
      <c r="H118" s="6">
        <f>100*SUM(AQ118)/AL118</f>
      </c>
      <c r="I118" s="6">
        <f>100*SUM(AR118:BC118)/AL118</f>
      </c>
      <c r="J118" s="3"/>
      <c r="K118" s="6">
        <v>1.49</v>
      </c>
      <c r="L118" s="6">
        <v>0.69</v>
      </c>
      <c r="M118" s="6">
        <v>1.16</v>
      </c>
      <c r="N118" s="31">
        <v>282.38800000000003</v>
      </c>
      <c r="O118" s="6">
        <v>0.26</v>
      </c>
      <c r="P118" s="6">
        <v>0.28</v>
      </c>
      <c r="Q118" s="7"/>
      <c r="R118" s="6"/>
      <c r="S118" s="6"/>
      <c r="T118" s="6"/>
      <c r="U118" s="5"/>
      <c r="V118" s="6"/>
      <c r="W118" s="6"/>
      <c r="X118" s="6"/>
      <c r="Y118" s="15"/>
      <c r="Z118" s="6"/>
      <c r="AA118" s="6"/>
      <c r="AB118" s="5"/>
      <c r="AC118" s="3"/>
      <c r="AD118" s="6">
        <v>0.010281</v>
      </c>
      <c r="AE118" s="6">
        <v>0.017284</v>
      </c>
      <c r="AF118" s="7">
        <v>420.75812</v>
      </c>
      <c r="AG118" s="6">
        <v>0.0038740000000000003</v>
      </c>
      <c r="AH118" s="7">
        <v>0.4172</v>
      </c>
      <c r="AI118" s="15">
        <v>0.031439</v>
      </c>
      <c r="AJ118" s="6">
        <v>2.11</v>
      </c>
      <c r="AK118" s="3"/>
      <c r="AL118" s="6">
        <v>240.5540136012862</v>
      </c>
      <c r="AM118" s="6">
        <v>13.0820964</v>
      </c>
      <c r="AN118" s="6">
        <v>25.1897596</v>
      </c>
      <c r="AO118" s="6">
        <v>172.79240000000001</v>
      </c>
      <c r="AP118" s="6">
        <v>18.055674</v>
      </c>
      <c r="AQ118" s="6">
        <v>11.434083601286174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/>
      <c r="BD118" s="3"/>
      <c r="BE118" s="3"/>
      <c r="BF118" s="7">
        <v>358.4254802659164</v>
      </c>
    </row>
    <row x14ac:dyDescent="0.25" r="119" customHeight="1" ht="12.75">
      <c r="A119" s="5" t="s">
        <v>339</v>
      </c>
      <c r="B119" s="3" t="s">
        <v>855</v>
      </c>
      <c r="C119" s="3" t="s">
        <v>856</v>
      </c>
      <c r="D119" s="3"/>
      <c r="E119" s="3"/>
      <c r="F119" s="6">
        <f>100*SUM(AM119:AO119)/AL119</f>
      </c>
      <c r="G119" s="6">
        <f>100*SUM(AP119)/AL119</f>
      </c>
      <c r="H119" s="6">
        <f>100*SUM(AQ119)/AL119</f>
      </c>
      <c r="I119" s="6">
        <f>100*SUM(AR119:BC119)/AL119</f>
      </c>
      <c r="J119" s="3"/>
      <c r="K119" s="23">
        <v>0.32123952</v>
      </c>
      <c r="L119" s="6">
        <v>1.7789438011861052</v>
      </c>
      <c r="M119" s="6">
        <v>1.6213696695848627</v>
      </c>
      <c r="N119" s="31">
        <v>357.17508823322856</v>
      </c>
      <c r="O119" s="6"/>
      <c r="P119" s="6">
        <v>1.151865405601403</v>
      </c>
      <c r="Q119" s="7"/>
      <c r="R119" s="6"/>
      <c r="S119" s="6"/>
      <c r="T119" s="6"/>
      <c r="U119" s="5"/>
      <c r="V119" s="6"/>
      <c r="W119" s="6"/>
      <c r="X119" s="6"/>
      <c r="Y119" s="15"/>
      <c r="Z119" s="6"/>
      <c r="AA119" s="6"/>
      <c r="AB119" s="5"/>
      <c r="AC119" s="3"/>
      <c r="AD119" s="6">
        <v>0.005714670527999999</v>
      </c>
      <c r="AE119" s="6">
        <v>0.005208480143999999</v>
      </c>
      <c r="AF119" s="7">
        <v>114.73875389999999</v>
      </c>
      <c r="AG119" s="6">
        <v>0</v>
      </c>
      <c r="AH119" s="7">
        <v>0.37002469000000004</v>
      </c>
      <c r="AI119" s="15">
        <v>0.010923150671999997</v>
      </c>
      <c r="AJ119" s="6">
        <v>3.4003134707709677</v>
      </c>
      <c r="AK119" s="3"/>
      <c r="AL119" s="6">
        <v>334.5285301172322</v>
      </c>
      <c r="AM119" s="6">
        <v>33.72799173521603</v>
      </c>
      <c r="AN119" s="6">
        <v>35.20854499963287</v>
      </c>
      <c r="AO119" s="6">
        <v>218.5544028642553</v>
      </c>
      <c r="AP119" s="6">
        <v>0</v>
      </c>
      <c r="AQ119" s="6">
        <v>47.037590518128034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/>
      <c r="BD119" s="3"/>
      <c r="BE119" s="3"/>
      <c r="BF119" s="7">
        <v>107.46378444116522</v>
      </c>
    </row>
    <row x14ac:dyDescent="0.25" r="120" customHeight="1" ht="12.75">
      <c r="A120" s="5" t="s">
        <v>189</v>
      </c>
      <c r="B120" s="3" t="s">
        <v>855</v>
      </c>
      <c r="C120" s="3" t="s">
        <v>856</v>
      </c>
      <c r="D120" s="3"/>
      <c r="E120" s="3"/>
      <c r="F120" s="6">
        <f>100*SUM(AM120:AO120)/AL120</f>
      </c>
      <c r="G120" s="6">
        <f>100*SUM(AP120)/AL120</f>
      </c>
      <c r="H120" s="6">
        <f>100*SUM(AQ120)/AL120</f>
      </c>
      <c r="I120" s="6">
        <f>100*SUM(AR120:BC120)/AL120</f>
      </c>
      <c r="J120" s="3"/>
      <c r="K120" s="6">
        <v>8.021</v>
      </c>
      <c r="L120" s="6">
        <v>1.9181822715372143</v>
      </c>
      <c r="M120" s="6">
        <v>3.486512903627976</v>
      </c>
      <c r="N120" s="31">
        <v>446.87333250218177</v>
      </c>
      <c r="O120" s="6"/>
      <c r="P120" s="6">
        <v>1.7541653160453805</v>
      </c>
      <c r="Q120" s="7"/>
      <c r="R120" s="6"/>
      <c r="S120" s="6"/>
      <c r="T120" s="6"/>
      <c r="U120" s="5"/>
      <c r="V120" s="6"/>
      <c r="W120" s="6"/>
      <c r="X120" s="6"/>
      <c r="Y120" s="15"/>
      <c r="Z120" s="6"/>
      <c r="AA120" s="6"/>
      <c r="AB120" s="5"/>
      <c r="AC120" s="3"/>
      <c r="AD120" s="6">
        <v>0.15385739999999998</v>
      </c>
      <c r="AE120" s="6">
        <v>0.2796532</v>
      </c>
      <c r="AF120" s="7">
        <v>3584.371</v>
      </c>
      <c r="AG120" s="6">
        <v>0</v>
      </c>
      <c r="AH120" s="7">
        <v>14.070159999999998</v>
      </c>
      <c r="AI120" s="15">
        <v>0.43351059999999997</v>
      </c>
      <c r="AJ120" s="6">
        <v>5.40469517516519</v>
      </c>
      <c r="AK120" s="3"/>
      <c r="AL120" s="6">
        <v>457.1522167525838</v>
      </c>
      <c r="AM120" s="6">
        <v>36.36789186814611</v>
      </c>
      <c r="AN120" s="6">
        <v>75.71070852128162</v>
      </c>
      <c r="AO120" s="6">
        <v>273.4404989555151</v>
      </c>
      <c r="AP120" s="6">
        <v>0</v>
      </c>
      <c r="AQ120" s="6">
        <v>71.63311740764094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/>
      <c r="BD120" s="3"/>
      <c r="BE120" s="3"/>
      <c r="BF120" s="7">
        <v>3666.817930572475</v>
      </c>
    </row>
    <row x14ac:dyDescent="0.25" r="121" customHeight="1" ht="12.75">
      <c r="A121" s="5" t="s">
        <v>142</v>
      </c>
      <c r="B121" s="3" t="s">
        <v>855</v>
      </c>
      <c r="C121" s="3" t="s">
        <v>856</v>
      </c>
      <c r="D121" s="3" t="s">
        <v>927</v>
      </c>
      <c r="E121" s="3"/>
      <c r="F121" s="6">
        <f>100*SUM(AM121:AO121)/AL121</f>
      </c>
      <c r="G121" s="6">
        <f>100*SUM(AP121)/AL121</f>
      </c>
      <c r="H121" s="6">
        <f>100*SUM(AQ121)/AL121</f>
      </c>
      <c r="I121" s="6">
        <f>100*SUM(AR121:BC121)/AL121</f>
      </c>
      <c r="J121" s="3"/>
      <c r="K121" s="6">
        <v>44.39</v>
      </c>
      <c r="L121" s="6">
        <v>1.3730254561838249</v>
      </c>
      <c r="M121" s="6">
        <v>2.3855327776526245</v>
      </c>
      <c r="N121" s="31">
        <v>362.8247353007434</v>
      </c>
      <c r="O121" s="6"/>
      <c r="P121" s="6">
        <v>1.4399324172110834</v>
      </c>
      <c r="Q121" s="7"/>
      <c r="R121" s="6"/>
      <c r="S121" s="6"/>
      <c r="T121" s="6"/>
      <c r="U121" s="5"/>
      <c r="V121" s="6"/>
      <c r="W121" s="6"/>
      <c r="X121" s="6"/>
      <c r="Y121" s="15"/>
      <c r="Z121" s="6"/>
      <c r="AA121" s="6"/>
      <c r="AB121" s="5"/>
      <c r="AC121" s="3"/>
      <c r="AD121" s="6">
        <v>0.6094859999999999</v>
      </c>
      <c r="AE121" s="6">
        <v>1.058938</v>
      </c>
      <c r="AF121" s="7">
        <v>16105.789999999999</v>
      </c>
      <c r="AG121" s="6">
        <v>0</v>
      </c>
      <c r="AH121" s="7">
        <v>63.9186</v>
      </c>
      <c r="AI121" s="15">
        <v>1.668424</v>
      </c>
      <c r="AJ121" s="6">
        <v>3.7585582338364496</v>
      </c>
      <c r="AK121" s="3"/>
      <c r="AL121" s="6">
        <v>358.64704656460196</v>
      </c>
      <c r="AM121" s="6">
        <v>26.031958518044597</v>
      </c>
      <c r="AN121" s="6">
        <v>51.80258378188781</v>
      </c>
      <c r="AO121" s="6">
        <v>222.01140555540667</v>
      </c>
      <c r="AP121" s="6">
        <v>0</v>
      </c>
      <c r="AQ121" s="6">
        <v>58.801098709262895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/>
      <c r="BD121" s="3"/>
      <c r="BE121" s="3"/>
      <c r="BF121" s="7">
        <v>15920.342397002682</v>
      </c>
    </row>
    <row x14ac:dyDescent="0.25" r="122" customHeight="1" ht="12.75">
      <c r="A122" s="5" t="s">
        <v>847</v>
      </c>
      <c r="B122" s="3" t="s">
        <v>855</v>
      </c>
      <c r="C122" s="3" t="s">
        <v>856</v>
      </c>
      <c r="D122" s="3" t="s">
        <v>929</v>
      </c>
      <c r="E122" s="3"/>
      <c r="F122" s="6">
        <f>100*SUM(AM122:AO122)/AL122</f>
      </c>
      <c r="G122" s="6">
        <f>100*SUM(AP122)/AL122</f>
      </c>
      <c r="H122" s="6">
        <f>100*SUM(AQ122)/AL122</f>
      </c>
      <c r="I122" s="6">
        <f>100*SUM(AR122:BC122)/AL122</f>
      </c>
      <c r="J122" s="3"/>
      <c r="K122" s="23">
        <v>0.095</v>
      </c>
      <c r="L122" s="6">
        <v>2.08</v>
      </c>
      <c r="M122" s="7"/>
      <c r="N122" s="31"/>
      <c r="O122" s="6"/>
      <c r="P122" s="6">
        <v>0.2</v>
      </c>
      <c r="Q122" s="7"/>
      <c r="R122" s="6"/>
      <c r="S122" s="6"/>
      <c r="T122" s="6"/>
      <c r="U122" s="5"/>
      <c r="V122" s="6"/>
      <c r="W122" s="6"/>
      <c r="X122" s="6"/>
      <c r="Y122" s="15"/>
      <c r="Z122" s="6"/>
      <c r="AA122" s="6"/>
      <c r="AB122" s="5"/>
      <c r="AC122" s="3"/>
      <c r="AD122" s="6">
        <v>0.001976</v>
      </c>
      <c r="AE122" s="6">
        <v>0</v>
      </c>
      <c r="AF122" s="7">
        <v>0</v>
      </c>
      <c r="AG122" s="6">
        <v>0</v>
      </c>
      <c r="AH122" s="7">
        <v>0.019000000000000003</v>
      </c>
      <c r="AI122" s="15">
        <v>0.001976</v>
      </c>
      <c r="AJ122" s="6">
        <v>2.08</v>
      </c>
      <c r="AK122" s="3"/>
      <c r="AL122" s="6">
        <v>47.60308737234726</v>
      </c>
      <c r="AM122" s="6">
        <v>39.4358848</v>
      </c>
      <c r="AN122" s="6">
        <v>0</v>
      </c>
      <c r="AO122" s="6">
        <v>0</v>
      </c>
      <c r="AP122" s="6">
        <v>0</v>
      </c>
      <c r="AQ122" s="6">
        <v>8.167202572347268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/>
      <c r="BD122" s="3"/>
      <c r="BE122" s="3"/>
      <c r="BF122" s="7">
        <v>4.52229330037299</v>
      </c>
    </row>
    <row x14ac:dyDescent="0.25" r="123" customHeight="1" ht="12.75">
      <c r="A123" s="5" t="s">
        <v>785</v>
      </c>
      <c r="B123" s="3" t="s">
        <v>855</v>
      </c>
      <c r="C123" s="3" t="s">
        <v>856</v>
      </c>
      <c r="D123" s="3" t="s">
        <v>925</v>
      </c>
      <c r="E123" s="3"/>
      <c r="F123" s="6">
        <f>100*SUM(AM123:AO123)/AL123</f>
      </c>
      <c r="G123" s="6">
        <f>100*SUM(AP123)/AL123</f>
      </c>
      <c r="H123" s="6">
        <f>100*SUM(AQ123)/AL123</f>
      </c>
      <c r="I123" s="6">
        <f>100*SUM(AR123:BC123)/AL123</f>
      </c>
      <c r="J123" s="3"/>
      <c r="K123" s="23">
        <v>4.87613</v>
      </c>
      <c r="L123" s="6">
        <v>0.14567621444344522</v>
      </c>
      <c r="M123" s="6">
        <v>1.328</v>
      </c>
      <c r="N123" s="7">
        <v>79.29</v>
      </c>
      <c r="O123" s="6">
        <v>0.016628909310248075</v>
      </c>
      <c r="P123" s="6">
        <v>0.294</v>
      </c>
      <c r="Q123" s="7"/>
      <c r="R123" s="6"/>
      <c r="S123" s="6"/>
      <c r="T123" s="6"/>
      <c r="U123" s="5"/>
      <c r="V123" s="6"/>
      <c r="W123" s="6"/>
      <c r="X123" s="6"/>
      <c r="Y123" s="15"/>
      <c r="Z123" s="6"/>
      <c r="AA123" s="6"/>
      <c r="AB123" s="5">
        <v>88</v>
      </c>
      <c r="AC123" s="3" t="s">
        <v>937</v>
      </c>
      <c r="AD123" s="6">
        <v>0.007103361595341165</v>
      </c>
      <c r="AE123" s="6">
        <v>0.0647550064</v>
      </c>
      <c r="AF123" s="7">
        <v>386.6283477</v>
      </c>
      <c r="AG123" s="6">
        <v>0.0008108472355497993</v>
      </c>
      <c r="AH123" s="7">
        <v>1.43358222</v>
      </c>
      <c r="AI123" s="15">
        <v>0.07266921523089097</v>
      </c>
      <c r="AJ123" s="6">
        <v>1.4903051237536933</v>
      </c>
      <c r="AK123" s="3"/>
      <c r="AL123" s="6">
        <v>98.00032583723146</v>
      </c>
      <c r="AM123" s="6">
        <v>2.761956928313366</v>
      </c>
      <c r="AN123" s="6">
        <v>28.83793168</v>
      </c>
      <c r="AO123" s="6">
        <v>48.51732154340837</v>
      </c>
      <c r="AP123" s="6">
        <v>1.1547929441592464</v>
      </c>
      <c r="AQ123" s="6">
        <v>12.005787781350481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4.72253496</v>
      </c>
      <c r="BD123" s="3" t="s">
        <v>938</v>
      </c>
      <c r="BE123" s="3"/>
      <c r="BF123" s="7">
        <v>477.86232882469943</v>
      </c>
    </row>
    <row x14ac:dyDescent="0.25" r="124" customHeight="1" ht="12.75">
      <c r="A124" s="5" t="s">
        <v>734</v>
      </c>
      <c r="B124" s="3" t="s">
        <v>855</v>
      </c>
      <c r="C124" s="3" t="s">
        <v>856</v>
      </c>
      <c r="D124" s="3" t="s">
        <v>929</v>
      </c>
      <c r="E124" s="3"/>
      <c r="F124" s="6">
        <f>100*SUM(AM124:AO124)/AL124</f>
      </c>
      <c r="G124" s="6">
        <f>100*SUM(AP124)/AL124</f>
      </c>
      <c r="H124" s="6">
        <f>100*SUM(AQ124)/AL124</f>
      </c>
      <c r="I124" s="6">
        <f>100*SUM(AR124:BC124)/AL124</f>
      </c>
      <c r="J124" s="3"/>
      <c r="K124" s="6">
        <v>1.66</v>
      </c>
      <c r="L124" s="6">
        <v>0.902024096385542</v>
      </c>
      <c r="M124" s="6">
        <v>2.2107469879518074</v>
      </c>
      <c r="N124" s="7">
        <v>125.74506024096385</v>
      </c>
      <c r="O124" s="6"/>
      <c r="P124" s="6">
        <v>0.8152096385542169</v>
      </c>
      <c r="Q124" s="7"/>
      <c r="R124" s="6"/>
      <c r="S124" s="6"/>
      <c r="T124" s="6"/>
      <c r="U124" s="5"/>
      <c r="V124" s="6"/>
      <c r="W124" s="6"/>
      <c r="X124" s="6"/>
      <c r="Y124" s="15"/>
      <c r="Z124" s="6"/>
      <c r="AA124" s="6"/>
      <c r="AB124" s="5"/>
      <c r="AC124" s="3"/>
      <c r="AD124" s="6">
        <v>0.014973599999999998</v>
      </c>
      <c r="AE124" s="6">
        <v>0.0366984</v>
      </c>
      <c r="AF124" s="7">
        <v>208.7368</v>
      </c>
      <c r="AG124" s="6">
        <v>0</v>
      </c>
      <c r="AH124" s="7">
        <v>1.353248</v>
      </c>
      <c r="AI124" s="15">
        <v>0.051671999999999996</v>
      </c>
      <c r="AJ124" s="6">
        <v>3.1127710843373495</v>
      </c>
      <c r="AK124" s="3"/>
      <c r="AL124" s="6">
        <v>175.34198590580718</v>
      </c>
      <c r="AM124" s="6">
        <v>17.101979976867465</v>
      </c>
      <c r="AN124" s="6">
        <v>48.00705617493976</v>
      </c>
      <c r="AO124" s="6">
        <v>76.9430384689885</v>
      </c>
      <c r="AP124" s="6">
        <v>0</v>
      </c>
      <c r="AQ124" s="6">
        <v>33.28991128501143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/>
      <c r="BD124" s="3"/>
      <c r="BE124" s="3"/>
      <c r="BF124" s="7">
        <v>291.0676966036399</v>
      </c>
    </row>
    <row x14ac:dyDescent="0.25" r="125" customHeight="1" ht="12.75">
      <c r="A125" s="5" t="s">
        <v>476</v>
      </c>
      <c r="B125" s="3" t="s">
        <v>855</v>
      </c>
      <c r="C125" s="3" t="s">
        <v>856</v>
      </c>
      <c r="D125" s="3" t="s">
        <v>928</v>
      </c>
      <c r="E125" s="3"/>
      <c r="F125" s="6">
        <f>100*SUM(AM125:AO125)/AL125</f>
      </c>
      <c r="G125" s="6">
        <f>100*SUM(AP125)/AL125</f>
      </c>
      <c r="H125" s="6">
        <f>100*SUM(AQ125)/AL125</f>
      </c>
      <c r="I125" s="6">
        <f>100*SUM(AR125:BC125)/AL125</f>
      </c>
      <c r="J125" s="3"/>
      <c r="K125" s="6">
        <v>59.25</v>
      </c>
      <c r="L125" s="6">
        <v>0.33398987341772146</v>
      </c>
      <c r="M125" s="6">
        <v>0.8975139240506329</v>
      </c>
      <c r="N125" s="7">
        <v>20.053134177215192</v>
      </c>
      <c r="O125" s="6"/>
      <c r="P125" s="6">
        <v>0.19015037974683546</v>
      </c>
      <c r="Q125" s="7"/>
      <c r="R125" s="6"/>
      <c r="S125" s="6"/>
      <c r="T125" s="6"/>
      <c r="U125" s="6">
        <v>8.10307341772152</v>
      </c>
      <c r="V125" s="6"/>
      <c r="W125" s="6"/>
      <c r="X125" s="6"/>
      <c r="Y125" s="15"/>
      <c r="Z125" s="6"/>
      <c r="AA125" s="6"/>
      <c r="AB125" s="5"/>
      <c r="AC125" s="3"/>
      <c r="AD125" s="6">
        <v>0.19788899999999998</v>
      </c>
      <c r="AE125" s="6">
        <v>0.531777</v>
      </c>
      <c r="AF125" s="7">
        <v>1188.1482</v>
      </c>
      <c r="AG125" s="6">
        <v>0</v>
      </c>
      <c r="AH125" s="7">
        <v>11.26641</v>
      </c>
      <c r="AI125" s="15">
        <v>0.729666</v>
      </c>
      <c r="AJ125" s="6">
        <v>1.2315037974683545</v>
      </c>
      <c r="AK125" s="3"/>
      <c r="AL125" s="6">
        <v>51.81329122102275</v>
      </c>
      <c r="AM125" s="6">
        <v>6.332301044455695</v>
      </c>
      <c r="AN125" s="6">
        <v>19.48979309007595</v>
      </c>
      <c r="AO125" s="6">
        <v>12.270454771459972</v>
      </c>
      <c r="AP125" s="6">
        <v>0</v>
      </c>
      <c r="AQ125" s="6">
        <v>7.764983353005821</v>
      </c>
      <c r="AR125" s="6">
        <v>0</v>
      </c>
      <c r="AS125" s="6">
        <v>0</v>
      </c>
      <c r="AT125" s="6">
        <v>0</v>
      </c>
      <c r="AU125" s="6">
        <v>0</v>
      </c>
      <c r="AV125" s="6">
        <v>5.955758962025317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/>
      <c r="BD125" s="3"/>
      <c r="BE125" s="3"/>
      <c r="BF125" s="7">
        <v>3069.937504845598</v>
      </c>
    </row>
    <row x14ac:dyDescent="0.25" r="126" customHeight="1" ht="12.75">
      <c r="A126" s="5" t="s">
        <v>491</v>
      </c>
      <c r="B126" s="3" t="s">
        <v>855</v>
      </c>
      <c r="C126" s="3" t="s">
        <v>856</v>
      </c>
      <c r="D126" s="3"/>
      <c r="E126" s="3"/>
      <c r="F126" s="6">
        <f>100*SUM(AM126:AO126)/AL126</f>
      </c>
      <c r="G126" s="6">
        <f>100*SUM(AP126)/AL126</f>
      </c>
      <c r="H126" s="6">
        <f>100*SUM(AQ126)/AL126</f>
      </c>
      <c r="I126" s="6">
        <f>100*SUM(AR126:BC126)/AL126</f>
      </c>
      <c r="J126" s="3"/>
      <c r="K126" s="5">
        <v>16</v>
      </c>
      <c r="L126" s="6">
        <v>0.36</v>
      </c>
      <c r="M126" s="6">
        <v>3.08</v>
      </c>
      <c r="N126" s="5">
        <v>95</v>
      </c>
      <c r="O126" s="6">
        <v>0.69</v>
      </c>
      <c r="P126" s="6"/>
      <c r="Q126" s="7"/>
      <c r="R126" s="6"/>
      <c r="S126" s="6"/>
      <c r="T126" s="6"/>
      <c r="U126" s="5"/>
      <c r="V126" s="6"/>
      <c r="W126" s="6"/>
      <c r="X126" s="6"/>
      <c r="Y126" s="15"/>
      <c r="Z126" s="6"/>
      <c r="AA126" s="6"/>
      <c r="AB126" s="5"/>
      <c r="AC126" s="3"/>
      <c r="AD126" s="6">
        <v>0.0576</v>
      </c>
      <c r="AE126" s="6">
        <v>0.4928</v>
      </c>
      <c r="AF126" s="7">
        <v>1520</v>
      </c>
      <c r="AG126" s="6">
        <v>0.1104</v>
      </c>
      <c r="AH126" s="7">
        <v>0</v>
      </c>
      <c r="AI126" s="15">
        <v>0.6608</v>
      </c>
      <c r="AJ126" s="6">
        <v>4.13</v>
      </c>
      <c r="AK126" s="3"/>
      <c r="AL126" s="6">
        <v>179.75580248038585</v>
      </c>
      <c r="AM126" s="6">
        <v>6.8254415999999996</v>
      </c>
      <c r="AN126" s="6">
        <v>66.8831548</v>
      </c>
      <c r="AO126" s="6">
        <v>58.13022508038586</v>
      </c>
      <c r="AP126" s="6">
        <v>47.916981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/>
      <c r="BD126" s="3"/>
      <c r="BE126" s="3"/>
      <c r="BF126" s="7">
        <v>2876.0928396861736</v>
      </c>
    </row>
    <row x14ac:dyDescent="0.25" r="127" customHeight="1" ht="12.75">
      <c r="A127" s="5" t="s">
        <v>252</v>
      </c>
      <c r="B127" s="3" t="s">
        <v>855</v>
      </c>
      <c r="C127" s="3" t="s">
        <v>939</v>
      </c>
      <c r="D127" s="3" t="s">
        <v>940</v>
      </c>
      <c r="E127" s="3"/>
      <c r="F127" s="6">
        <f>100*SUM(AM127:AO127)/AL127</f>
      </c>
      <c r="G127" s="6">
        <f>100*SUM(AP127)/AL127</f>
      </c>
      <c r="H127" s="6">
        <f>100*SUM(AQ127)/AL127</f>
      </c>
      <c r="I127" s="6">
        <f>100*SUM(AR127:BC127)/AL127</f>
      </c>
      <c r="J127" s="3"/>
      <c r="K127" s="6">
        <v>48.765</v>
      </c>
      <c r="L127" s="6">
        <v>0.957</v>
      </c>
      <c r="M127" s="6">
        <v>2.882</v>
      </c>
      <c r="N127" s="5"/>
      <c r="O127" s="6">
        <v>0.487</v>
      </c>
      <c r="P127" s="6"/>
      <c r="Q127" s="7"/>
      <c r="R127" s="6"/>
      <c r="S127" s="6"/>
      <c r="T127" s="6"/>
      <c r="U127" s="5"/>
      <c r="V127" s="6"/>
      <c r="W127" s="6"/>
      <c r="X127" s="6"/>
      <c r="Y127" s="15"/>
      <c r="Z127" s="6"/>
      <c r="AA127" s="6"/>
      <c r="AB127" s="5"/>
      <c r="AC127" s="3"/>
      <c r="AD127" s="6">
        <v>0.46668105</v>
      </c>
      <c r="AE127" s="6">
        <v>1.4054073</v>
      </c>
      <c r="AF127" s="7">
        <v>0</v>
      </c>
      <c r="AG127" s="6">
        <v>0.23748555</v>
      </c>
      <c r="AH127" s="7">
        <v>0</v>
      </c>
      <c r="AI127" s="15">
        <v>2.1095739</v>
      </c>
      <c r="AJ127" s="6">
        <v>4.326</v>
      </c>
      <c r="AK127" s="3"/>
      <c r="AL127" s="6">
        <v>114.54748864000001</v>
      </c>
      <c r="AM127" s="6">
        <v>18.14429892</v>
      </c>
      <c r="AN127" s="6">
        <v>62.583523420000006</v>
      </c>
      <c r="AO127" s="6">
        <v>0</v>
      </c>
      <c r="AP127" s="6">
        <v>33.8196663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/>
      <c r="BD127" s="3"/>
      <c r="BE127" s="3"/>
      <c r="BF127" s="7">
        <v>5585.9082835296</v>
      </c>
    </row>
    <row x14ac:dyDescent="0.25" r="128" customHeight="1" ht="12.75">
      <c r="A128" s="5" t="s">
        <v>701</v>
      </c>
      <c r="B128" s="3" t="s">
        <v>855</v>
      </c>
      <c r="C128" s="3" t="s">
        <v>856</v>
      </c>
      <c r="D128" s="3" t="s">
        <v>930</v>
      </c>
      <c r="E128" s="3"/>
      <c r="F128" s="6">
        <f>100*SUM(AM128:AO128)/AL128</f>
      </c>
      <c r="G128" s="6">
        <f>100*SUM(AP128)/AL128</f>
      </c>
      <c r="H128" s="6">
        <f>100*SUM(AQ128)/AL128</f>
      </c>
      <c r="I128" s="6">
        <f>100*SUM(AR128:BC128)/AL128</f>
      </c>
      <c r="J128" s="3"/>
      <c r="K128" s="23">
        <v>5.0286096</v>
      </c>
      <c r="L128" s="7">
        <v>0.6719465993144507</v>
      </c>
      <c r="M128" s="7">
        <v>0.9359732996572254</v>
      </c>
      <c r="N128" s="31">
        <v>164.7988859584566</v>
      </c>
      <c r="O128" s="6"/>
      <c r="P128" s="7">
        <v>1.3984026518980512</v>
      </c>
      <c r="Q128" s="7"/>
      <c r="R128" s="6"/>
      <c r="S128" s="6"/>
      <c r="T128" s="6"/>
      <c r="U128" s="5"/>
      <c r="V128" s="6"/>
      <c r="W128" s="6"/>
      <c r="X128" s="6"/>
      <c r="Y128" s="15"/>
      <c r="Z128" s="6"/>
      <c r="AA128" s="6"/>
      <c r="AB128" s="5"/>
      <c r="AC128" s="3"/>
      <c r="AD128" s="6">
        <v>0.03378957120000001</v>
      </c>
      <c r="AE128" s="6">
        <v>0.0470664432</v>
      </c>
      <c r="AF128" s="7">
        <v>828.7092600000001</v>
      </c>
      <c r="AG128" s="6">
        <v>0</v>
      </c>
      <c r="AH128" s="7">
        <v>7.032020999999999</v>
      </c>
      <c r="AI128" s="15">
        <v>0.08085601440000001</v>
      </c>
      <c r="AJ128" s="6">
        <v>1.607919898971676</v>
      </c>
      <c r="AK128" s="3"/>
      <c r="AL128" s="6">
        <v>191.0099123070931</v>
      </c>
      <c r="AM128" s="6">
        <v>12.739811866498286</v>
      </c>
      <c r="AN128" s="6">
        <v>20.324950353779542</v>
      </c>
      <c r="AO128" s="6">
        <v>100.83996140802024</v>
      </c>
      <c r="AP128" s="6">
        <v>0</v>
      </c>
      <c r="AQ128" s="6">
        <v>57.10518867879502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/>
      <c r="BD128" s="3"/>
      <c r="BE128" s="3"/>
      <c r="BF128" s="7">
        <v>960.5142787226065</v>
      </c>
    </row>
    <row x14ac:dyDescent="0.25" r="129" customHeight="1" ht="12.75">
      <c r="A129" s="5" t="s">
        <v>315</v>
      </c>
      <c r="B129" s="3" t="s">
        <v>855</v>
      </c>
      <c r="C129" s="3" t="s">
        <v>856</v>
      </c>
      <c r="D129" s="3"/>
      <c r="E129" s="3"/>
      <c r="F129" s="6">
        <f>100*SUM(AM129:AO129)/AL129</f>
      </c>
      <c r="G129" s="6">
        <f>100*SUM(AP129)/AL129</f>
      </c>
      <c r="H129" s="6">
        <f>100*SUM(AQ129)/AL129</f>
      </c>
      <c r="I129" s="6">
        <f>100*SUM(AR129:BC129)/AL129</f>
      </c>
      <c r="J129" s="3"/>
      <c r="K129" s="6">
        <v>4.48</v>
      </c>
      <c r="L129" s="7">
        <v>1.1999999999999997</v>
      </c>
      <c r="M129" s="7">
        <v>4.1</v>
      </c>
      <c r="N129" s="31">
        <v>210.3303571428571</v>
      </c>
      <c r="O129" s="6">
        <v>0.3203303571428571</v>
      </c>
      <c r="P129" s="7">
        <v>2.11625</v>
      </c>
      <c r="Q129" s="7"/>
      <c r="R129" s="6"/>
      <c r="S129" s="6"/>
      <c r="T129" s="6"/>
      <c r="U129" s="5"/>
      <c r="V129" s="6"/>
      <c r="W129" s="6"/>
      <c r="X129" s="6"/>
      <c r="Y129" s="15"/>
      <c r="Z129" s="6"/>
      <c r="AA129" s="6"/>
      <c r="AB129" s="5"/>
      <c r="AC129" s="3"/>
      <c r="AD129" s="6">
        <v>0.053759999999999995</v>
      </c>
      <c r="AE129" s="6">
        <v>0.18367999999999998</v>
      </c>
      <c r="AF129" s="7">
        <v>942.28</v>
      </c>
      <c r="AG129" s="6">
        <v>0.014350800000000002</v>
      </c>
      <c r="AH129" s="7">
        <v>9.4808</v>
      </c>
      <c r="AI129" s="15">
        <v>0.2517908</v>
      </c>
      <c r="AJ129" s="6">
        <v>5.620330357142856</v>
      </c>
      <c r="AK129" s="3"/>
      <c r="AL129" s="6">
        <v>349.14930170005454</v>
      </c>
      <c r="AM129" s="6">
        <v>22.751471999999993</v>
      </c>
      <c r="AN129" s="6">
        <v>89.03277099999998</v>
      </c>
      <c r="AO129" s="6">
        <v>128.70053686265504</v>
      </c>
      <c r="AP129" s="6">
        <v>22.24530961875</v>
      </c>
      <c r="AQ129" s="6">
        <v>86.41921221864952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/>
      <c r="BD129" s="3"/>
      <c r="BE129" s="3"/>
      <c r="BF129" s="7">
        <v>1564.1888716162446</v>
      </c>
    </row>
    <row x14ac:dyDescent="0.25" r="130" customHeight="1" ht="12.75">
      <c r="A130" s="5" t="s">
        <v>254</v>
      </c>
      <c r="B130" s="3" t="s">
        <v>855</v>
      </c>
      <c r="C130" s="3" t="s">
        <v>856</v>
      </c>
      <c r="D130" s="3" t="s">
        <v>929</v>
      </c>
      <c r="E130" s="3"/>
      <c r="F130" s="6">
        <f>100*SUM(AM130:AO130)/AL130</f>
      </c>
      <c r="G130" s="6">
        <f>100*SUM(AP130)/AL130</f>
      </c>
      <c r="H130" s="6">
        <f>100*SUM(AQ130)/AL130</f>
      </c>
      <c r="I130" s="6">
        <f>100*SUM(AR130:BC130)/AL130</f>
      </c>
      <c r="J130" s="3"/>
      <c r="K130" s="6">
        <v>162.716</v>
      </c>
      <c r="L130" s="6">
        <v>0.25744733154698984</v>
      </c>
      <c r="M130" s="6">
        <v>0.4132631087293198</v>
      </c>
      <c r="N130" s="31">
        <v>27.51053369060203</v>
      </c>
      <c r="O130" s="6"/>
      <c r="P130" s="6">
        <v>0.39046055704417515</v>
      </c>
      <c r="Q130" s="7"/>
      <c r="R130" s="6"/>
      <c r="S130" s="6"/>
      <c r="T130" s="6"/>
      <c r="U130" s="5"/>
      <c r="V130" s="6"/>
      <c r="W130" s="6"/>
      <c r="X130" s="6"/>
      <c r="Y130" s="15"/>
      <c r="Z130" s="6"/>
      <c r="AA130" s="6"/>
      <c r="AB130" s="5"/>
      <c r="AC130" s="3"/>
      <c r="AD130" s="6">
        <v>0.418908</v>
      </c>
      <c r="AE130" s="6">
        <v>0.6724452000000001</v>
      </c>
      <c r="AF130" s="7">
        <v>4476.404</v>
      </c>
      <c r="AG130" s="6">
        <v>0</v>
      </c>
      <c r="AH130" s="7">
        <v>63.534180000000006</v>
      </c>
      <c r="AI130" s="15">
        <v>1.0913532000000001</v>
      </c>
      <c r="AJ130" s="6">
        <v>0.6707104402763097</v>
      </c>
      <c r="AK130" s="3"/>
      <c r="AL130" s="6">
        <v>46.633692929185074</v>
      </c>
      <c r="AM130" s="6">
        <v>4.881088129305046</v>
      </c>
      <c r="AN130" s="6">
        <v>8.974136517620886</v>
      </c>
      <c r="AO130" s="6">
        <v>16.833615952802468</v>
      </c>
      <c r="AP130" s="6">
        <v>0</v>
      </c>
      <c r="AQ130" s="6">
        <v>15.944852329456669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/>
      <c r="BD130" s="3"/>
      <c r="BE130" s="3"/>
      <c r="BF130" s="7">
        <v>7588.047978665279</v>
      </c>
    </row>
    <row x14ac:dyDescent="0.25" r="131" customHeight="1" ht="12.75">
      <c r="A131" s="5" t="s">
        <v>303</v>
      </c>
      <c r="B131" s="3" t="s">
        <v>855</v>
      </c>
      <c r="C131" s="3" t="s">
        <v>856</v>
      </c>
      <c r="D131" s="3" t="s">
        <v>928</v>
      </c>
      <c r="E131" s="3"/>
      <c r="F131" s="6">
        <f>100*SUM(AM131:AO131)/AL131</f>
      </c>
      <c r="G131" s="6">
        <f>100*SUM(AP131)/AL131</f>
      </c>
      <c r="H131" s="6">
        <f>100*SUM(AQ131)/AL131</f>
      </c>
      <c r="I131" s="6">
        <f>100*SUM(AR131:BC131)/AL131</f>
      </c>
      <c r="J131" s="3"/>
      <c r="K131" s="6">
        <v>31.75</v>
      </c>
      <c r="L131" s="6">
        <v>0.5354110236220472</v>
      </c>
      <c r="M131" s="6">
        <v>0.9546834645669291</v>
      </c>
      <c r="N131" s="31">
        <v>141.2538582677165</v>
      </c>
      <c r="O131" s="6"/>
      <c r="P131" s="6">
        <v>1.5784220472440942</v>
      </c>
      <c r="Q131" s="7"/>
      <c r="R131" s="6"/>
      <c r="S131" s="6"/>
      <c r="T131" s="6"/>
      <c r="U131" s="5"/>
      <c r="V131" s="6"/>
      <c r="W131" s="6"/>
      <c r="X131" s="6"/>
      <c r="Y131" s="15"/>
      <c r="Z131" s="6"/>
      <c r="AA131" s="6"/>
      <c r="AB131" s="5"/>
      <c r="AC131" s="3"/>
      <c r="AD131" s="6">
        <v>0.16999299999999998</v>
      </c>
      <c r="AE131" s="6">
        <v>0.303112</v>
      </c>
      <c r="AF131" s="7">
        <v>4484.8099999999995</v>
      </c>
      <c r="AG131" s="6">
        <v>0</v>
      </c>
      <c r="AH131" s="7">
        <v>50.11489999999999</v>
      </c>
      <c r="AI131" s="15">
        <v>0.473105</v>
      </c>
      <c r="AJ131" s="6">
        <v>1.4900944881889764</v>
      </c>
      <c r="AK131" s="3"/>
      <c r="AL131" s="6">
        <v>181.771694935269</v>
      </c>
      <c r="AM131" s="6">
        <v>10.15115742702362</v>
      </c>
      <c r="AN131" s="6">
        <v>20.73124738494488</v>
      </c>
      <c r="AO131" s="6">
        <v>86.43282710079247</v>
      </c>
      <c r="AP131" s="6">
        <v>0</v>
      </c>
      <c r="AQ131" s="6">
        <v>64.45646302250803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/>
      <c r="BD131" s="3"/>
      <c r="BE131" s="3"/>
      <c r="BF131" s="7">
        <v>5771.251314194791</v>
      </c>
    </row>
    <row x14ac:dyDescent="0.25" r="132" customHeight="1" ht="12.75">
      <c r="A132" s="5" t="s">
        <v>517</v>
      </c>
      <c r="B132" s="3" t="s">
        <v>855</v>
      </c>
      <c r="C132" s="3" t="s">
        <v>856</v>
      </c>
      <c r="D132" s="3"/>
      <c r="E132" s="3"/>
      <c r="F132" s="6">
        <f>100*SUM(AM132:AO132)/AL132</f>
      </c>
      <c r="G132" s="6">
        <f>100*SUM(AP132)/AL132</f>
      </c>
      <c r="H132" s="6">
        <f>100*SUM(AQ132)/AL132</f>
      </c>
      <c r="I132" s="6">
        <f>100*SUM(AR132:BC132)/AL132</f>
      </c>
      <c r="J132" s="3"/>
      <c r="K132" s="6">
        <v>57.963</v>
      </c>
      <c r="L132" s="6">
        <v>0.14655002329071995</v>
      </c>
      <c r="M132" s="6">
        <v>0.2370313648361886</v>
      </c>
      <c r="N132" s="7">
        <v>31.458146403740322</v>
      </c>
      <c r="O132" s="6"/>
      <c r="P132" s="6">
        <v>0.4625505408622742</v>
      </c>
      <c r="Q132" s="7"/>
      <c r="R132" s="6"/>
      <c r="S132" s="6"/>
      <c r="T132" s="6"/>
      <c r="U132" s="5"/>
      <c r="V132" s="6"/>
      <c r="W132" s="6"/>
      <c r="X132" s="6"/>
      <c r="Y132" s="15"/>
      <c r="Z132" s="6"/>
      <c r="AA132" s="6"/>
      <c r="AB132" s="5"/>
      <c r="AC132" s="3"/>
      <c r="AD132" s="6">
        <v>0.08494479</v>
      </c>
      <c r="AE132" s="6">
        <v>0.13739049</v>
      </c>
      <c r="AF132" s="7">
        <v>1823.4085400000004</v>
      </c>
      <c r="AG132" s="6">
        <v>0</v>
      </c>
      <c r="AH132" s="7">
        <v>26.810817</v>
      </c>
      <c r="AI132" s="15">
        <v>0.22233528000000002</v>
      </c>
      <c r="AJ132" s="6">
        <v>0.38358138812690856</v>
      </c>
      <c r="AK132" s="3"/>
      <c r="AL132" s="6">
        <v>46.063602110589834</v>
      </c>
      <c r="AM132" s="6">
        <v>2.778523959581802</v>
      </c>
      <c r="AN132" s="6">
        <v>5.147209567140934</v>
      </c>
      <c r="AO132" s="6">
        <v>19.249148748012168</v>
      </c>
      <c r="AP132" s="6">
        <v>0</v>
      </c>
      <c r="AQ132" s="6">
        <v>18.88871983585493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/>
      <c r="BD132" s="3"/>
      <c r="BE132" s="3"/>
      <c r="BF132" s="7">
        <v>2669.9845691361184</v>
      </c>
    </row>
    <row x14ac:dyDescent="0.25" r="133" customHeight="1" ht="12.75">
      <c r="A133" s="5" t="s">
        <v>571</v>
      </c>
      <c r="B133" s="3" t="s">
        <v>855</v>
      </c>
      <c r="C133" s="3" t="s">
        <v>856</v>
      </c>
      <c r="D133" s="3" t="s">
        <v>928</v>
      </c>
      <c r="E133" s="3"/>
      <c r="F133" s="6">
        <f>100*SUM(AM133:AO133)/AL133</f>
      </c>
      <c r="G133" s="6">
        <f>100*SUM(AP133)/AL133</f>
      </c>
      <c r="H133" s="6">
        <f>100*SUM(AQ133)/AL133</f>
      </c>
      <c r="I133" s="6">
        <f>100*SUM(AR133:BC133)/AL133</f>
      </c>
      <c r="J133" s="3"/>
      <c r="K133" s="23">
        <v>9.1638</v>
      </c>
      <c r="L133" s="6">
        <v>0.7956011698203802</v>
      </c>
      <c r="M133" s="6">
        <v>2.3877367467644426</v>
      </c>
      <c r="N133" s="31">
        <v>115.53534559898732</v>
      </c>
      <c r="O133" s="6">
        <v>1.0886791505707238</v>
      </c>
      <c r="P133" s="6">
        <v>0.5183375892097165</v>
      </c>
      <c r="Q133" s="7"/>
      <c r="R133" s="6"/>
      <c r="S133" s="6"/>
      <c r="T133" s="6"/>
      <c r="U133" s="5"/>
      <c r="V133" s="6"/>
      <c r="W133" s="6"/>
      <c r="X133" s="6"/>
      <c r="Y133" s="15"/>
      <c r="Z133" s="6"/>
      <c r="AA133" s="6"/>
      <c r="AB133" s="5"/>
      <c r="AC133" s="3"/>
      <c r="AD133" s="6">
        <v>0.0729073</v>
      </c>
      <c r="AE133" s="6">
        <v>0.21880741999999997</v>
      </c>
      <c r="AF133" s="7">
        <v>1058.7428</v>
      </c>
      <c r="AG133" s="6">
        <v>0.09976438</v>
      </c>
      <c r="AH133" s="7">
        <v>4.749942</v>
      </c>
      <c r="AI133" s="15">
        <v>0.39147909999999997</v>
      </c>
      <c r="AJ133" s="6">
        <v>4.272017067155547</v>
      </c>
      <c r="AK133" s="3"/>
      <c r="AL133" s="6">
        <v>234.40049059818037</v>
      </c>
      <c r="AM133" s="6">
        <v>15.084248115279689</v>
      </c>
      <c r="AN133" s="6">
        <v>51.850443654381365</v>
      </c>
      <c r="AO133" s="6">
        <v>70.69574362536106</v>
      </c>
      <c r="AP133" s="6">
        <v>75.60321474346885</v>
      </c>
      <c r="AQ133" s="6">
        <v>21.16684045968939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/>
      <c r="BD133" s="3"/>
      <c r="BE133" s="3"/>
      <c r="BF133" s="7">
        <v>2147.9992157436054</v>
      </c>
    </row>
    <row x14ac:dyDescent="0.25" r="134" customHeight="1" ht="12.75">
      <c r="A134" s="5" t="s">
        <v>697</v>
      </c>
      <c r="B134" s="3" t="s">
        <v>855</v>
      </c>
      <c r="C134" s="3" t="s">
        <v>856</v>
      </c>
      <c r="D134" s="3" t="s">
        <v>941</v>
      </c>
      <c r="E134" s="3"/>
      <c r="F134" s="6">
        <f>100*SUM(AM134:AO134)/AL134</f>
      </c>
      <c r="G134" s="6">
        <f>100*SUM(AP134)/AL134</f>
      </c>
      <c r="H134" s="6">
        <f>100*SUM(AQ134)/AL134</f>
      </c>
      <c r="I134" s="6">
        <f>100*SUM(AR134:BC134)/AL134</f>
      </c>
      <c r="J134" s="3"/>
      <c r="K134" s="6">
        <v>23.156</v>
      </c>
      <c r="L134" s="6">
        <v>0.23434271894973224</v>
      </c>
      <c r="M134" s="6">
        <v>0.6513266539989636</v>
      </c>
      <c r="N134" s="7">
        <v>12.992449473138713</v>
      </c>
      <c r="O134" s="6"/>
      <c r="P134" s="6">
        <v>0.49232941786146145</v>
      </c>
      <c r="Q134" s="7"/>
      <c r="R134" s="6"/>
      <c r="S134" s="6"/>
      <c r="T134" s="6"/>
      <c r="U134" s="5"/>
      <c r="V134" s="6"/>
      <c r="W134" s="6"/>
      <c r="X134" s="6"/>
      <c r="Y134" s="15"/>
      <c r="Z134" s="6"/>
      <c r="AA134" s="6"/>
      <c r="AB134" s="5"/>
      <c r="AC134" s="3"/>
      <c r="AD134" s="6">
        <v>0.0542644</v>
      </c>
      <c r="AE134" s="6">
        <v>0.1508212</v>
      </c>
      <c r="AF134" s="7">
        <v>300.85316</v>
      </c>
      <c r="AG134" s="6">
        <v>0</v>
      </c>
      <c r="AH134" s="7">
        <v>11.40038</v>
      </c>
      <c r="AI134" s="15">
        <v>0.20508559999999998</v>
      </c>
      <c r="AJ134" s="6">
        <v>0.8856693729486959</v>
      </c>
      <c r="AK134" s="3"/>
      <c r="AL134" s="6">
        <v>46.64160771722782</v>
      </c>
      <c r="AM134" s="6">
        <v>4.443034840490585</v>
      </c>
      <c r="AN134" s="6">
        <v>14.143760202850235</v>
      </c>
      <c r="AO134" s="6">
        <v>7.950042233885201</v>
      </c>
      <c r="AP134" s="6">
        <v>0</v>
      </c>
      <c r="AQ134" s="6">
        <v>20.1047704400018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/>
      <c r="BD134" s="3"/>
      <c r="BE134" s="3"/>
      <c r="BF134" s="7">
        <v>1080.0330683001273</v>
      </c>
    </row>
    <row x14ac:dyDescent="0.25" r="135" customHeight="1" ht="12.75">
      <c r="A135" s="5" t="s">
        <v>333</v>
      </c>
      <c r="B135" s="3" t="s">
        <v>855</v>
      </c>
      <c r="C135" s="3" t="s">
        <v>856</v>
      </c>
      <c r="D135" s="3"/>
      <c r="E135" s="3"/>
      <c r="F135" s="6">
        <f>100*SUM(AM135:AO135)/AL135</f>
      </c>
      <c r="G135" s="6">
        <f>100*SUM(AP135)/AL135</f>
      </c>
      <c r="H135" s="6">
        <f>100*SUM(AQ135)/AL135</f>
      </c>
      <c r="I135" s="6">
        <f>100*SUM(AR135:BC135)/AL135</f>
      </c>
      <c r="J135" s="3"/>
      <c r="K135" s="6">
        <v>1.869</v>
      </c>
      <c r="L135" s="6">
        <v>2.67</v>
      </c>
      <c r="M135" s="6">
        <v>5.31</v>
      </c>
      <c r="N135" s="6">
        <v>30.1</v>
      </c>
      <c r="O135" s="6">
        <v>0.76</v>
      </c>
      <c r="P135" s="6">
        <v>1.9</v>
      </c>
      <c r="Q135" s="7"/>
      <c r="R135" s="6"/>
      <c r="S135" s="6"/>
      <c r="T135" s="6"/>
      <c r="U135" s="5">
        <v>26</v>
      </c>
      <c r="V135" s="6"/>
      <c r="W135" s="6"/>
      <c r="X135" s="6"/>
      <c r="Y135" s="15"/>
      <c r="Z135" s="6"/>
      <c r="AA135" s="6"/>
      <c r="AB135" s="5"/>
      <c r="AC135" s="3" t="s">
        <v>942</v>
      </c>
      <c r="AD135" s="6">
        <v>0.0499023</v>
      </c>
      <c r="AE135" s="6">
        <v>0.0992439</v>
      </c>
      <c r="AF135" s="7">
        <v>56.2569</v>
      </c>
      <c r="AG135" s="6">
        <v>0.014204399999999999</v>
      </c>
      <c r="AH135" s="7">
        <v>3.5511</v>
      </c>
      <c r="AI135" s="15">
        <v>0.1633506</v>
      </c>
      <c r="AJ135" s="6">
        <v>8.74</v>
      </c>
      <c r="AK135" s="3"/>
      <c r="AL135" s="6">
        <v>338.67573961118967</v>
      </c>
      <c r="AM135" s="6">
        <v>50.622025199999996</v>
      </c>
      <c r="AN135" s="6">
        <v>115.30829609999998</v>
      </c>
      <c r="AO135" s="6">
        <v>18.418102893890676</v>
      </c>
      <c r="AP135" s="6">
        <v>52.778124</v>
      </c>
      <c r="AQ135" s="6">
        <v>77.58842443729903</v>
      </c>
      <c r="AR135" s="6">
        <v>0</v>
      </c>
      <c r="AS135" s="6">
        <v>0</v>
      </c>
      <c r="AT135" s="6">
        <v>0</v>
      </c>
      <c r="AU135" s="6">
        <v>0</v>
      </c>
      <c r="AV135" s="6">
        <v>19.11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4.85076698</v>
      </c>
      <c r="BD135" s="3" t="s">
        <v>943</v>
      </c>
      <c r="BE135" s="3"/>
      <c r="BF135" s="7">
        <v>632.9849573333134</v>
      </c>
    </row>
    <row x14ac:dyDescent="0.25" r="136" customHeight="1" ht="12.75">
      <c r="A136" s="5" t="s">
        <v>22</v>
      </c>
      <c r="B136" s="3" t="s">
        <v>855</v>
      </c>
      <c r="C136" s="3" t="s">
        <v>856</v>
      </c>
      <c r="D136" s="3"/>
      <c r="E136" s="3"/>
      <c r="F136" s="6">
        <f>100*SUM(AM136:AO136)/AL136</f>
      </c>
      <c r="G136" s="6">
        <f>100*SUM(AP136)/AL136</f>
      </c>
      <c r="H136" s="6">
        <f>100*SUM(AQ136)/AL136</f>
      </c>
      <c r="I136" s="6">
        <f>100*SUM(AR136:BC136)/AL136</f>
      </c>
      <c r="J136" s="3"/>
      <c r="K136" s="23">
        <v>0.00263</v>
      </c>
      <c r="L136" s="5">
        <v>14</v>
      </c>
      <c r="M136" s="6"/>
      <c r="N136" s="5">
        <v>411</v>
      </c>
      <c r="O136" s="5">
        <v>5</v>
      </c>
      <c r="P136" s="6">
        <v>2.4</v>
      </c>
      <c r="Q136" s="7"/>
      <c r="R136" s="6"/>
      <c r="S136" s="6"/>
      <c r="T136" s="6"/>
      <c r="U136" s="5"/>
      <c r="V136" s="6"/>
      <c r="W136" s="6"/>
      <c r="X136" s="6"/>
      <c r="Y136" s="15"/>
      <c r="Z136" s="6"/>
      <c r="AA136" s="6"/>
      <c r="AB136" s="5"/>
      <c r="AC136" s="3"/>
      <c r="AD136" s="6">
        <v>0.0003682</v>
      </c>
      <c r="AE136" s="6">
        <v>0</v>
      </c>
      <c r="AF136" s="7">
        <v>1.08093</v>
      </c>
      <c r="AG136" s="6">
        <v>0.0001315</v>
      </c>
      <c r="AH136" s="7">
        <v>0.006312</v>
      </c>
      <c r="AI136" s="15">
        <v>0.0004997000000000001</v>
      </c>
      <c r="AJ136" s="6">
        <v>19</v>
      </c>
      <c r="AK136" s="3"/>
      <c r="AL136" s="6">
        <v>962.1544814790998</v>
      </c>
      <c r="AM136" s="6">
        <v>265.43384000000003</v>
      </c>
      <c r="AN136" s="6">
        <v>0</v>
      </c>
      <c r="AO136" s="6">
        <v>251.48971061093252</v>
      </c>
      <c r="AP136" s="6">
        <v>347.22450000000003</v>
      </c>
      <c r="AQ136" s="6">
        <v>98.0064308681672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/>
      <c r="BD136" s="3"/>
      <c r="BE136" s="3"/>
      <c r="BF136" s="7">
        <v>2.5304662862900322</v>
      </c>
    </row>
    <row x14ac:dyDescent="0.25" r="137" customHeight="1" ht="12.75">
      <c r="A137" s="5" t="s">
        <v>480</v>
      </c>
      <c r="B137" s="3" t="s">
        <v>855</v>
      </c>
      <c r="C137" s="3" t="s">
        <v>856</v>
      </c>
      <c r="D137" s="3" t="s">
        <v>929</v>
      </c>
      <c r="E137" s="3"/>
      <c r="F137" s="6">
        <f>100*SUM(AM137:AO137)/AL137</f>
      </c>
      <c r="G137" s="6">
        <f>100*SUM(AP137)/AL137</f>
      </c>
      <c r="H137" s="6">
        <f>100*SUM(AQ137)/AL137</f>
      </c>
      <c r="I137" s="6">
        <f>100*SUM(AR137:BC137)/AL137</f>
      </c>
      <c r="J137" s="3"/>
      <c r="K137" s="23">
        <v>0.03495</v>
      </c>
      <c r="L137" s="6">
        <v>6.2</v>
      </c>
      <c r="M137" s="6">
        <v>1.37</v>
      </c>
      <c r="N137" s="5"/>
      <c r="O137" s="6"/>
      <c r="P137" s="6"/>
      <c r="Q137" s="7"/>
      <c r="R137" s="6"/>
      <c r="S137" s="6"/>
      <c r="T137" s="6"/>
      <c r="U137" s="5"/>
      <c r="V137" s="6"/>
      <c r="W137" s="6"/>
      <c r="X137" s="6"/>
      <c r="Y137" s="15"/>
      <c r="Z137" s="6"/>
      <c r="AA137" s="6"/>
      <c r="AB137" s="6">
        <v>36.6</v>
      </c>
      <c r="AC137" s="3" t="s">
        <v>944</v>
      </c>
      <c r="AD137" s="6">
        <v>0.0021669000000000002</v>
      </c>
      <c r="AE137" s="6">
        <v>0.00047881500000000006</v>
      </c>
      <c r="AF137" s="7">
        <v>0</v>
      </c>
      <c r="AG137" s="6">
        <v>0</v>
      </c>
      <c r="AH137" s="7">
        <v>0</v>
      </c>
      <c r="AI137" s="15">
        <v>0.0026457150000000003</v>
      </c>
      <c r="AJ137" s="6">
        <v>7.57</v>
      </c>
      <c r="AK137" s="3"/>
      <c r="AL137" s="6">
        <v>275.3992467</v>
      </c>
      <c r="AM137" s="6">
        <v>117.54927199999999</v>
      </c>
      <c r="AN137" s="6">
        <v>29.7499747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128.1</v>
      </c>
      <c r="BD137" s="3" t="s">
        <v>945</v>
      </c>
      <c r="BE137" s="3"/>
      <c r="BF137" s="7">
        <v>9.625203672165</v>
      </c>
    </row>
    <row x14ac:dyDescent="0.25" r="138" customHeight="1" ht="12.75">
      <c r="A138" s="5" t="s">
        <v>336</v>
      </c>
      <c r="B138" s="3" t="s">
        <v>855</v>
      </c>
      <c r="C138" s="3" t="s">
        <v>856</v>
      </c>
      <c r="D138" s="3"/>
      <c r="E138" s="3"/>
      <c r="F138" s="6">
        <f>100*SUM(AM138:AO138)/AL138</f>
      </c>
      <c r="G138" s="6">
        <f>100*SUM(AP138)/AL138</f>
      </c>
      <c r="H138" s="6">
        <f>100*SUM(AQ138)/AL138</f>
      </c>
      <c r="I138" s="6">
        <f>100*SUM(AR138:BC138)/AL138</f>
      </c>
      <c r="J138" s="3"/>
      <c r="K138" s="5">
        <v>2</v>
      </c>
      <c r="L138" s="6">
        <v>2.5</v>
      </c>
      <c r="M138" s="5">
        <v>5</v>
      </c>
      <c r="N138" s="5">
        <v>15</v>
      </c>
      <c r="O138" s="6">
        <v>0.8</v>
      </c>
      <c r="P138" s="6">
        <v>2.5</v>
      </c>
      <c r="Q138" s="7">
        <v>11.532815452445938</v>
      </c>
      <c r="R138" s="6"/>
      <c r="S138" s="6"/>
      <c r="T138" s="6"/>
      <c r="U138" s="5"/>
      <c r="V138" s="6"/>
      <c r="W138" s="6"/>
      <c r="X138" s="6"/>
      <c r="Y138" s="15"/>
      <c r="Z138" s="6"/>
      <c r="AA138" s="6"/>
      <c r="AB138" s="5"/>
      <c r="AC138" s="3"/>
      <c r="AD138" s="6">
        <v>0.05</v>
      </c>
      <c r="AE138" s="6">
        <v>0.1</v>
      </c>
      <c r="AF138" s="7">
        <v>30</v>
      </c>
      <c r="AG138" s="6">
        <v>0.016</v>
      </c>
      <c r="AH138" s="7">
        <v>5</v>
      </c>
      <c r="AI138" s="15">
        <v>0.16600000000000004</v>
      </c>
      <c r="AJ138" s="6">
        <v>8.3</v>
      </c>
      <c r="AK138" s="3"/>
      <c r="AL138" s="6">
        <v>334.5633305074756</v>
      </c>
      <c r="AM138" s="6">
        <v>47.3989</v>
      </c>
      <c r="AN138" s="6">
        <v>108.57655</v>
      </c>
      <c r="AO138" s="6">
        <v>9.178456591639874</v>
      </c>
      <c r="AP138" s="6">
        <v>55.55592</v>
      </c>
      <c r="AQ138" s="6">
        <v>102.09003215434085</v>
      </c>
      <c r="AR138" s="6">
        <v>11.763471761494857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/>
      <c r="BD138" s="3"/>
      <c r="BE138" s="3"/>
      <c r="BF138" s="7">
        <v>669.1266610149512</v>
      </c>
    </row>
    <row x14ac:dyDescent="0.25" r="139" customHeight="1" ht="12.75">
      <c r="A139" s="5" t="s">
        <v>791</v>
      </c>
      <c r="B139" s="3" t="s">
        <v>855</v>
      </c>
      <c r="C139" s="3" t="s">
        <v>856</v>
      </c>
      <c r="D139" s="3"/>
      <c r="E139" s="3"/>
      <c r="F139" s="6">
        <f>100*SUM(AM139:AO139)/AL139</f>
      </c>
      <c r="G139" s="6">
        <f>100*SUM(AP139)/AL139</f>
      </c>
      <c r="H139" s="6">
        <f>100*SUM(AQ139)/AL139</f>
      </c>
      <c r="I139" s="6">
        <f>100*SUM(AR139:BC139)/AL139</f>
      </c>
      <c r="J139" s="3"/>
      <c r="K139" s="6">
        <v>4.53</v>
      </c>
      <c r="L139" s="6">
        <v>0.5408167770419426</v>
      </c>
      <c r="M139" s="6">
        <v>0.9127373068432671</v>
      </c>
      <c r="N139" s="7">
        <v>28.8539293598234</v>
      </c>
      <c r="O139" s="6">
        <v>0.1688962472406181</v>
      </c>
      <c r="P139" s="6">
        <v>1.015121412803532</v>
      </c>
      <c r="Q139" s="7"/>
      <c r="R139" s="6"/>
      <c r="S139" s="6"/>
      <c r="T139" s="6"/>
      <c r="U139" s="5"/>
      <c r="V139" s="6"/>
      <c r="W139" s="6"/>
      <c r="X139" s="6"/>
      <c r="Y139" s="15"/>
      <c r="Z139" s="6"/>
      <c r="AA139" s="6"/>
      <c r="AB139" s="5"/>
      <c r="AC139" s="3"/>
      <c r="AD139" s="6">
        <v>0.024499000000000003</v>
      </c>
      <c r="AE139" s="6">
        <v>0.041347</v>
      </c>
      <c r="AF139" s="7">
        <v>130.7083</v>
      </c>
      <c r="AG139" s="6">
        <v>0.0076510000000000015</v>
      </c>
      <c r="AH139" s="7">
        <v>4.5985000000000005</v>
      </c>
      <c r="AI139" s="15">
        <v>0.073497</v>
      </c>
      <c r="AJ139" s="6">
        <v>1.622450331125828</v>
      </c>
      <c r="AK139" s="3"/>
      <c r="AL139" s="6">
        <v>100.91215164462781</v>
      </c>
      <c r="AM139" s="6">
        <v>10.253648133333334</v>
      </c>
      <c r="AN139" s="6">
        <v>19.820373566666667</v>
      </c>
      <c r="AO139" s="6">
        <v>17.655635875158822</v>
      </c>
      <c r="AP139" s="6">
        <v>11.728983</v>
      </c>
      <c r="AQ139" s="6">
        <v>41.45351106946899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/>
      <c r="BD139" s="3"/>
      <c r="BE139" s="3"/>
      <c r="BF139" s="7">
        <v>457.132046950164</v>
      </c>
    </row>
    <row x14ac:dyDescent="0.25" r="140" customHeight="1" ht="12.75">
      <c r="A140" s="5" t="s">
        <v>522</v>
      </c>
      <c r="B140" s="3" t="s">
        <v>855</v>
      </c>
      <c r="C140" s="3" t="s">
        <v>946</v>
      </c>
      <c r="D140" s="3" t="s">
        <v>947</v>
      </c>
      <c r="E140" s="3"/>
      <c r="F140" s="6">
        <f>100*SUM(AM140:AO140)/AL140</f>
      </c>
      <c r="G140" s="6">
        <f>100*SUM(AP140)/AL140</f>
      </c>
      <c r="H140" s="6">
        <f>100*SUM(AQ140)/AL140</f>
      </c>
      <c r="I140" s="6">
        <f>100*SUM(AR140:BC140)/AL140</f>
      </c>
      <c r="J140" s="3"/>
      <c r="K140" s="6">
        <v>17.06</v>
      </c>
      <c r="L140" s="6">
        <v>0.2686694021101993</v>
      </c>
      <c r="M140" s="6">
        <v>1.3503751465416178</v>
      </c>
      <c r="N140" s="31">
        <v>46.06828839390388</v>
      </c>
      <c r="O140" s="6">
        <v>1.3178663540445488</v>
      </c>
      <c r="P140" s="6"/>
      <c r="Q140" s="7"/>
      <c r="R140" s="6"/>
      <c r="S140" s="6"/>
      <c r="T140" s="6"/>
      <c r="U140" s="5"/>
      <c r="V140" s="6"/>
      <c r="W140" s="6"/>
      <c r="X140" s="6"/>
      <c r="Y140" s="15"/>
      <c r="Z140" s="6"/>
      <c r="AA140" s="6"/>
      <c r="AB140" s="5"/>
      <c r="AC140" s="3"/>
      <c r="AD140" s="6">
        <v>0.045835</v>
      </c>
      <c r="AE140" s="6">
        <v>0.23037399999999997</v>
      </c>
      <c r="AF140" s="7">
        <v>785.9250000000001</v>
      </c>
      <c r="AG140" s="6">
        <v>0.224828</v>
      </c>
      <c r="AH140" s="7">
        <v>0</v>
      </c>
      <c r="AI140" s="15">
        <v>0.501037</v>
      </c>
      <c r="AJ140" s="6">
        <v>2.936910902696366</v>
      </c>
      <c r="AK140" s="3"/>
      <c r="AL140" s="6">
        <v>154.12581809454696</v>
      </c>
      <c r="AM140" s="6">
        <v>5.093853649472449</v>
      </c>
      <c r="AN140" s="6">
        <v>29.323814923446662</v>
      </c>
      <c r="AO140" s="6">
        <v>28.189052351639578</v>
      </c>
      <c r="AP140" s="6">
        <v>91.51909716998829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/>
      <c r="BD140" s="3"/>
      <c r="BE140" s="3"/>
      <c r="BF140" s="7">
        <v>2629.386456692971</v>
      </c>
    </row>
    <row x14ac:dyDescent="0.25" r="141" customHeight="1" ht="12.75">
      <c r="A141" s="5" t="s">
        <v>682</v>
      </c>
      <c r="B141" s="3" t="s">
        <v>855</v>
      </c>
      <c r="C141" s="3" t="s">
        <v>856</v>
      </c>
      <c r="D141" s="3" t="s">
        <v>935</v>
      </c>
      <c r="E141" s="3"/>
      <c r="F141" s="6">
        <f>100*SUM(AM141:AO141)/AL141</f>
      </c>
      <c r="G141" s="6">
        <f>100*SUM(AP141)/AL141</f>
      </c>
      <c r="H141" s="6">
        <f>100*SUM(AQ141)/AL141</f>
      </c>
      <c r="I141" s="6">
        <f>100*SUM(AR141:BC141)/AL141</f>
      </c>
      <c r="J141" s="3"/>
      <c r="K141" s="6">
        <v>6.636</v>
      </c>
      <c r="L141" s="6">
        <v>0.438</v>
      </c>
      <c r="M141" s="6">
        <v>2.63</v>
      </c>
      <c r="N141" s="5"/>
      <c r="O141" s="6">
        <v>1.39</v>
      </c>
      <c r="P141" s="6"/>
      <c r="Q141" s="7"/>
      <c r="R141" s="6"/>
      <c r="S141" s="6"/>
      <c r="T141" s="6"/>
      <c r="U141" s="5"/>
      <c r="V141" s="6"/>
      <c r="W141" s="6"/>
      <c r="X141" s="6"/>
      <c r="Y141" s="15"/>
      <c r="Z141" s="6"/>
      <c r="AA141" s="6"/>
      <c r="AB141" s="5"/>
      <c r="AC141" s="3"/>
      <c r="AD141" s="6">
        <v>0.02906568</v>
      </c>
      <c r="AE141" s="6">
        <v>0.1745268</v>
      </c>
      <c r="AF141" s="7">
        <v>0</v>
      </c>
      <c r="AG141" s="6">
        <v>0.09224039999999999</v>
      </c>
      <c r="AH141" s="7">
        <v>0</v>
      </c>
      <c r="AI141" s="15">
        <v>0.29583288</v>
      </c>
      <c r="AJ141" s="6">
        <v>4.458</v>
      </c>
      <c r="AK141" s="3"/>
      <c r="AL141" s="6">
        <v>161.94396358</v>
      </c>
      <c r="AM141" s="6">
        <v>8.30428728</v>
      </c>
      <c r="AN141" s="6">
        <v>57.1112653</v>
      </c>
      <c r="AO141" s="6">
        <v>0</v>
      </c>
      <c r="AP141" s="6">
        <v>96.52841099999999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/>
      <c r="BD141" s="3"/>
      <c r="BE141" s="3"/>
      <c r="BF141" s="7">
        <v>1074.66014231688</v>
      </c>
    </row>
    <row x14ac:dyDescent="0.25" r="142" customHeight="1" ht="12.75">
      <c r="A142" s="5" t="s">
        <v>96</v>
      </c>
      <c r="B142" s="3" t="s">
        <v>855</v>
      </c>
      <c r="C142" s="3" t="s">
        <v>856</v>
      </c>
      <c r="D142" s="3"/>
      <c r="E142" s="3"/>
      <c r="F142" s="6">
        <f>100*SUM(AM142:AO142)/AL142</f>
      </c>
      <c r="G142" s="6">
        <f>100*SUM(AP142)/AL142</f>
      </c>
      <c r="H142" s="6">
        <f>100*SUM(AQ142)/AL142</f>
      </c>
      <c r="I142" s="6">
        <f>100*SUM(AR142:BC142)/AL142</f>
      </c>
      <c r="J142" s="3"/>
      <c r="K142" s="6">
        <v>93.07</v>
      </c>
      <c r="L142" s="6">
        <v>0.62</v>
      </c>
      <c r="M142" s="6">
        <v>4.09</v>
      </c>
      <c r="N142" s="6">
        <v>9.2</v>
      </c>
      <c r="O142" s="6">
        <v>1.28</v>
      </c>
      <c r="P142" s="6">
        <v>1.8</v>
      </c>
      <c r="Q142" s="7"/>
      <c r="R142" s="6"/>
      <c r="S142" s="6"/>
      <c r="T142" s="6"/>
      <c r="U142" s="5"/>
      <c r="V142" s="6"/>
      <c r="W142" s="6"/>
      <c r="X142" s="6"/>
      <c r="Y142" s="15"/>
      <c r="Z142" s="6"/>
      <c r="AA142" s="6"/>
      <c r="AB142" s="5"/>
      <c r="AC142" s="3" t="s">
        <v>948</v>
      </c>
      <c r="AD142" s="6">
        <v>0.5770339999999999</v>
      </c>
      <c r="AE142" s="6">
        <v>3.8065629999999993</v>
      </c>
      <c r="AF142" s="7">
        <v>856.2439999999999</v>
      </c>
      <c r="AG142" s="6">
        <v>1.191296</v>
      </c>
      <c r="AH142" s="7">
        <v>167.52599999999998</v>
      </c>
      <c r="AI142" s="15">
        <v>5.574892999999999</v>
      </c>
      <c r="AJ142" s="6">
        <v>5.99</v>
      </c>
      <c r="AK142" s="3"/>
      <c r="AL142" s="6">
        <v>269.27538947474716</v>
      </c>
      <c r="AM142" s="6">
        <v>11.7549272</v>
      </c>
      <c r="AN142" s="6">
        <v>88.81561789999999</v>
      </c>
      <c r="AO142" s="6">
        <v>5.629453376205788</v>
      </c>
      <c r="AP142" s="6">
        <v>88.889472</v>
      </c>
      <c r="AQ142" s="6">
        <v>73.50482315112541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0.681095847416</v>
      </c>
      <c r="BD142" s="3" t="s">
        <v>949</v>
      </c>
      <c r="BE142" s="3"/>
      <c r="BF142" s="7">
        <v>25061.460498414715</v>
      </c>
    </row>
    <row x14ac:dyDescent="0.25" r="143" customHeight="1" ht="12.75">
      <c r="A143" s="5" t="s">
        <v>575</v>
      </c>
      <c r="B143" s="3" t="s">
        <v>855</v>
      </c>
      <c r="C143" s="3" t="s">
        <v>856</v>
      </c>
      <c r="D143" s="3" t="s">
        <v>928</v>
      </c>
      <c r="E143" s="3"/>
      <c r="F143" s="6">
        <f>100*SUM(AM143:AO143)/AL143</f>
      </c>
      <c r="G143" s="6">
        <f>100*SUM(AP143)/AL143</f>
      </c>
      <c r="H143" s="6">
        <f>100*SUM(AQ143)/AL143</f>
      </c>
      <c r="I143" s="6">
        <f>100*SUM(AR143:BC143)/AL143</f>
      </c>
      <c r="J143" s="3"/>
      <c r="K143" s="6">
        <v>9.06</v>
      </c>
      <c r="L143" s="6">
        <v>0.69</v>
      </c>
      <c r="M143" s="6">
        <v>0.84</v>
      </c>
      <c r="N143" s="6">
        <v>84.78</v>
      </c>
      <c r="O143" s="6">
        <v>0.09</v>
      </c>
      <c r="P143" s="6">
        <v>3.54</v>
      </c>
      <c r="Q143" s="7"/>
      <c r="R143" s="6"/>
      <c r="S143" s="6"/>
      <c r="T143" s="6"/>
      <c r="U143" s="5"/>
      <c r="V143" s="6"/>
      <c r="W143" s="6"/>
      <c r="X143" s="6"/>
      <c r="Y143" s="15"/>
      <c r="Z143" s="6"/>
      <c r="AA143" s="6"/>
      <c r="AB143" s="5"/>
      <c r="AC143" s="3"/>
      <c r="AD143" s="6">
        <v>0.062514</v>
      </c>
      <c r="AE143" s="6">
        <v>0.076104</v>
      </c>
      <c r="AF143" s="7">
        <v>768.1068</v>
      </c>
      <c r="AG143" s="6">
        <v>0.008154</v>
      </c>
      <c r="AH143" s="7">
        <v>32.0724</v>
      </c>
      <c r="AI143" s="15">
        <v>0.146772</v>
      </c>
      <c r="AJ143" s="6">
        <v>1.6199999999999999</v>
      </c>
      <c r="AK143" s="3"/>
      <c r="AL143" s="6">
        <v>234.0091199864952</v>
      </c>
      <c r="AM143" s="6">
        <v>13.0820964</v>
      </c>
      <c r="AN143" s="6">
        <v>18.2408604</v>
      </c>
      <c r="AO143" s="6">
        <v>51.87663665594856</v>
      </c>
      <c r="AP143" s="6">
        <v>6.2500409999999995</v>
      </c>
      <c r="AQ143" s="6">
        <v>144.55948553054662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/>
      <c r="BD143" s="3"/>
      <c r="BE143" s="3"/>
      <c r="BF143" s="7">
        <v>2120.1226270776465</v>
      </c>
    </row>
    <row x14ac:dyDescent="0.25" r="144" customHeight="1" ht="12.75">
      <c r="A144" s="5" t="s">
        <v>528</v>
      </c>
      <c r="B144" s="3" t="s">
        <v>855</v>
      </c>
      <c r="C144" s="3" t="s">
        <v>856</v>
      </c>
      <c r="D144" s="3" t="s">
        <v>929</v>
      </c>
      <c r="E144" s="3"/>
      <c r="F144" s="6">
        <f>100*SUM(AM144:AO144)/AL144</f>
      </c>
      <c r="G144" s="6">
        <f>100*SUM(AP144)/AL144</f>
      </c>
      <c r="H144" s="6">
        <f>100*SUM(AQ144)/AL144</f>
      </c>
      <c r="I144" s="6">
        <f>100*SUM(AR144:BC144)/AL144</f>
      </c>
      <c r="J144" s="3"/>
      <c r="K144" s="6">
        <v>13.399999999999999</v>
      </c>
      <c r="L144" s="7">
        <v>0.12089552238805973</v>
      </c>
      <c r="M144" s="6">
        <v>1.7435820895522391</v>
      </c>
      <c r="N144" s="7">
        <v>42.985373134328356</v>
      </c>
      <c r="O144" s="6">
        <v>0.4137313432835821</v>
      </c>
      <c r="P144" s="7">
        <v>2.3626865671641792</v>
      </c>
      <c r="Q144" s="7"/>
      <c r="R144" s="6"/>
      <c r="S144" s="6"/>
      <c r="T144" s="6"/>
      <c r="U144" s="5"/>
      <c r="V144" s="6"/>
      <c r="W144" s="6"/>
      <c r="X144" s="6"/>
      <c r="Y144" s="15"/>
      <c r="Z144" s="6"/>
      <c r="AA144" s="6"/>
      <c r="AB144" s="5"/>
      <c r="AC144" s="3"/>
      <c r="AD144" s="6">
        <v>0.016200000000000003</v>
      </c>
      <c r="AE144" s="6">
        <v>0.23364000000000001</v>
      </c>
      <c r="AF144" s="7">
        <v>576.0039999999999</v>
      </c>
      <c r="AG144" s="6">
        <v>0.055439999999999996</v>
      </c>
      <c r="AH144" s="7">
        <v>31.66</v>
      </c>
      <c r="AI144" s="15">
        <v>0.30528</v>
      </c>
      <c r="AJ144" s="6">
        <v>2.2782089552238807</v>
      </c>
      <c r="AK144" s="3"/>
      <c r="AL144" s="6">
        <v>191.67140772760956</v>
      </c>
      <c r="AM144" s="6">
        <v>2.2921259104477616</v>
      </c>
      <c r="AN144" s="6">
        <v>37.86242558507463</v>
      </c>
      <c r="AO144" s="6">
        <v>26.30262542592504</v>
      </c>
      <c r="AP144" s="6">
        <v>28.73153176119403</v>
      </c>
      <c r="AQ144" s="6">
        <v>96.48269904496809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/>
      <c r="BD144" s="3"/>
      <c r="BE144" s="3"/>
      <c r="BF144" s="7">
        <v>2568.3968635499677</v>
      </c>
    </row>
    <row x14ac:dyDescent="0.25" r="145" customHeight="1" ht="12.75">
      <c r="A145" s="5" t="s">
        <v>35</v>
      </c>
      <c r="B145" s="3" t="s">
        <v>855</v>
      </c>
      <c r="C145" s="3" t="s">
        <v>856</v>
      </c>
      <c r="D145" s="3" t="s">
        <v>928</v>
      </c>
      <c r="E145" s="3"/>
      <c r="F145" s="6">
        <f>100*SUM(AM145:AO145)/AL145</f>
      </c>
      <c r="G145" s="6">
        <f>100*SUM(AP145)/AL145</f>
      </c>
      <c r="H145" s="6">
        <f>100*SUM(AQ145)/AL145</f>
      </c>
      <c r="I145" s="6">
        <f>100*SUM(AR145:BC145)/AL145</f>
      </c>
      <c r="J145" s="3"/>
      <c r="K145" s="6">
        <v>1.6</v>
      </c>
      <c r="L145" s="6">
        <v>2.1</v>
      </c>
      <c r="M145" s="7">
        <v>3</v>
      </c>
      <c r="N145" s="31">
        <v>286.12</v>
      </c>
      <c r="O145" s="6"/>
      <c r="P145" s="6">
        <v>13.6</v>
      </c>
      <c r="Q145" s="7"/>
      <c r="R145" s="6"/>
      <c r="S145" s="6"/>
      <c r="T145" s="6"/>
      <c r="U145" s="5"/>
      <c r="V145" s="6"/>
      <c r="W145" s="6"/>
      <c r="X145" s="6"/>
      <c r="Y145" s="15"/>
      <c r="Z145" s="6"/>
      <c r="AA145" s="6"/>
      <c r="AB145" s="5"/>
      <c r="AC145" s="3"/>
      <c r="AD145" s="6">
        <v>0.033600000000000005</v>
      </c>
      <c r="AE145" s="6">
        <v>0.04800000000000001</v>
      </c>
      <c r="AF145" s="7">
        <v>457.79200000000003</v>
      </c>
      <c r="AG145" s="6">
        <v>0</v>
      </c>
      <c r="AH145" s="7">
        <v>21.76</v>
      </c>
      <c r="AI145" s="15">
        <v>0.0816</v>
      </c>
      <c r="AJ145" s="6">
        <v>5.1</v>
      </c>
      <c r="AK145" s="3"/>
      <c r="AL145" s="6">
        <v>835.4067809196142</v>
      </c>
      <c r="AM145" s="6">
        <v>39.815076</v>
      </c>
      <c r="AN145" s="6">
        <v>65.14592999999999</v>
      </c>
      <c r="AO145" s="6">
        <v>175.07600000000002</v>
      </c>
      <c r="AP145" s="6">
        <v>0</v>
      </c>
      <c r="AQ145" s="6">
        <v>555.3697749196142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/>
      <c r="BD145" s="3"/>
      <c r="BE145" s="3"/>
      <c r="BF145" s="7">
        <v>1336.6508494713828</v>
      </c>
    </row>
    <row x14ac:dyDescent="0.25" r="146" customHeight="1" ht="12.75">
      <c r="A146" s="5" t="s">
        <v>609</v>
      </c>
      <c r="B146" s="3" t="s">
        <v>855</v>
      </c>
      <c r="C146" s="3" t="s">
        <v>856</v>
      </c>
      <c r="D146" s="3" t="s">
        <v>929</v>
      </c>
      <c r="E146" s="3"/>
      <c r="F146" s="6">
        <f>100*SUM(AM146:AO146)/AL146</f>
      </c>
      <c r="G146" s="6">
        <f>100*SUM(AP146)/AL146</f>
      </c>
      <c r="H146" s="6">
        <f>100*SUM(AQ146)/AL146</f>
      </c>
      <c r="I146" s="6">
        <f>100*SUM(AR146:BC146)/AL146</f>
      </c>
      <c r="J146" s="3"/>
      <c r="K146" s="6">
        <v>44.25</v>
      </c>
      <c r="L146" s="6">
        <v>0.11</v>
      </c>
      <c r="M146" s="6">
        <v>0.17</v>
      </c>
      <c r="N146" s="5">
        <v>10</v>
      </c>
      <c r="O146" s="6"/>
      <c r="P146" s="6">
        <v>0.68</v>
      </c>
      <c r="Q146" s="7"/>
      <c r="R146" s="6"/>
      <c r="S146" s="6"/>
      <c r="T146" s="6"/>
      <c r="U146" s="5"/>
      <c r="V146" s="6"/>
      <c r="W146" s="6"/>
      <c r="X146" s="6"/>
      <c r="Y146" s="15"/>
      <c r="Z146" s="6"/>
      <c r="AA146" s="6"/>
      <c r="AB146" s="5"/>
      <c r="AC146" s="3"/>
      <c r="AD146" s="6">
        <v>0.048674999999999996</v>
      </c>
      <c r="AE146" s="6">
        <v>0.07522500000000001</v>
      </c>
      <c r="AF146" s="7">
        <v>442.5</v>
      </c>
      <c r="AG146" s="6">
        <v>0</v>
      </c>
      <c r="AH146" s="7">
        <v>30.090000000000003</v>
      </c>
      <c r="AI146" s="15">
        <v>0.12390000000000001</v>
      </c>
      <c r="AJ146" s="6">
        <v>0.28</v>
      </c>
      <c r="AK146" s="3"/>
      <c r="AL146" s="6">
        <v>39.66461410707396</v>
      </c>
      <c r="AM146" s="6">
        <v>2.0855516</v>
      </c>
      <c r="AN146" s="6">
        <v>3.6916027000000002</v>
      </c>
      <c r="AO146" s="6">
        <v>6.118971061093249</v>
      </c>
      <c r="AP146" s="6">
        <v>0</v>
      </c>
      <c r="AQ146" s="6">
        <v>27.76848874598071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/>
      <c r="BD146" s="3"/>
      <c r="BE146" s="3"/>
      <c r="BF146" s="7">
        <v>1755.1591742380226</v>
      </c>
    </row>
    <row x14ac:dyDescent="0.25" r="147" customHeight="1" ht="12.75">
      <c r="A147" s="5" t="s">
        <v>779</v>
      </c>
      <c r="B147" s="3" t="s">
        <v>855</v>
      </c>
      <c r="C147" s="3" t="s">
        <v>856</v>
      </c>
      <c r="D147" s="3" t="s">
        <v>929</v>
      </c>
      <c r="E147" s="3"/>
      <c r="F147" s="6">
        <f>100*SUM(AM147:AO147)/AL147</f>
      </c>
      <c r="G147" s="6">
        <f>100*SUM(AP147)/AL147</f>
      </c>
      <c r="H147" s="6">
        <f>100*SUM(AQ147)/AL147</f>
      </c>
      <c r="I147" s="6">
        <f>100*SUM(AR147:BC147)/AL147</f>
      </c>
      <c r="J147" s="3"/>
      <c r="K147" s="6">
        <v>6.79</v>
      </c>
      <c r="L147" s="6"/>
      <c r="M147" s="6">
        <v>0.23</v>
      </c>
      <c r="N147" s="7">
        <v>27.368000000000002</v>
      </c>
      <c r="O147" s="6">
        <v>0.75</v>
      </c>
      <c r="P147" s="6"/>
      <c r="Q147" s="7"/>
      <c r="R147" s="6"/>
      <c r="S147" s="6"/>
      <c r="T147" s="6"/>
      <c r="U147" s="5"/>
      <c r="V147" s="6"/>
      <c r="W147" s="6"/>
      <c r="X147" s="6"/>
      <c r="Y147" s="15"/>
      <c r="Z147" s="6"/>
      <c r="AA147" s="6"/>
      <c r="AB147" s="5"/>
      <c r="AC147" s="3"/>
      <c r="AD147" s="6">
        <v>0</v>
      </c>
      <c r="AE147" s="6">
        <v>0.015617</v>
      </c>
      <c r="AF147" s="7">
        <v>185.82872</v>
      </c>
      <c r="AG147" s="6">
        <v>0.050925000000000005</v>
      </c>
      <c r="AH147" s="7">
        <v>0</v>
      </c>
      <c r="AI147" s="15">
        <v>0.066542</v>
      </c>
      <c r="AJ147" s="6">
        <v>0.98</v>
      </c>
      <c r="AK147" s="3"/>
      <c r="AL147" s="6">
        <v>73.8245963</v>
      </c>
      <c r="AM147" s="6">
        <v>0</v>
      </c>
      <c r="AN147" s="6">
        <v>4.9945213</v>
      </c>
      <c r="AO147" s="6">
        <v>16.746400000000005</v>
      </c>
      <c r="AP147" s="6">
        <v>52.083675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/>
      <c r="BD147" s="3"/>
      <c r="BE147" s="3"/>
      <c r="BF147" s="7">
        <v>501.269008877</v>
      </c>
    </row>
    <row x14ac:dyDescent="0.25" r="148" customHeight="1" ht="12.75">
      <c r="A148" s="5" t="s">
        <v>781</v>
      </c>
      <c r="B148" s="3" t="s">
        <v>855</v>
      </c>
      <c r="C148" s="3" t="s">
        <v>856</v>
      </c>
      <c r="D148" s="3" t="s">
        <v>925</v>
      </c>
      <c r="E148" s="3"/>
      <c r="F148" s="6">
        <f>100*SUM(AM148:AO148)/AL148</f>
      </c>
      <c r="G148" s="6">
        <f>100*SUM(AP148)/AL148</f>
      </c>
      <c r="H148" s="6">
        <f>100*SUM(AQ148)/AL148</f>
      </c>
      <c r="I148" s="6">
        <f>100*SUM(AR148:BC148)/AL148</f>
      </c>
      <c r="J148" s="3"/>
      <c r="K148" s="6">
        <v>4.8</v>
      </c>
      <c r="L148" s="6">
        <v>0.3808333333333333</v>
      </c>
      <c r="M148" s="6">
        <v>0.9804166666666666</v>
      </c>
      <c r="N148" s="6">
        <v>2.318333333333333</v>
      </c>
      <c r="O148" s="6"/>
      <c r="P148" s="6">
        <v>1.78875</v>
      </c>
      <c r="Q148" s="7"/>
      <c r="R148" s="6"/>
      <c r="S148" s="6"/>
      <c r="T148" s="6"/>
      <c r="U148" s="5"/>
      <c r="V148" s="6"/>
      <c r="W148" s="6"/>
      <c r="X148" s="6"/>
      <c r="Y148" s="15"/>
      <c r="Z148" s="6"/>
      <c r="AA148" s="6"/>
      <c r="AB148" s="5"/>
      <c r="AC148" s="3"/>
      <c r="AD148" s="6">
        <v>0.018279999999999998</v>
      </c>
      <c r="AE148" s="6">
        <v>0.04706</v>
      </c>
      <c r="AF148" s="7">
        <v>11.127999999999998</v>
      </c>
      <c r="AG148" s="6">
        <v>0</v>
      </c>
      <c r="AH148" s="7">
        <v>8.586</v>
      </c>
      <c r="AI148" s="15">
        <v>0.06534</v>
      </c>
      <c r="AJ148" s="6">
        <v>1.3612499999999998</v>
      </c>
      <c r="AK148" s="3"/>
      <c r="AL148" s="6">
        <v>102.97448374326098</v>
      </c>
      <c r="AM148" s="6">
        <v>7.220432433333332</v>
      </c>
      <c r="AN148" s="6">
        <v>21.290051845833332</v>
      </c>
      <c r="AO148" s="6">
        <v>1.4185814576634512</v>
      </c>
      <c r="AP148" s="6">
        <v>0</v>
      </c>
      <c r="AQ148" s="6">
        <v>73.04541800643086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/>
      <c r="BD148" s="3"/>
      <c r="BE148" s="3"/>
      <c r="BF148" s="7">
        <v>494.27752196765266</v>
      </c>
    </row>
    <row x14ac:dyDescent="0.25" r="149" customHeight="1" ht="12.75">
      <c r="A149" s="5" t="s">
        <v>808</v>
      </c>
      <c r="B149" s="3" t="s">
        <v>855</v>
      </c>
      <c r="C149" s="3" t="s">
        <v>856</v>
      </c>
      <c r="D149" s="3" t="s">
        <v>929</v>
      </c>
      <c r="E149" s="3"/>
      <c r="F149" s="6">
        <f>100*SUM(AM149:AO149)/AL149</f>
      </c>
      <c r="G149" s="6">
        <f>100*SUM(AP149)/AL149</f>
      </c>
      <c r="H149" s="6">
        <f>100*SUM(AQ149)/AL149</f>
      </c>
      <c r="I149" s="6">
        <f>100*SUM(AR149:BC149)/AL149</f>
      </c>
      <c r="J149" s="3"/>
      <c r="K149" s="6">
        <v>0.131</v>
      </c>
      <c r="L149" s="7">
        <v>1.8854961832061068</v>
      </c>
      <c r="M149" s="6"/>
      <c r="N149" s="7">
        <v>4.580152671755725</v>
      </c>
      <c r="O149" s="7">
        <v>1.3893129770992365</v>
      </c>
      <c r="P149" s="6"/>
      <c r="Q149" s="7"/>
      <c r="R149" s="6"/>
      <c r="S149" s="6"/>
      <c r="T149" s="6"/>
      <c r="U149" s="5"/>
      <c r="V149" s="6"/>
      <c r="W149" s="6"/>
      <c r="X149" s="6"/>
      <c r="Y149" s="15"/>
      <c r="Z149" s="6"/>
      <c r="AA149" s="6"/>
      <c r="AB149" s="5"/>
      <c r="AC149" s="3"/>
      <c r="AD149" s="6">
        <v>0.00247</v>
      </c>
      <c r="AE149" s="6">
        <v>0</v>
      </c>
      <c r="AF149" s="7">
        <v>0.6</v>
      </c>
      <c r="AG149" s="6">
        <v>0.00182</v>
      </c>
      <c r="AH149" s="7">
        <v>0</v>
      </c>
      <c r="AI149" s="15">
        <v>0.00429</v>
      </c>
      <c r="AJ149" s="6">
        <v>3.2748091603053435</v>
      </c>
      <c r="AK149" s="3"/>
      <c r="AL149" s="6">
        <v>135.03146094401214</v>
      </c>
      <c r="AM149" s="6">
        <v>35.74817801526717</v>
      </c>
      <c r="AN149" s="6">
        <v>0</v>
      </c>
      <c r="AO149" s="6">
        <v>2.8025821653862204</v>
      </c>
      <c r="AP149" s="6">
        <v>96.48070076335875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/>
      <c r="BD149" s="3"/>
      <c r="BE149" s="3"/>
      <c r="BF149" s="7">
        <v>17.68912138366559</v>
      </c>
    </row>
    <row x14ac:dyDescent="0.25" r="150" customHeight="1" ht="12.75">
      <c r="A150" s="5" t="s">
        <v>596</v>
      </c>
      <c r="B150" s="3" t="s">
        <v>855</v>
      </c>
      <c r="C150" s="3" t="s">
        <v>856</v>
      </c>
      <c r="D150" s="3" t="s">
        <v>929</v>
      </c>
      <c r="E150" s="3"/>
      <c r="F150" s="6">
        <f>100*SUM(AM150:AO150)/AL150</f>
      </c>
      <c r="G150" s="6">
        <f>100*SUM(AP150)/AL150</f>
      </c>
      <c r="H150" s="6">
        <f>100*SUM(AQ150)/AL150</f>
      </c>
      <c r="I150" s="6">
        <f>100*SUM(AR150:BC150)/AL150</f>
      </c>
      <c r="J150" s="3"/>
      <c r="K150" s="6">
        <v>0.607</v>
      </c>
      <c r="L150" s="6">
        <v>2.4</v>
      </c>
      <c r="M150" s="6"/>
      <c r="N150" s="5">
        <v>26</v>
      </c>
      <c r="O150" s="6"/>
      <c r="P150" s="6">
        <v>0.22</v>
      </c>
      <c r="Q150" s="7"/>
      <c r="R150" s="6"/>
      <c r="S150" s="6"/>
      <c r="T150" s="6"/>
      <c r="U150" s="5"/>
      <c r="V150" s="6"/>
      <c r="W150" s="6"/>
      <c r="X150" s="6"/>
      <c r="Y150" s="15"/>
      <c r="Z150" s="6"/>
      <c r="AA150" s="6"/>
      <c r="AB150" s="6">
        <v>1.7</v>
      </c>
      <c r="AC150" s="3" t="s">
        <v>950</v>
      </c>
      <c r="AD150" s="6">
        <v>0.014568</v>
      </c>
      <c r="AE150" s="6">
        <v>0</v>
      </c>
      <c r="AF150" s="7">
        <v>15.782</v>
      </c>
      <c r="AG150" s="6">
        <v>0</v>
      </c>
      <c r="AH150" s="7">
        <v>0.13354</v>
      </c>
      <c r="AI150" s="15">
        <v>0.014568</v>
      </c>
      <c r="AJ150" s="6">
        <v>2.4</v>
      </c>
      <c r="AK150" s="3"/>
      <c r="AL150" s="6">
        <v>231.92723358842443</v>
      </c>
      <c r="AM150" s="6">
        <v>45.502944</v>
      </c>
      <c r="AN150" s="6">
        <v>0</v>
      </c>
      <c r="AO150" s="6">
        <v>15.909324758842445</v>
      </c>
      <c r="AP150" s="6">
        <v>0</v>
      </c>
      <c r="AQ150" s="6">
        <v>8.983922829581994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161.53104199999999</v>
      </c>
      <c r="BD150" s="3" t="s">
        <v>951</v>
      </c>
      <c r="BE150" s="3"/>
      <c r="BF150" s="7">
        <v>140.77983078817363</v>
      </c>
    </row>
    <row x14ac:dyDescent="0.25" r="151" customHeight="1" ht="12.75">
      <c r="A151" s="5" t="s">
        <v>109</v>
      </c>
      <c r="B151" s="3" t="s">
        <v>855</v>
      </c>
      <c r="C151" s="3" t="s">
        <v>856</v>
      </c>
      <c r="D151" s="3" t="s">
        <v>925</v>
      </c>
      <c r="E151" s="3"/>
      <c r="F151" s="6">
        <f>100*SUM(AM151:AO151)/AL151</f>
      </c>
      <c r="G151" s="6">
        <f>100*SUM(AP151)/AL151</f>
      </c>
      <c r="H151" s="6">
        <f>100*SUM(AQ151)/AL151</f>
      </c>
      <c r="I151" s="6">
        <f>100*SUM(AR151:BC151)/AL151</f>
      </c>
      <c r="J151" s="3"/>
      <c r="K151" s="6">
        <v>519.541</v>
      </c>
      <c r="L151" s="6">
        <v>0.05</v>
      </c>
      <c r="M151" s="6">
        <v>0.19</v>
      </c>
      <c r="N151" s="6">
        <v>7.56</v>
      </c>
      <c r="O151" s="6">
        <v>0.27</v>
      </c>
      <c r="P151" s="6">
        <v>0.35</v>
      </c>
      <c r="Q151" s="7"/>
      <c r="R151" s="6"/>
      <c r="S151" s="6"/>
      <c r="T151" s="6"/>
      <c r="U151" s="5"/>
      <c r="V151" s="23">
        <v>0.000925</v>
      </c>
      <c r="W151" s="6"/>
      <c r="X151" s="6"/>
      <c r="Y151" s="15"/>
      <c r="Z151" s="6"/>
      <c r="AA151" s="6"/>
      <c r="AB151" s="5"/>
      <c r="AC151" s="3"/>
      <c r="AD151" s="6">
        <v>0.25977050000000007</v>
      </c>
      <c r="AE151" s="6">
        <v>0.9871279000000002</v>
      </c>
      <c r="AF151" s="7">
        <v>3927.72996</v>
      </c>
      <c r="AG151" s="6">
        <v>1.4027607000000004</v>
      </c>
      <c r="AH151" s="7">
        <v>181.83935</v>
      </c>
      <c r="AI151" s="15">
        <v>2.649659100000001</v>
      </c>
      <c r="AJ151" s="6">
        <v>0.51</v>
      </c>
      <c r="AK151" s="3"/>
      <c r="AL151" s="6">
        <v>42.99138152379421</v>
      </c>
      <c r="AM151" s="6">
        <v>0.947978</v>
      </c>
      <c r="AN151" s="6">
        <v>4.1259089</v>
      </c>
      <c r="AO151" s="6">
        <v>4.625942122186496</v>
      </c>
      <c r="AP151" s="6">
        <v>18.750123000000002</v>
      </c>
      <c r="AQ151" s="6">
        <v>14.292604501607716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0.24882500000000005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/>
      <c r="BD151" s="3"/>
      <c r="BE151" s="3"/>
      <c r="BF151" s="7">
        <v>22335.78534825357</v>
      </c>
    </row>
    <row x14ac:dyDescent="0.25" r="152" customHeight="1" ht="12.75">
      <c r="A152" s="5" t="s">
        <v>458</v>
      </c>
      <c r="B152" s="3" t="s">
        <v>855</v>
      </c>
      <c r="C152" s="3" t="s">
        <v>856</v>
      </c>
      <c r="D152" s="3" t="s">
        <v>929</v>
      </c>
      <c r="E152" s="3"/>
      <c r="F152" s="6">
        <f>100*SUM(AM152:AO152)/AL152</f>
      </c>
      <c r="G152" s="6">
        <f>100*SUM(AP152)/AL152</f>
      </c>
      <c r="H152" s="6">
        <f>100*SUM(AQ152)/AL152</f>
      </c>
      <c r="I152" s="6">
        <f>100*SUM(AR152:BC152)/AL152</f>
      </c>
      <c r="J152" s="3"/>
      <c r="K152" s="6">
        <v>9.393</v>
      </c>
      <c r="L152" s="6"/>
      <c r="M152" s="6">
        <v>1.6537112743532416</v>
      </c>
      <c r="N152" s="7">
        <v>34.68627701479825</v>
      </c>
      <c r="O152" s="6"/>
      <c r="P152" s="6">
        <v>5.511496859363355</v>
      </c>
      <c r="Q152" s="7"/>
      <c r="R152" s="6"/>
      <c r="S152" s="6"/>
      <c r="T152" s="6"/>
      <c r="U152" s="5"/>
      <c r="V152" s="6"/>
      <c r="W152" s="6"/>
      <c r="X152" s="6"/>
      <c r="Y152" s="15"/>
      <c r="Z152" s="6"/>
      <c r="AA152" s="6"/>
      <c r="AB152" s="5"/>
      <c r="AC152" s="3"/>
      <c r="AD152" s="6">
        <v>0</v>
      </c>
      <c r="AE152" s="6">
        <v>0.1553331</v>
      </c>
      <c r="AF152" s="7">
        <v>325.8082</v>
      </c>
      <c r="AG152" s="6">
        <v>0</v>
      </c>
      <c r="AH152" s="7">
        <v>51.76949</v>
      </c>
      <c r="AI152" s="15">
        <v>0.1553331</v>
      </c>
      <c r="AJ152" s="6">
        <v>1.6537112743532416</v>
      </c>
      <c r="AK152" s="3"/>
      <c r="AL152" s="6">
        <v>282.2028421365185</v>
      </c>
      <c r="AM152" s="6">
        <v>0</v>
      </c>
      <c r="AN152" s="6">
        <v>35.91085297307569</v>
      </c>
      <c r="AO152" s="6">
        <v>21.224432527061442</v>
      </c>
      <c r="AP152" s="6">
        <v>0</v>
      </c>
      <c r="AQ152" s="6">
        <v>225.06755663638137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/>
      <c r="BD152" s="3"/>
      <c r="BE152" s="3"/>
      <c r="BF152" s="7">
        <v>2650.7312961883185</v>
      </c>
    </row>
    <row x14ac:dyDescent="0.25" r="153" customHeight="1" ht="12.75">
      <c r="A153" s="5" t="s">
        <v>646</v>
      </c>
      <c r="B153" s="3" t="s">
        <v>855</v>
      </c>
      <c r="C153" s="3" t="s">
        <v>856</v>
      </c>
      <c r="D153" s="3" t="s">
        <v>927</v>
      </c>
      <c r="E153" s="3"/>
      <c r="F153" s="6">
        <f>100*SUM(AM153:AO153)/AL153</f>
      </c>
      <c r="G153" s="6">
        <f>100*SUM(AP153)/AL153</f>
      </c>
      <c r="H153" s="6">
        <f>100*SUM(AQ153)/AL153</f>
      </c>
      <c r="I153" s="6">
        <f>100*SUM(AR153:BC153)/AL153</f>
      </c>
      <c r="J153" s="3"/>
      <c r="K153" s="6">
        <v>11.178</v>
      </c>
      <c r="L153" s="6">
        <v>0.2485587761674718</v>
      </c>
      <c r="M153" s="6">
        <v>0.2585024154589372</v>
      </c>
      <c r="N153" s="7">
        <v>15.01531043120415</v>
      </c>
      <c r="O153" s="6">
        <v>0.43270084093755584</v>
      </c>
      <c r="P153" s="6">
        <v>2.006969046341027</v>
      </c>
      <c r="Q153" s="7"/>
      <c r="R153" s="6"/>
      <c r="S153" s="6"/>
      <c r="T153" s="6"/>
      <c r="U153" s="5"/>
      <c r="V153" s="6"/>
      <c r="W153" s="6"/>
      <c r="X153" s="6"/>
      <c r="Y153" s="15"/>
      <c r="Z153" s="6"/>
      <c r="AA153" s="6"/>
      <c r="AB153" s="5"/>
      <c r="AC153" s="3"/>
      <c r="AD153" s="6">
        <v>0.0277839</v>
      </c>
      <c r="AE153" s="6">
        <v>0.0288954</v>
      </c>
      <c r="AF153" s="7">
        <v>167.84114</v>
      </c>
      <c r="AG153" s="6">
        <v>0.048367299999999995</v>
      </c>
      <c r="AH153" s="7">
        <v>22.433899999999998</v>
      </c>
      <c r="AI153" s="15">
        <v>0.10504659999999999</v>
      </c>
      <c r="AJ153" s="6">
        <v>0.9397620325639648</v>
      </c>
      <c r="AK153" s="3"/>
      <c r="AL153" s="6">
        <v>131.5193305362137</v>
      </c>
      <c r="AM153" s="6">
        <v>4.712565030273752</v>
      </c>
      <c r="AN153" s="6">
        <v>5.613460087439614</v>
      </c>
      <c r="AO153" s="6">
        <v>9.187825000186978</v>
      </c>
      <c r="AP153" s="6">
        <v>30.048866628824467</v>
      </c>
      <c r="AQ153" s="6">
        <v>81.95661378948887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/>
      <c r="BD153" s="3"/>
      <c r="BE153" s="3"/>
      <c r="BF153" s="7">
        <v>1470.1230767337968</v>
      </c>
    </row>
    <row x14ac:dyDescent="0.25" r="154" customHeight="1" ht="12.75">
      <c r="A154" s="5" t="s">
        <v>600</v>
      </c>
      <c r="B154" s="3" t="s">
        <v>855</v>
      </c>
      <c r="C154" s="3" t="s">
        <v>856</v>
      </c>
      <c r="D154" s="3"/>
      <c r="E154" s="3"/>
      <c r="F154" s="6">
        <f>100*SUM(AM154:AO154)/AL154</f>
      </c>
      <c r="G154" s="6">
        <f>100*SUM(AP154)/AL154</f>
      </c>
      <c r="H154" s="6">
        <f>100*SUM(AQ154)/AL154</f>
      </c>
      <c r="I154" s="6">
        <f>100*SUM(AR154:BC154)/AL154</f>
      </c>
      <c r="J154" s="3"/>
      <c r="K154" s="23">
        <v>1.669</v>
      </c>
      <c r="L154" s="6">
        <v>0.28364889155182743</v>
      </c>
      <c r="M154" s="6">
        <v>0.7409466746554823</v>
      </c>
      <c r="N154" s="7">
        <v>18.521533852606353</v>
      </c>
      <c r="O154" s="6">
        <v>0.2611983223487118</v>
      </c>
      <c r="P154" s="6">
        <v>4.419442780107849</v>
      </c>
      <c r="Q154" s="7"/>
      <c r="R154" s="6"/>
      <c r="S154" s="6"/>
      <c r="T154" s="6"/>
      <c r="U154" s="5"/>
      <c r="V154" s="6"/>
      <c r="W154" s="6"/>
      <c r="X154" s="6"/>
      <c r="Y154" s="15"/>
      <c r="Z154" s="6"/>
      <c r="AA154" s="6"/>
      <c r="AB154" s="5"/>
      <c r="AC154" s="3"/>
      <c r="AD154" s="6">
        <v>0.0047341</v>
      </c>
      <c r="AE154" s="6">
        <v>0.0123664</v>
      </c>
      <c r="AF154" s="7">
        <v>30.912440000000004</v>
      </c>
      <c r="AG154" s="6">
        <v>0.0043594</v>
      </c>
      <c r="AH154" s="7">
        <v>7.376049999999999</v>
      </c>
      <c r="AI154" s="15">
        <v>0.021459899999999997</v>
      </c>
      <c r="AJ154" s="6">
        <v>1.2857938885560214</v>
      </c>
      <c r="AK154" s="3"/>
      <c r="AL154" s="6">
        <v>231.41233146290497</v>
      </c>
      <c r="AM154" s="6">
        <v>5.377858178310365</v>
      </c>
      <c r="AN154" s="6">
        <v>16.08988673361294</v>
      </c>
      <c r="AO154" s="6">
        <v>11.333272965115722</v>
      </c>
      <c r="AP154" s="6">
        <v>18.138891375674056</v>
      </c>
      <c r="AQ154" s="6">
        <v>180.4724222101919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/>
      <c r="BD154" s="3"/>
      <c r="BE154" s="3"/>
      <c r="BF154" s="7">
        <v>386.2271812115884</v>
      </c>
    </row>
    <row x14ac:dyDescent="0.25" r="155" customHeight="1" ht="12.75">
      <c r="A155" s="5" t="s">
        <v>323</v>
      </c>
      <c r="B155" s="3" t="s">
        <v>855</v>
      </c>
      <c r="C155" s="3" t="s">
        <v>856</v>
      </c>
      <c r="D155" s="3" t="s">
        <v>927</v>
      </c>
      <c r="E155" s="3"/>
      <c r="F155" s="6">
        <f>100*SUM(AM155:AO155)/AL155</f>
      </c>
      <c r="G155" s="6">
        <f>100*SUM(AP155)/AL155</f>
      </c>
      <c r="H155" s="6">
        <f>100*SUM(AQ155)/AL155</f>
      </c>
      <c r="I155" s="6">
        <f>100*SUM(AR155:BC155)/AL155</f>
      </c>
      <c r="J155" s="3"/>
      <c r="K155" s="6">
        <v>57.55</v>
      </c>
      <c r="L155" s="6"/>
      <c r="M155" s="6">
        <v>0.3244761077324067</v>
      </c>
      <c r="N155" s="7">
        <v>3.495655951346655</v>
      </c>
      <c r="O155" s="6">
        <v>0.3585664639443962</v>
      </c>
      <c r="P155" s="6">
        <v>1.4115551694178976</v>
      </c>
      <c r="Q155" s="7"/>
      <c r="R155" s="6"/>
      <c r="S155" s="6"/>
      <c r="T155" s="6"/>
      <c r="U155" s="5"/>
      <c r="V155" s="6"/>
      <c r="W155" s="6"/>
      <c r="X155" s="6"/>
      <c r="Y155" s="15"/>
      <c r="Z155" s="6"/>
      <c r="AA155" s="6"/>
      <c r="AB155" s="5"/>
      <c r="AC155" s="3"/>
      <c r="AD155" s="6">
        <v>0</v>
      </c>
      <c r="AE155" s="6">
        <v>0.18673600000000004</v>
      </c>
      <c r="AF155" s="7">
        <v>201.17499999999998</v>
      </c>
      <c r="AG155" s="6">
        <v>0.206355</v>
      </c>
      <c r="AH155" s="7">
        <v>81.235</v>
      </c>
      <c r="AI155" s="15">
        <v>0.3930910000000001</v>
      </c>
      <c r="AJ155" s="6">
        <v>0.6830425716768029</v>
      </c>
      <c r="AK155" s="3"/>
      <c r="AL155" s="6">
        <v>91.72797831295733</v>
      </c>
      <c r="AM155" s="6">
        <v>0</v>
      </c>
      <c r="AN155" s="6">
        <v>7.046099267002608</v>
      </c>
      <c r="AO155" s="6">
        <v>2.138981760582857</v>
      </c>
      <c r="AP155" s="6">
        <v>24.900612231972197</v>
      </c>
      <c r="AQ155" s="6">
        <v>57.642285053399675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/>
      <c r="BD155" s="3"/>
      <c r="BE155" s="3"/>
      <c r="BF155" s="7">
        <v>5278.945151910694</v>
      </c>
    </row>
    <row x14ac:dyDescent="0.25" r="156" customHeight="1" ht="12.75">
      <c r="A156" s="5" t="s">
        <v>466</v>
      </c>
      <c r="B156" s="3" t="s">
        <v>855</v>
      </c>
      <c r="C156" s="3" t="s">
        <v>856</v>
      </c>
      <c r="D156" s="3" t="s">
        <v>928</v>
      </c>
      <c r="E156" s="3"/>
      <c r="F156" s="6">
        <f>100*SUM(AM156:AO156)/AL156</f>
      </c>
      <c r="G156" s="6">
        <f>100*SUM(AP156)/AL156</f>
      </c>
      <c r="H156" s="6">
        <f>100*SUM(AQ156)/AL156</f>
      </c>
      <c r="I156" s="6">
        <f>100*SUM(AR156:BC156)/AL156</f>
      </c>
      <c r="J156" s="3"/>
      <c r="K156" s="6">
        <v>15.058</v>
      </c>
      <c r="L156" s="6">
        <v>0.03153074777526896</v>
      </c>
      <c r="M156" s="6">
        <v>0.17704741665559834</v>
      </c>
      <c r="N156" s="7">
        <v>9.769620135476158</v>
      </c>
      <c r="O156" s="6">
        <v>0.1978190994820029</v>
      </c>
      <c r="P156" s="6">
        <v>4.53622924691194</v>
      </c>
      <c r="Q156" s="7"/>
      <c r="R156" s="6"/>
      <c r="S156" s="6"/>
      <c r="T156" s="6"/>
      <c r="U156" s="5"/>
      <c r="V156" s="6"/>
      <c r="W156" s="6"/>
      <c r="X156" s="6"/>
      <c r="Y156" s="15"/>
      <c r="Z156" s="6"/>
      <c r="AA156" s="6"/>
      <c r="AB156" s="5"/>
      <c r="AC156" s="3"/>
      <c r="AD156" s="6">
        <v>0.0047479</v>
      </c>
      <c r="AE156" s="6">
        <v>0.026659799999999997</v>
      </c>
      <c r="AF156" s="7">
        <v>147.11094</v>
      </c>
      <c r="AG156" s="6">
        <v>0.029787599999999997</v>
      </c>
      <c r="AH156" s="7">
        <v>68.30654</v>
      </c>
      <c r="AI156" s="15">
        <v>0.061195299999999994</v>
      </c>
      <c r="AJ156" s="6">
        <v>0.40639726391287023</v>
      </c>
      <c r="AK156" s="3"/>
      <c r="AL156" s="6">
        <v>209.3994943826491</v>
      </c>
      <c r="AM156" s="6">
        <v>0.5978091042900783</v>
      </c>
      <c r="AN156" s="6">
        <v>3.844639537375481</v>
      </c>
      <c r="AO156" s="6">
        <v>5.978002288685251</v>
      </c>
      <c r="AP156" s="6">
        <v>13.737527581617744</v>
      </c>
      <c r="AQ156" s="6">
        <v>185.24151587068053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/>
      <c r="BD156" s="3"/>
      <c r="BE156" s="3"/>
      <c r="BF156" s="7">
        <v>3153.13758641393</v>
      </c>
    </row>
    <row x14ac:dyDescent="0.25" r="157" customHeight="1" ht="12.75">
      <c r="A157" s="5" t="s">
        <v>58</v>
      </c>
      <c r="B157" s="3" t="s">
        <v>859</v>
      </c>
      <c r="C157" s="3" t="s">
        <v>856</v>
      </c>
      <c r="D157" s="3" t="s">
        <v>928</v>
      </c>
      <c r="E157" s="3"/>
      <c r="F157" s="6">
        <f>100*SUM(AM157:AO157)/AL157</f>
      </c>
      <c r="G157" s="6">
        <f>100*SUM(AP157)/AL157</f>
      </c>
      <c r="H157" s="6">
        <f>100*SUM(AQ157)/AL157</f>
      </c>
      <c r="I157" s="6">
        <f>100*SUM(AR157:BC157)/AL157</f>
      </c>
      <c r="J157" s="3"/>
      <c r="K157" s="5">
        <v>961</v>
      </c>
      <c r="L157" s="7">
        <v>0.5</v>
      </c>
      <c r="M157" s="7">
        <v>0.4</v>
      </c>
      <c r="N157" s="31">
        <v>52</v>
      </c>
      <c r="O157" s="7"/>
      <c r="P157" s="6"/>
      <c r="Q157" s="7"/>
      <c r="R157" s="6"/>
      <c r="S157" s="6"/>
      <c r="T157" s="6"/>
      <c r="U157" s="5"/>
      <c r="V157" s="6"/>
      <c r="W157" s="6"/>
      <c r="X157" s="6"/>
      <c r="Y157" s="15"/>
      <c r="Z157" s="6"/>
      <c r="AA157" s="6"/>
      <c r="AB157" s="5"/>
      <c r="AC157" s="3"/>
      <c r="AD157" s="6">
        <v>4.805</v>
      </c>
      <c r="AE157" s="6">
        <v>3.8440000000000003</v>
      </c>
      <c r="AF157" s="7">
        <v>49972</v>
      </c>
      <c r="AG157" s="6">
        <v>0</v>
      </c>
      <c r="AH157" s="7">
        <v>0</v>
      </c>
      <c r="AI157" s="15">
        <v>8.649000000000001</v>
      </c>
      <c r="AJ157" s="6">
        <v>0.9</v>
      </c>
      <c r="AK157" s="3"/>
      <c r="AL157" s="6">
        <v>49.98455351768489</v>
      </c>
      <c r="AM157" s="6">
        <v>9.47978</v>
      </c>
      <c r="AN157" s="6">
        <v>8.686124</v>
      </c>
      <c r="AO157" s="6">
        <v>31.81864951768489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/>
      <c r="BD157" s="3"/>
      <c r="BE157" s="3"/>
      <c r="BF157" s="7">
        <v>48035.15593049517</v>
      </c>
    </row>
    <row x14ac:dyDescent="0.25" r="158" customHeight="1" ht="12.75">
      <c r="A158" s="5" t="s">
        <v>532</v>
      </c>
      <c r="B158" s="3" t="s">
        <v>859</v>
      </c>
      <c r="C158" s="3" t="s">
        <v>856</v>
      </c>
      <c r="D158" s="3"/>
      <c r="E158" s="3"/>
      <c r="F158" s="6">
        <f>100*SUM(AM158:AO158)/AL158</f>
      </c>
      <c r="G158" s="6">
        <f>100*SUM(AP158)/AL158</f>
      </c>
      <c r="H158" s="6">
        <f>100*SUM(AQ158)/AL158</f>
      </c>
      <c r="I158" s="6">
        <f>100*SUM(AR158:BC158)/AL158</f>
      </c>
      <c r="J158" s="3"/>
      <c r="K158" s="6">
        <v>11.4</v>
      </c>
      <c r="L158" s="7">
        <v>2.3</v>
      </c>
      <c r="M158" s="7">
        <v>3.3</v>
      </c>
      <c r="N158" s="31"/>
      <c r="O158" s="7"/>
      <c r="P158" s="6"/>
      <c r="Q158" s="7"/>
      <c r="R158" s="6"/>
      <c r="S158" s="6"/>
      <c r="T158" s="6"/>
      <c r="U158" s="5"/>
      <c r="V158" s="6"/>
      <c r="W158" s="6"/>
      <c r="X158" s="6"/>
      <c r="Y158" s="15"/>
      <c r="Z158" s="6"/>
      <c r="AA158" s="6"/>
      <c r="AB158" s="5"/>
      <c r="AC158" s="3"/>
      <c r="AD158" s="6">
        <v>0.2622</v>
      </c>
      <c r="AE158" s="6">
        <v>0.3762</v>
      </c>
      <c r="AF158" s="7">
        <v>0</v>
      </c>
      <c r="AG158" s="6">
        <v>0</v>
      </c>
      <c r="AH158" s="7">
        <v>0</v>
      </c>
      <c r="AI158" s="15">
        <v>0.6384</v>
      </c>
      <c r="AJ158" s="6">
        <v>5.6</v>
      </c>
      <c r="AK158" s="3"/>
      <c r="AL158" s="6">
        <v>115.26751099999998</v>
      </c>
      <c r="AM158" s="6">
        <v>43.606987999999994</v>
      </c>
      <c r="AN158" s="6">
        <v>71.660523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/>
      <c r="BD158" s="3"/>
      <c r="BE158" s="3"/>
      <c r="BF158" s="7">
        <v>1314.0496254</v>
      </c>
    </row>
    <row x14ac:dyDescent="0.25" r="159" customHeight="1" ht="12.75">
      <c r="A159" s="5" t="s">
        <v>74</v>
      </c>
      <c r="B159" s="3" t="s">
        <v>859</v>
      </c>
      <c r="C159" s="3" t="s">
        <v>856</v>
      </c>
      <c r="D159" s="3"/>
      <c r="E159" s="3"/>
      <c r="F159" s="6">
        <f>100*SUM(AM159:AO159)/AL159</f>
      </c>
      <c r="G159" s="6">
        <f>100*SUM(AP159)/AL159</f>
      </c>
      <c r="H159" s="6">
        <f>100*SUM(AQ159)/AL159</f>
      </c>
      <c r="I159" s="6">
        <f>100*SUM(AR159:BC159)/AL159</f>
      </c>
      <c r="J159" s="3"/>
      <c r="K159" s="23">
        <v>0.8264</v>
      </c>
      <c r="L159" s="5">
        <v>5</v>
      </c>
      <c r="M159" s="5">
        <v>5</v>
      </c>
      <c r="N159" s="6">
        <v>668.5</v>
      </c>
      <c r="O159" s="6"/>
      <c r="P159" s="6"/>
      <c r="Q159" s="7"/>
      <c r="R159" s="6"/>
      <c r="S159" s="6"/>
      <c r="T159" s="6"/>
      <c r="U159" s="5"/>
      <c r="V159" s="6"/>
      <c r="W159" s="6"/>
      <c r="X159" s="6"/>
      <c r="Y159" s="15"/>
      <c r="Z159" s="6"/>
      <c r="AA159" s="6"/>
      <c r="AB159" s="5"/>
      <c r="AC159" s="3"/>
      <c r="AD159" s="6">
        <v>0.041319999999999996</v>
      </c>
      <c r="AE159" s="6">
        <v>0.041319999999999996</v>
      </c>
      <c r="AF159" s="7">
        <v>552.4484</v>
      </c>
      <c r="AG159" s="6">
        <v>0</v>
      </c>
      <c r="AH159" s="7">
        <v>0</v>
      </c>
      <c r="AI159" s="15">
        <v>0.08263999999999999</v>
      </c>
      <c r="AJ159" s="6">
        <v>10</v>
      </c>
      <c r="AK159" s="3"/>
      <c r="AL159" s="6">
        <v>612.4275654340836</v>
      </c>
      <c r="AM159" s="6">
        <v>94.7978</v>
      </c>
      <c r="AN159" s="6">
        <v>108.57655</v>
      </c>
      <c r="AO159" s="6">
        <v>409.05321543408365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/>
      <c r="BD159" s="3"/>
      <c r="BE159" s="3"/>
      <c r="BF159" s="7">
        <v>506.1101400747267</v>
      </c>
    </row>
    <row x14ac:dyDescent="0.25" r="160" customHeight="1" ht="12.75">
      <c r="A160" s="5" t="s">
        <v>145</v>
      </c>
      <c r="B160" s="3" t="s">
        <v>859</v>
      </c>
      <c r="C160" s="3" t="s">
        <v>856</v>
      </c>
      <c r="D160" s="3"/>
      <c r="E160" s="3"/>
      <c r="F160" s="6">
        <f>100*SUM(AM160:AO160)/AL160</f>
      </c>
      <c r="G160" s="6">
        <f>100*SUM(AP160)/AL160</f>
      </c>
      <c r="H160" s="6">
        <f>100*SUM(AQ160)/AL160</f>
      </c>
      <c r="I160" s="6">
        <f>100*SUM(AR160:BC160)/AL160</f>
      </c>
      <c r="J160" s="3"/>
      <c r="K160" s="23">
        <v>0.352659</v>
      </c>
      <c r="L160" s="6">
        <v>3.18</v>
      </c>
      <c r="M160" s="6">
        <v>3.47</v>
      </c>
      <c r="N160" s="7">
        <v>606.16</v>
      </c>
      <c r="O160" s="6"/>
      <c r="P160" s="6"/>
      <c r="Q160" s="7"/>
      <c r="R160" s="6"/>
      <c r="S160" s="6"/>
      <c r="T160" s="6"/>
      <c r="U160" s="5"/>
      <c r="V160" s="6"/>
      <c r="W160" s="6"/>
      <c r="X160" s="6"/>
      <c r="Y160" s="15"/>
      <c r="Z160" s="6"/>
      <c r="AA160" s="6"/>
      <c r="AB160" s="5"/>
      <c r="AC160" s="3"/>
      <c r="AD160" s="6">
        <v>0.011214556200000001</v>
      </c>
      <c r="AE160" s="6">
        <v>0.0122372673</v>
      </c>
      <c r="AF160" s="7">
        <v>213.76777944</v>
      </c>
      <c r="AG160" s="6">
        <v>0</v>
      </c>
      <c r="AH160" s="7">
        <v>0</v>
      </c>
      <c r="AI160" s="15">
        <v>0.023451823500000003</v>
      </c>
      <c r="AJ160" s="6">
        <v>6.65</v>
      </c>
      <c r="AK160" s="3"/>
      <c r="AL160" s="6">
        <v>506.55107633922836</v>
      </c>
      <c r="AM160" s="6">
        <v>60.2914008</v>
      </c>
      <c r="AN160" s="6">
        <v>75.3521257</v>
      </c>
      <c r="AO160" s="6">
        <v>370.90754983922835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/>
      <c r="BD160" s="3"/>
      <c r="BE160" s="3"/>
      <c r="BF160" s="7">
        <v>178.63979603071593</v>
      </c>
    </row>
    <row x14ac:dyDescent="0.25" r="161" customHeight="1" ht="12.75">
      <c r="A161" s="5" t="s">
        <v>103</v>
      </c>
      <c r="B161" s="3" t="s">
        <v>859</v>
      </c>
      <c r="C161" s="3" t="s">
        <v>856</v>
      </c>
      <c r="D161" s="3"/>
      <c r="E161" s="3"/>
      <c r="F161" s="6">
        <f>100*SUM(AM161:AO161)/AL161</f>
      </c>
      <c r="G161" s="6">
        <f>100*SUM(AP161)/AL161</f>
      </c>
      <c r="H161" s="6">
        <f>100*SUM(AQ161)/AL161</f>
      </c>
      <c r="I161" s="6">
        <f>100*SUM(AR161:BC161)/AL161</f>
      </c>
      <c r="J161" s="3"/>
      <c r="K161" s="23">
        <v>0.120639</v>
      </c>
      <c r="L161" s="6">
        <v>3.5342738252140684</v>
      </c>
      <c r="M161" s="6">
        <v>13.616475020515754</v>
      </c>
      <c r="N161" s="31">
        <v>325.931189333466</v>
      </c>
      <c r="O161" s="6"/>
      <c r="P161" s="6"/>
      <c r="Q161" s="7"/>
      <c r="R161" s="6"/>
      <c r="S161" s="6"/>
      <c r="T161" s="6"/>
      <c r="U161" s="5"/>
      <c r="V161" s="6"/>
      <c r="W161" s="6"/>
      <c r="X161" s="6"/>
      <c r="Y161" s="15"/>
      <c r="Z161" s="6"/>
      <c r="AA161" s="6"/>
      <c r="AB161" s="5"/>
      <c r="AC161" s="3"/>
      <c r="AD161" s="6">
        <v>0.0042637126</v>
      </c>
      <c r="AE161" s="6">
        <v>0.0164267793</v>
      </c>
      <c r="AF161" s="7">
        <v>39.320012750000004</v>
      </c>
      <c r="AG161" s="6">
        <v>0</v>
      </c>
      <c r="AH161" s="7">
        <v>0</v>
      </c>
      <c r="AI161" s="15">
        <v>0.0206904919</v>
      </c>
      <c r="AJ161" s="6">
        <v>17.150748845729822</v>
      </c>
      <c r="AK161" s="3"/>
      <c r="AL161" s="6">
        <v>562.1306043672498</v>
      </c>
      <c r="AM161" s="6">
        <v>67.00827664557563</v>
      </c>
      <c r="AN161" s="6">
        <v>295.68597617775595</v>
      </c>
      <c r="AO161" s="6">
        <v>199.4363515439183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/>
      <c r="BD161" s="3"/>
      <c r="BE161" s="3"/>
      <c r="BF161" s="7">
        <v>67.81487398026064</v>
      </c>
    </row>
    <row x14ac:dyDescent="0.25" r="162" customHeight="1" ht="12.75">
      <c r="A162" s="5" t="s">
        <v>253</v>
      </c>
      <c r="B162" s="3" t="s">
        <v>859</v>
      </c>
      <c r="C162" s="3" t="s">
        <v>856</v>
      </c>
      <c r="D162" s="3" t="s">
        <v>931</v>
      </c>
      <c r="E162" s="3"/>
      <c r="F162" s="6">
        <f>100*SUM(AM162:AO162)/AL162</f>
      </c>
      <c r="G162" s="6">
        <f>100*SUM(AP162)/AL162</f>
      </c>
      <c r="H162" s="6">
        <f>100*SUM(AQ162)/AL162</f>
      </c>
      <c r="I162" s="6">
        <f>100*SUM(AR162:BC162)/AL162</f>
      </c>
      <c r="J162" s="3"/>
      <c r="K162" s="23">
        <v>0.196</v>
      </c>
      <c r="L162" s="7">
        <v>2.31</v>
      </c>
      <c r="M162" s="7">
        <v>4.69</v>
      </c>
      <c r="N162" s="5">
        <v>411</v>
      </c>
      <c r="O162" s="6"/>
      <c r="P162" s="6"/>
      <c r="Q162" s="7"/>
      <c r="R162" s="6"/>
      <c r="S162" s="6"/>
      <c r="T162" s="6"/>
      <c r="U162" s="5"/>
      <c r="V162" s="6"/>
      <c r="W162" s="6"/>
      <c r="X162" s="6"/>
      <c r="Y162" s="15"/>
      <c r="Z162" s="6"/>
      <c r="AA162" s="6"/>
      <c r="AB162" s="5"/>
      <c r="AC162" s="3"/>
      <c r="AD162" s="6">
        <v>0.0045276000000000005</v>
      </c>
      <c r="AE162" s="6">
        <v>0.0091924</v>
      </c>
      <c r="AF162" s="7">
        <v>80.556</v>
      </c>
      <c r="AG162" s="6">
        <v>0</v>
      </c>
      <c r="AH162" s="7">
        <v>0</v>
      </c>
      <c r="AI162" s="15">
        <v>0.01372</v>
      </c>
      <c r="AJ162" s="6">
        <v>7</v>
      </c>
      <c r="AK162" s="3"/>
      <c r="AL162" s="6">
        <v>397.1310981109325</v>
      </c>
      <c r="AM162" s="6">
        <v>43.7965836</v>
      </c>
      <c r="AN162" s="6">
        <v>101.8448039</v>
      </c>
      <c r="AO162" s="6">
        <v>251.48971061093252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/>
      <c r="BD162" s="3"/>
      <c r="BE162" s="3"/>
      <c r="BF162" s="7">
        <v>77.83769522974278</v>
      </c>
    </row>
    <row x14ac:dyDescent="0.25" r="163" customHeight="1" ht="12.75">
      <c r="A163" s="5" t="s">
        <v>835</v>
      </c>
      <c r="B163" s="3" t="s">
        <v>859</v>
      </c>
      <c r="C163" s="3" t="s">
        <v>856</v>
      </c>
      <c r="D163" s="3"/>
      <c r="E163" s="3"/>
      <c r="F163" s="6">
        <f>100*SUM(AM163:AO163)/AL163</f>
      </c>
      <c r="G163" s="6">
        <f>100*SUM(AP163)/AL163</f>
      </c>
      <c r="H163" s="6">
        <f>100*SUM(AQ163)/AL163</f>
      </c>
      <c r="I163" s="6">
        <f>100*SUM(AR163:BC163)/AL163</f>
      </c>
      <c r="J163" s="3"/>
      <c r="K163" s="23">
        <v>0.068136</v>
      </c>
      <c r="L163" s="6">
        <v>1.7041223435481976</v>
      </c>
      <c r="M163" s="6">
        <v>0.9150459375366914</v>
      </c>
      <c r="N163" s="6">
        <v>7.353974110602325</v>
      </c>
      <c r="O163" s="6"/>
      <c r="P163" s="6"/>
      <c r="Q163" s="7"/>
      <c r="R163" s="6"/>
      <c r="S163" s="6"/>
      <c r="T163" s="6"/>
      <c r="U163" s="5"/>
      <c r="V163" s="6"/>
      <c r="W163" s="6"/>
      <c r="X163" s="6"/>
      <c r="Y163" s="15"/>
      <c r="Z163" s="6"/>
      <c r="AA163" s="6"/>
      <c r="AB163" s="5"/>
      <c r="AC163" s="3"/>
      <c r="AD163" s="6">
        <v>0.0011611208</v>
      </c>
      <c r="AE163" s="6">
        <v>0.0006234757000000001</v>
      </c>
      <c r="AF163" s="7">
        <v>0.50107038</v>
      </c>
      <c r="AG163" s="6">
        <v>0</v>
      </c>
      <c r="AH163" s="7">
        <v>0</v>
      </c>
      <c r="AI163" s="15">
        <v>0.0017845965</v>
      </c>
      <c r="AJ163" s="6">
        <v>2.619168281084889</v>
      </c>
      <c r="AK163" s="3"/>
      <c r="AL163" s="6">
        <v>56.67979149437301</v>
      </c>
      <c r="AM163" s="6">
        <v>32.309409819842664</v>
      </c>
      <c r="AN163" s="6">
        <v>19.870506197849892</v>
      </c>
      <c r="AO163" s="6">
        <v>4.499875476680459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/>
      <c r="BD163" s="3"/>
      <c r="BE163" s="3"/>
      <c r="BF163" s="7">
        <v>3.8619342732605997</v>
      </c>
    </row>
    <row x14ac:dyDescent="0.25" r="164" customHeight="1" ht="12.75">
      <c r="A164" s="5" t="s">
        <v>5</v>
      </c>
      <c r="B164" s="3" t="s">
        <v>859</v>
      </c>
      <c r="C164" s="3" t="s">
        <v>856</v>
      </c>
      <c r="D164" s="3"/>
      <c r="E164" s="3"/>
      <c r="F164" s="6">
        <f>100*SUM(AM164:AO164)/AL164</f>
      </c>
      <c r="G164" s="6">
        <f>100*SUM(AP164)/AL164</f>
      </c>
      <c r="H164" s="6">
        <f>100*SUM(AQ164)/AL164</f>
      </c>
      <c r="I164" s="6">
        <f>100*SUM(AR164:BC164)/AL164</f>
      </c>
      <c r="J164" s="3"/>
      <c r="K164" s="23">
        <v>0.036287</v>
      </c>
      <c r="L164" s="6">
        <v>14.95</v>
      </c>
      <c r="M164" s="6">
        <v>20.78</v>
      </c>
      <c r="N164" s="6">
        <v>427.2</v>
      </c>
      <c r="O164" s="6"/>
      <c r="P164" s="6"/>
      <c r="Q164" s="7"/>
      <c r="R164" s="6"/>
      <c r="S164" s="6"/>
      <c r="T164" s="6"/>
      <c r="U164" s="5"/>
      <c r="V164" s="6"/>
      <c r="W164" s="6"/>
      <c r="X164" s="6"/>
      <c r="Y164" s="15"/>
      <c r="Z164" s="6"/>
      <c r="AA164" s="6"/>
      <c r="AB164" s="5"/>
      <c r="AC164" s="3"/>
      <c r="AD164" s="6">
        <v>0.0054249065</v>
      </c>
      <c r="AE164" s="6">
        <v>0.0075404386</v>
      </c>
      <c r="AF164" s="7">
        <v>15.5018064</v>
      </c>
      <c r="AG164" s="6">
        <v>0</v>
      </c>
      <c r="AH164" s="7">
        <v>0</v>
      </c>
      <c r="AI164" s="15">
        <v>0.012965345100000001</v>
      </c>
      <c r="AJ164" s="6">
        <v>35.730000000000004</v>
      </c>
      <c r="AK164" s="3"/>
      <c r="AL164" s="6">
        <v>996.0920075299035</v>
      </c>
      <c r="AM164" s="6">
        <v>283.44542199999995</v>
      </c>
      <c r="AN164" s="6">
        <v>451.2441418</v>
      </c>
      <c r="AO164" s="6">
        <v>261.40244372990355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/>
      <c r="BD164" s="3"/>
      <c r="BE164" s="3"/>
      <c r="BF164" s="7">
        <v>36.14519067723761</v>
      </c>
    </row>
    <row x14ac:dyDescent="0.25" r="165" customHeight="1" ht="12.75">
      <c r="A165" s="5" t="s">
        <v>180</v>
      </c>
      <c r="B165" s="3" t="s">
        <v>859</v>
      </c>
      <c r="C165" s="3" t="s">
        <v>856</v>
      </c>
      <c r="D165" s="3"/>
      <c r="E165" s="3"/>
      <c r="F165" s="6">
        <f>100*SUM(AM165:AO165)/AL165</f>
      </c>
      <c r="G165" s="6">
        <f>100*SUM(AP165)/AL165</f>
      </c>
      <c r="H165" s="6">
        <f>100*SUM(AQ165)/AL165</f>
      </c>
      <c r="I165" s="6">
        <f>100*SUM(AR165:BC165)/AL165</f>
      </c>
      <c r="J165" s="3"/>
      <c r="K165" s="23">
        <v>0.113638</v>
      </c>
      <c r="L165" s="5">
        <v>5</v>
      </c>
      <c r="M165" s="7"/>
      <c r="N165" s="5">
        <v>600</v>
      </c>
      <c r="O165" s="6"/>
      <c r="P165" s="6"/>
      <c r="Q165" s="7"/>
      <c r="R165" s="6"/>
      <c r="S165" s="6"/>
      <c r="T165" s="6"/>
      <c r="U165" s="5"/>
      <c r="V165" s="6"/>
      <c r="W165" s="6"/>
      <c r="X165" s="6"/>
      <c r="Y165" s="15"/>
      <c r="Z165" s="6"/>
      <c r="AA165" s="6"/>
      <c r="AB165" s="5"/>
      <c r="AC165" s="3"/>
      <c r="AD165" s="6">
        <v>0.0056819</v>
      </c>
      <c r="AE165" s="6">
        <v>0</v>
      </c>
      <c r="AF165" s="7">
        <v>68.1828</v>
      </c>
      <c r="AG165" s="6">
        <v>0</v>
      </c>
      <c r="AH165" s="7">
        <v>0</v>
      </c>
      <c r="AI165" s="15">
        <v>0.0056819</v>
      </c>
      <c r="AJ165" s="6">
        <v>5</v>
      </c>
      <c r="AK165" s="3"/>
      <c r="AL165" s="6">
        <v>461.9360636655949</v>
      </c>
      <c r="AM165" s="6">
        <v>94.7978</v>
      </c>
      <c r="AN165" s="6">
        <v>0</v>
      </c>
      <c r="AO165" s="6">
        <v>367.1382636655949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/>
      <c r="BD165" s="3"/>
      <c r="BE165" s="3"/>
      <c r="BF165" s="7">
        <v>52.49349040283087</v>
      </c>
    </row>
    <row x14ac:dyDescent="0.25" r="166" customHeight="1" ht="12.75">
      <c r="A166" s="5" t="s">
        <v>555</v>
      </c>
      <c r="B166" s="3" t="s">
        <v>859</v>
      </c>
      <c r="C166" s="3" t="s">
        <v>856</v>
      </c>
      <c r="D166" s="3"/>
      <c r="E166" s="3"/>
      <c r="F166" s="6">
        <f>100*SUM(AM166:AO166)/AL166</f>
      </c>
      <c r="G166" s="6">
        <f>100*SUM(AP166)/AL166</f>
      </c>
      <c r="H166" s="6">
        <f>100*SUM(AQ166)/AL166</f>
      </c>
      <c r="I166" s="6">
        <f>100*SUM(AR166:BC166)/AL166</f>
      </c>
      <c r="J166" s="3"/>
      <c r="K166" s="23">
        <v>0.070488</v>
      </c>
      <c r="L166" s="6">
        <v>2.1</v>
      </c>
      <c r="M166" s="6"/>
      <c r="N166" s="6">
        <v>342.8</v>
      </c>
      <c r="O166" s="6"/>
      <c r="P166" s="6"/>
      <c r="Q166" s="7"/>
      <c r="R166" s="6"/>
      <c r="S166" s="6"/>
      <c r="T166" s="6"/>
      <c r="U166" s="5"/>
      <c r="V166" s="6"/>
      <c r="W166" s="6"/>
      <c r="X166" s="6"/>
      <c r="Y166" s="15"/>
      <c r="Z166" s="6"/>
      <c r="AA166" s="6"/>
      <c r="AB166" s="5"/>
      <c r="AC166" s="3"/>
      <c r="AD166" s="6">
        <v>0.0014802479999999998</v>
      </c>
      <c r="AE166" s="6">
        <v>0</v>
      </c>
      <c r="AF166" s="7">
        <v>24.1632864</v>
      </c>
      <c r="AG166" s="6">
        <v>0</v>
      </c>
      <c r="AH166" s="7">
        <v>0</v>
      </c>
      <c r="AI166" s="15">
        <v>0.0014802479999999998</v>
      </c>
      <c r="AJ166" s="6">
        <v>2.1</v>
      </c>
      <c r="AK166" s="3"/>
      <c r="AL166" s="6">
        <v>249.57340397427657</v>
      </c>
      <c r="AM166" s="6">
        <v>39.815076</v>
      </c>
      <c r="AN166" s="6">
        <v>0</v>
      </c>
      <c r="AO166" s="6">
        <v>209.75832797427657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/>
      <c r="BD166" s="3"/>
      <c r="BE166" s="3"/>
      <c r="BF166" s="7">
        <v>17.591930099338807</v>
      </c>
    </row>
    <row x14ac:dyDescent="0.25" r="167" customHeight="1" ht="12.75">
      <c r="A167" s="5" t="s">
        <v>313</v>
      </c>
      <c r="B167" s="3" t="s">
        <v>859</v>
      </c>
      <c r="C167" s="3" t="s">
        <v>856</v>
      </c>
      <c r="D167" s="3"/>
      <c r="E167" s="3"/>
      <c r="F167" s="6">
        <f>100*SUM(AM167:AO167)/AL167</f>
      </c>
      <c r="G167" s="6">
        <f>100*SUM(AP167)/AL167</f>
      </c>
      <c r="H167" s="6">
        <f>100*SUM(AQ167)/AL167</f>
      </c>
      <c r="I167" s="6">
        <f>100*SUM(AR167:BC167)/AL167</f>
      </c>
      <c r="J167" s="3"/>
      <c r="K167" s="23">
        <v>0.273944</v>
      </c>
      <c r="L167" s="6">
        <v>5.4</v>
      </c>
      <c r="M167" s="7">
        <v>4.8</v>
      </c>
      <c r="N167" s="6">
        <v>233.1</v>
      </c>
      <c r="O167" s="6"/>
      <c r="P167" s="6"/>
      <c r="Q167" s="7"/>
      <c r="R167" s="6"/>
      <c r="S167" s="6"/>
      <c r="T167" s="6"/>
      <c r="U167" s="5"/>
      <c r="V167" s="6"/>
      <c r="W167" s="6"/>
      <c r="X167" s="6"/>
      <c r="Y167" s="15"/>
      <c r="Z167" s="6"/>
      <c r="AA167" s="6"/>
      <c r="AB167" s="5"/>
      <c r="AC167" s="3"/>
      <c r="AD167" s="6">
        <v>0.014792976000000003</v>
      </c>
      <c r="AE167" s="6">
        <v>0.013149312</v>
      </c>
      <c r="AF167" s="7">
        <v>63.85634640000001</v>
      </c>
      <c r="AG167" s="6">
        <v>0</v>
      </c>
      <c r="AH167" s="7">
        <v>0</v>
      </c>
      <c r="AI167" s="15">
        <v>0.027942288000000003</v>
      </c>
      <c r="AJ167" s="6">
        <v>10.2</v>
      </c>
      <c r="AK167" s="3"/>
      <c r="AL167" s="6">
        <v>349.24832743408365</v>
      </c>
      <c r="AM167" s="6">
        <v>102.381624</v>
      </c>
      <c r="AN167" s="6">
        <v>104.233488</v>
      </c>
      <c r="AO167" s="6">
        <v>142.6332154340836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/>
      <c r="BD167" s="3"/>
      <c r="BE167" s="3"/>
      <c r="BF167" s="7">
        <v>95.67448381060262</v>
      </c>
    </row>
    <row x14ac:dyDescent="0.25" r="168" customHeight="1" ht="12.75">
      <c r="A168" s="5" t="s">
        <v>538</v>
      </c>
      <c r="B168" s="3" t="s">
        <v>859</v>
      </c>
      <c r="C168" s="3" t="s">
        <v>856</v>
      </c>
      <c r="D168" s="3"/>
      <c r="E168" s="3"/>
      <c r="F168" s="6">
        <f>100*SUM(AM168:AO168)/AL168</f>
      </c>
      <c r="G168" s="6">
        <f>100*SUM(AP168)/AL168</f>
      </c>
      <c r="H168" s="6">
        <f>100*SUM(AQ168)/AL168</f>
      </c>
      <c r="I168" s="6">
        <f>100*SUM(AR168:BC168)/AL168</f>
      </c>
      <c r="J168" s="3"/>
      <c r="K168" s="23">
        <v>0.20095</v>
      </c>
      <c r="L168" s="6">
        <v>3.18</v>
      </c>
      <c r="M168" s="6">
        <v>4.01</v>
      </c>
      <c r="N168" s="6">
        <v>91.89</v>
      </c>
      <c r="O168" s="6"/>
      <c r="P168" s="6"/>
      <c r="Q168" s="7"/>
      <c r="R168" s="6"/>
      <c r="S168" s="6"/>
      <c r="T168" s="6"/>
      <c r="U168" s="5"/>
      <c r="V168" s="6"/>
      <c r="W168" s="6"/>
      <c r="X168" s="6"/>
      <c r="Y168" s="15"/>
      <c r="Z168" s="6"/>
      <c r="AA168" s="6"/>
      <c r="AB168" s="5"/>
      <c r="AC168" s="3"/>
      <c r="AD168" s="6">
        <v>0.0063902099999999995</v>
      </c>
      <c r="AE168" s="6">
        <v>0.008058095</v>
      </c>
      <c r="AF168" s="7">
        <v>18.4652955</v>
      </c>
      <c r="AG168" s="6">
        <v>0</v>
      </c>
      <c r="AH168" s="7">
        <v>0</v>
      </c>
      <c r="AI168" s="15">
        <v>0.014448304999999998</v>
      </c>
      <c r="AJ168" s="6">
        <v>7.1899999999999995</v>
      </c>
      <c r="AK168" s="3"/>
      <c r="AL168" s="6">
        <v>203.59701898038585</v>
      </c>
      <c r="AM168" s="6">
        <v>60.2914008</v>
      </c>
      <c r="AN168" s="6">
        <v>87.07839309999999</v>
      </c>
      <c r="AO168" s="6">
        <v>56.227225080385864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/>
      <c r="BD168" s="3"/>
      <c r="BE168" s="3"/>
      <c r="BF168" s="7">
        <v>40.91282096410853</v>
      </c>
    </row>
    <row x14ac:dyDescent="0.25" r="169" customHeight="1" ht="12.75">
      <c r="A169" s="5" t="s">
        <v>81</v>
      </c>
      <c r="B169" s="3" t="s">
        <v>859</v>
      </c>
      <c r="C169" s="3" t="s">
        <v>856</v>
      </c>
      <c r="D169" s="3"/>
      <c r="E169" s="3"/>
      <c r="F169" s="6">
        <f>100*SUM(AM169:AO169)/AL169</f>
      </c>
      <c r="G169" s="6">
        <f>100*SUM(AP169)/AL169</f>
      </c>
      <c r="H169" s="6">
        <f>100*SUM(AQ169)/AL169</f>
      </c>
      <c r="I169" s="6">
        <f>100*SUM(AR169:BC169)/AL169</f>
      </c>
      <c r="J169" s="3"/>
      <c r="K169" s="23">
        <v>0.160331</v>
      </c>
      <c r="L169" s="6">
        <v>7.11</v>
      </c>
      <c r="M169" s="6">
        <v>8.12</v>
      </c>
      <c r="N169" s="6">
        <v>428.5</v>
      </c>
      <c r="O169" s="6"/>
      <c r="P169" s="6">
        <v>0.34</v>
      </c>
      <c r="Q169" s="7"/>
      <c r="R169" s="6"/>
      <c r="S169" s="6"/>
      <c r="T169" s="6"/>
      <c r="U169" s="5"/>
      <c r="V169" s="6"/>
      <c r="W169" s="6"/>
      <c r="X169" s="6"/>
      <c r="Y169" s="15"/>
      <c r="Z169" s="6"/>
      <c r="AA169" s="6"/>
      <c r="AB169" s="5"/>
      <c r="AC169" s="3"/>
      <c r="AD169" s="6">
        <v>0.011399534100000002</v>
      </c>
      <c r="AE169" s="6">
        <v>0.013018877199999999</v>
      </c>
      <c r="AF169" s="7">
        <v>68.7018335</v>
      </c>
      <c r="AG169" s="6">
        <v>0</v>
      </c>
      <c r="AH169" s="7">
        <v>0.054512540000000005</v>
      </c>
      <c r="AI169" s="15">
        <v>0.0244184113</v>
      </c>
      <c r="AJ169" s="6">
        <v>15.23</v>
      </c>
      <c r="AK169" s="3"/>
      <c r="AL169" s="6">
        <v>587.212943140836</v>
      </c>
      <c r="AM169" s="6">
        <v>134.8024716</v>
      </c>
      <c r="AN169" s="6">
        <v>176.3283172</v>
      </c>
      <c r="AO169" s="6">
        <v>262.1979099678457</v>
      </c>
      <c r="AP169" s="6">
        <v>0</v>
      </c>
      <c r="AQ169" s="6">
        <v>13.884244372990356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/>
      <c r="BD169" s="3"/>
      <c r="BE169" s="3"/>
      <c r="BF169" s="7">
        <v>94.14843838671338</v>
      </c>
    </row>
    <row x14ac:dyDescent="0.25" r="170" customHeight="1" ht="12.75">
      <c r="A170" s="5" t="s">
        <v>6</v>
      </c>
      <c r="B170" s="3" t="s">
        <v>859</v>
      </c>
      <c r="C170" s="3" t="s">
        <v>856</v>
      </c>
      <c r="D170" s="3"/>
      <c r="E170" s="3"/>
      <c r="F170" s="6">
        <f>100*SUM(AM170:AO170)/AL170</f>
      </c>
      <c r="G170" s="6">
        <f>100*SUM(AP170)/AL170</f>
      </c>
      <c r="H170" s="6">
        <f>100*SUM(AQ170)/AL170</f>
      </c>
      <c r="I170" s="6">
        <f>100*SUM(AR170:BC170)/AL170</f>
      </c>
      <c r="J170" s="3"/>
      <c r="K170" s="6">
        <v>0.02</v>
      </c>
      <c r="L170" s="6">
        <v>4.4</v>
      </c>
      <c r="M170" s="6">
        <v>2.2</v>
      </c>
      <c r="N170" s="5">
        <v>2948.4</v>
      </c>
      <c r="O170" s="6"/>
      <c r="P170" s="6">
        <v>1.19</v>
      </c>
      <c r="Q170" s="7"/>
      <c r="R170" s="6"/>
      <c r="S170" s="6"/>
      <c r="T170" s="6"/>
      <c r="U170" s="5"/>
      <c r="V170" s="6"/>
      <c r="W170" s="6"/>
      <c r="X170" s="6"/>
      <c r="Y170" s="15"/>
      <c r="Z170" s="6"/>
      <c r="AA170" s="6"/>
      <c r="AB170" s="5"/>
      <c r="AC170" s="3"/>
      <c r="AD170" s="6">
        <v>0.0008800000000000001</v>
      </c>
      <c r="AE170" s="6">
        <v>0.00044000000000000007</v>
      </c>
      <c r="AF170" s="7">
        <v>58.968</v>
      </c>
      <c r="AG170" s="6">
        <v>0</v>
      </c>
      <c r="AH170" s="7">
        <v>0.023799999999999998</v>
      </c>
      <c r="AI170" s="15">
        <v>0.0013200000000000002</v>
      </c>
      <c r="AJ170" s="6">
        <v>6.6000000000000005</v>
      </c>
      <c r="AK170" s="3"/>
      <c r="AL170" s="6">
        <v>1983.9080289581998</v>
      </c>
      <c r="AM170" s="6">
        <v>83.422064</v>
      </c>
      <c r="AN170" s="6">
        <v>47.773682</v>
      </c>
      <c r="AO170" s="6">
        <v>1804.1174276527333</v>
      </c>
      <c r="AP170" s="6">
        <v>0</v>
      </c>
      <c r="AQ170" s="6">
        <v>48.59485530546624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/>
      <c r="BD170" s="3"/>
      <c r="BE170" s="3"/>
      <c r="BF170" s="7">
        <v>39.67816057916399</v>
      </c>
    </row>
    <row x14ac:dyDescent="0.25" r="171" customHeight="1" ht="12.75">
      <c r="A171" s="5" t="s">
        <v>117</v>
      </c>
      <c r="B171" s="3" t="s">
        <v>859</v>
      </c>
      <c r="C171" s="3" t="s">
        <v>856</v>
      </c>
      <c r="D171" s="3"/>
      <c r="E171" s="3"/>
      <c r="F171" s="6">
        <f>100*SUM(AM171:AO171)/AL171</f>
      </c>
      <c r="G171" s="6">
        <f>100*SUM(AP171)/AL171</f>
      </c>
      <c r="H171" s="6">
        <f>100*SUM(AQ171)/AL171</f>
      </c>
      <c r="I171" s="6">
        <f>100*SUM(AR171:BC171)/AL171</f>
      </c>
      <c r="J171" s="3"/>
      <c r="K171" s="23">
        <v>0.043355</v>
      </c>
      <c r="L171" s="5">
        <v>6</v>
      </c>
      <c r="M171" s="5">
        <v>10</v>
      </c>
      <c r="N171" s="5"/>
      <c r="O171" s="6">
        <v>0.11998</v>
      </c>
      <c r="P171" s="6"/>
      <c r="Q171" s="7"/>
      <c r="R171" s="6"/>
      <c r="S171" s="6"/>
      <c r="T171" s="6"/>
      <c r="U171" s="5"/>
      <c r="V171" s="6"/>
      <c r="W171" s="6"/>
      <c r="X171" s="6"/>
      <c r="Y171" s="15"/>
      <c r="Z171" s="6"/>
      <c r="AA171" s="6"/>
      <c r="AB171" s="5"/>
      <c r="AC171" s="3"/>
      <c r="AD171" s="6">
        <v>0.0026012999999999995</v>
      </c>
      <c r="AE171" s="6">
        <v>0.0043355</v>
      </c>
      <c r="AF171" s="7">
        <v>0</v>
      </c>
      <c r="AG171" s="6">
        <v>0.000052017328999999993</v>
      </c>
      <c r="AH171" s="7">
        <v>0</v>
      </c>
      <c r="AI171" s="15">
        <v>0.006988817329</v>
      </c>
      <c r="AJ171" s="6">
        <v>16.11998</v>
      </c>
      <c r="AK171" s="3"/>
      <c r="AL171" s="6">
        <v>339.242459102</v>
      </c>
      <c r="AM171" s="6">
        <v>113.75735999999999</v>
      </c>
      <c r="AN171" s="6">
        <v>217.1531</v>
      </c>
      <c r="AO171" s="6">
        <v>0</v>
      </c>
      <c r="AP171" s="6">
        <v>8.331999102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/>
      <c r="BD171" s="3"/>
      <c r="BE171" s="3"/>
      <c r="BF171" s="7">
        <v>14.70785681436721</v>
      </c>
    </row>
    <row x14ac:dyDescent="0.25" r="172" customHeight="1" ht="12.75">
      <c r="A172" s="5" t="s">
        <v>711</v>
      </c>
      <c r="B172" s="3" t="s">
        <v>859</v>
      </c>
      <c r="C172" s="3" t="s">
        <v>856</v>
      </c>
      <c r="D172" s="3" t="s">
        <v>952</v>
      </c>
      <c r="E172" s="3"/>
      <c r="F172" s="6">
        <f>100*SUM(AM172:AO172)/AL172</f>
      </c>
      <c r="G172" s="6">
        <f>100*SUM(AP172)/AL172</f>
      </c>
      <c r="H172" s="6">
        <f>100*SUM(AQ172)/AL172</f>
      </c>
      <c r="I172" s="6">
        <f>100*SUM(AR172:BC172)/AL172</f>
      </c>
      <c r="J172" s="3"/>
      <c r="K172" s="7">
        <v>2</v>
      </c>
      <c r="L172" s="6">
        <v>2.2</v>
      </c>
      <c r="M172" s="6">
        <v>2.3</v>
      </c>
      <c r="N172" s="5">
        <v>137</v>
      </c>
      <c r="O172" s="6"/>
      <c r="P172" s="6">
        <v>0.2</v>
      </c>
      <c r="Q172" s="7"/>
      <c r="R172" s="6"/>
      <c r="S172" s="6"/>
      <c r="T172" s="6"/>
      <c r="U172" s="5"/>
      <c r="V172" s="6"/>
      <c r="W172" s="6"/>
      <c r="X172" s="6"/>
      <c r="Y172" s="15"/>
      <c r="Z172" s="6"/>
      <c r="AA172" s="6"/>
      <c r="AB172" s="5"/>
      <c r="AC172" s="3"/>
      <c r="AD172" s="6">
        <v>0.044000000000000004</v>
      </c>
      <c r="AE172" s="6">
        <v>0.046</v>
      </c>
      <c r="AF172" s="7">
        <v>274</v>
      </c>
      <c r="AG172" s="6">
        <v>0</v>
      </c>
      <c r="AH172" s="7">
        <v>0.4</v>
      </c>
      <c r="AI172" s="15">
        <v>0.09</v>
      </c>
      <c r="AJ172" s="6">
        <v>4.5</v>
      </c>
      <c r="AK172" s="3"/>
      <c r="AL172" s="6">
        <v>183.65335110932477</v>
      </c>
      <c r="AM172" s="6">
        <v>41.711032</v>
      </c>
      <c r="AN172" s="6">
        <v>49.945212999999995</v>
      </c>
      <c r="AO172" s="6">
        <v>83.8299035369775</v>
      </c>
      <c r="AP172" s="6">
        <v>0</v>
      </c>
      <c r="AQ172" s="6">
        <v>8.167202572347268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/>
      <c r="BD172" s="3"/>
      <c r="BE172" s="3"/>
      <c r="BF172" s="7">
        <v>367.30670221864955</v>
      </c>
    </row>
    <row x14ac:dyDescent="0.25" r="173" customHeight="1" ht="12.75">
      <c r="A173" s="5" t="s">
        <v>221</v>
      </c>
      <c r="B173" s="3" t="s">
        <v>859</v>
      </c>
      <c r="C173" s="3" t="s">
        <v>856</v>
      </c>
      <c r="D173" s="3"/>
      <c r="E173" s="3"/>
      <c r="F173" s="6">
        <f>100*SUM(AM173:AO173)/AL173</f>
      </c>
      <c r="G173" s="6">
        <f>100*SUM(AP173)/AL173</f>
      </c>
      <c r="H173" s="6">
        <f>100*SUM(AQ173)/AL173</f>
      </c>
      <c r="I173" s="6">
        <f>100*SUM(AR173:BC173)/AL173</f>
      </c>
      <c r="J173" s="3"/>
      <c r="K173" s="23">
        <v>0.21682200000000001</v>
      </c>
      <c r="L173" s="6">
        <v>2.85</v>
      </c>
      <c r="M173" s="6">
        <v>4.63</v>
      </c>
      <c r="N173" s="6">
        <v>411.3</v>
      </c>
      <c r="O173" s="6"/>
      <c r="P173" s="6">
        <v>0.47</v>
      </c>
      <c r="Q173" s="7"/>
      <c r="R173" s="6"/>
      <c r="S173" s="6"/>
      <c r="T173" s="6"/>
      <c r="U173" s="5"/>
      <c r="V173" s="6"/>
      <c r="W173" s="6"/>
      <c r="X173" s="6"/>
      <c r="Y173" s="15"/>
      <c r="Z173" s="6"/>
      <c r="AA173" s="6"/>
      <c r="AB173" s="5"/>
      <c r="AC173" s="3"/>
      <c r="AD173" s="6">
        <v>0.006179427</v>
      </c>
      <c r="AE173" s="6">
        <v>0.0100388586</v>
      </c>
      <c r="AF173" s="7">
        <v>89.17888860000001</v>
      </c>
      <c r="AG173" s="6">
        <v>0</v>
      </c>
      <c r="AH173" s="7">
        <v>0.10190634</v>
      </c>
      <c r="AI173" s="15">
        <v>0.0162182856</v>
      </c>
      <c r="AJ173" s="6">
        <v>7.48</v>
      </c>
      <c r="AK173" s="3"/>
      <c r="AL173" s="6">
        <v>425.4428370877814</v>
      </c>
      <c r="AM173" s="6">
        <v>54.034746</v>
      </c>
      <c r="AN173" s="6">
        <v>100.5418853</v>
      </c>
      <c r="AO173" s="6">
        <v>251.67327974276532</v>
      </c>
      <c r="AP173" s="6">
        <v>0</v>
      </c>
      <c r="AQ173" s="6">
        <v>19.192926045016076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/>
      <c r="BD173" s="3"/>
      <c r="BE173" s="3"/>
      <c r="BF173" s="7">
        <v>92.24536682304695</v>
      </c>
    </row>
    <row x14ac:dyDescent="0.25" r="174" customHeight="1" ht="12.75">
      <c r="A174" s="5" t="s">
        <v>430</v>
      </c>
      <c r="B174" s="3" t="s">
        <v>859</v>
      </c>
      <c r="C174" s="3" t="s">
        <v>856</v>
      </c>
      <c r="D174" s="3"/>
      <c r="E174" s="3"/>
      <c r="F174" s="6">
        <f>100*SUM(AM174:AO174)/AL174</f>
      </c>
      <c r="G174" s="6">
        <f>100*SUM(AP174)/AL174</f>
      </c>
      <c r="H174" s="6">
        <f>100*SUM(AQ174)/AL174</f>
      </c>
      <c r="I174" s="6">
        <f>100*SUM(AR174:BC174)/AL174</f>
      </c>
      <c r="J174" s="3"/>
      <c r="K174" s="7">
        <v>5</v>
      </c>
      <c r="L174" s="6">
        <v>3.3</v>
      </c>
      <c r="M174" s="6">
        <v>5.2</v>
      </c>
      <c r="N174" s="5">
        <v>125</v>
      </c>
      <c r="O174" s="6"/>
      <c r="P174" s="6">
        <v>0.4</v>
      </c>
      <c r="Q174" s="7"/>
      <c r="R174" s="6"/>
      <c r="S174" s="6"/>
      <c r="T174" s="6"/>
      <c r="U174" s="5"/>
      <c r="V174" s="6"/>
      <c r="W174" s="6"/>
      <c r="X174" s="6"/>
      <c r="Y174" s="15"/>
      <c r="Z174" s="6"/>
      <c r="AA174" s="6"/>
      <c r="AB174" s="5"/>
      <c r="AC174" s="3"/>
      <c r="AD174" s="6">
        <v>0.165</v>
      </c>
      <c r="AE174" s="6">
        <v>0.26</v>
      </c>
      <c r="AF174" s="7">
        <v>625</v>
      </c>
      <c r="AG174" s="6">
        <v>0</v>
      </c>
      <c r="AH174" s="7">
        <v>2</v>
      </c>
      <c r="AI174" s="15">
        <v>0.42500000000000004</v>
      </c>
      <c r="AJ174" s="6">
        <v>8.5</v>
      </c>
      <c r="AK174" s="3"/>
      <c r="AL174" s="6">
        <v>268.3077034083601</v>
      </c>
      <c r="AM174" s="6">
        <v>62.566548</v>
      </c>
      <c r="AN174" s="6">
        <v>112.919612</v>
      </c>
      <c r="AO174" s="6">
        <v>76.48713826366561</v>
      </c>
      <c r="AP174" s="6">
        <v>0</v>
      </c>
      <c r="AQ174" s="6">
        <v>16.334405144694536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/>
      <c r="BD174" s="3"/>
      <c r="BE174" s="3"/>
      <c r="BF174" s="7">
        <v>1341.5385170418006</v>
      </c>
    </row>
    <row x14ac:dyDescent="0.25" r="175" customHeight="1" ht="12.75">
      <c r="A175" s="5" t="s">
        <v>78</v>
      </c>
      <c r="B175" s="3" t="s">
        <v>859</v>
      </c>
      <c r="C175" s="3" t="s">
        <v>856</v>
      </c>
      <c r="D175" s="3"/>
      <c r="E175" s="3"/>
      <c r="F175" s="6">
        <f>100*SUM(AM175:AO175)/AL175</f>
      </c>
      <c r="G175" s="6">
        <f>100*SUM(AP175)/AL175</f>
      </c>
      <c r="H175" s="6">
        <f>100*SUM(AQ175)/AL175</f>
      </c>
      <c r="I175" s="6">
        <f>100*SUM(AR175:BC175)/AL175</f>
      </c>
      <c r="J175" s="3"/>
      <c r="K175" s="23">
        <v>0.0408</v>
      </c>
      <c r="L175" s="6">
        <v>6.23</v>
      </c>
      <c r="M175" s="6">
        <v>9.49</v>
      </c>
      <c r="N175" s="5">
        <v>355</v>
      </c>
      <c r="O175" s="6"/>
      <c r="P175" s="6">
        <v>1.13</v>
      </c>
      <c r="Q175" s="7"/>
      <c r="R175" s="6"/>
      <c r="S175" s="6"/>
      <c r="T175" s="6"/>
      <c r="U175" s="5"/>
      <c r="V175" s="6"/>
      <c r="W175" s="6"/>
      <c r="X175" s="6"/>
      <c r="Y175" s="15"/>
      <c r="Z175" s="6"/>
      <c r="AA175" s="6"/>
      <c r="AB175" s="5"/>
      <c r="AC175" s="3"/>
      <c r="AD175" s="6">
        <v>0.00254184</v>
      </c>
      <c r="AE175" s="6">
        <v>0.0038719200000000005</v>
      </c>
      <c r="AF175" s="7">
        <v>14.484000000000002</v>
      </c>
      <c r="AG175" s="6">
        <v>0</v>
      </c>
      <c r="AH175" s="7">
        <v>0.046104</v>
      </c>
      <c r="AI175" s="15">
        <v>0.006413760000000001</v>
      </c>
      <c r="AJ175" s="6">
        <v>15.72</v>
      </c>
      <c r="AK175" s="3"/>
      <c r="AL175" s="6">
        <v>587.5645179025723</v>
      </c>
      <c r="AM175" s="6">
        <v>118.1180588</v>
      </c>
      <c r="AN175" s="6">
        <v>206.07829189999998</v>
      </c>
      <c r="AO175" s="6">
        <v>217.22347266881033</v>
      </c>
      <c r="AP175" s="6">
        <v>0</v>
      </c>
      <c r="AQ175" s="6">
        <v>46.144694533762056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/>
      <c r="BD175" s="3"/>
      <c r="BE175" s="3"/>
      <c r="BF175" s="7">
        <v>23.972632330424954</v>
      </c>
    </row>
    <row x14ac:dyDescent="0.25" r="176" customHeight="1" ht="12.75">
      <c r="A176" s="5" t="s">
        <v>24</v>
      </c>
      <c r="B176" s="3" t="s">
        <v>859</v>
      </c>
      <c r="C176" s="3" t="s">
        <v>856</v>
      </c>
      <c r="D176" s="3"/>
      <c r="E176" s="3"/>
      <c r="F176" s="6">
        <f>100*SUM(AM176:AO176)/AL176</f>
      </c>
      <c r="G176" s="6">
        <f>100*SUM(AP176)/AL176</f>
      </c>
      <c r="H176" s="6">
        <f>100*SUM(AQ176)/AL176</f>
      </c>
      <c r="I176" s="6">
        <f>100*SUM(AR176:BC176)/AL176</f>
      </c>
      <c r="J176" s="3"/>
      <c r="K176" s="6">
        <v>0.03</v>
      </c>
      <c r="L176" s="6">
        <v>6.7</v>
      </c>
      <c r="M176" s="6">
        <v>17.7</v>
      </c>
      <c r="N176" s="6">
        <v>449.13</v>
      </c>
      <c r="O176" s="6"/>
      <c r="P176" s="6">
        <v>1.71</v>
      </c>
      <c r="Q176" s="7"/>
      <c r="R176" s="6"/>
      <c r="S176" s="6"/>
      <c r="T176" s="6"/>
      <c r="U176" s="5"/>
      <c r="V176" s="6"/>
      <c r="W176" s="6"/>
      <c r="X176" s="6"/>
      <c r="Y176" s="15"/>
      <c r="Z176" s="6"/>
      <c r="AA176" s="6"/>
      <c r="AB176" s="5"/>
      <c r="AC176" s="3"/>
      <c r="AD176" s="6">
        <v>0.0020099999999999996</v>
      </c>
      <c r="AE176" s="6">
        <v>0.005309999999999999</v>
      </c>
      <c r="AF176" s="7">
        <v>13.473899999999999</v>
      </c>
      <c r="AG176" s="6">
        <v>0</v>
      </c>
      <c r="AH176" s="7">
        <v>0.0513</v>
      </c>
      <c r="AI176" s="15">
        <v>0.007319999999999998</v>
      </c>
      <c r="AJ176" s="6">
        <v>24.4</v>
      </c>
      <c r="AK176" s="3"/>
      <c r="AL176" s="6">
        <v>856.0409682604502</v>
      </c>
      <c r="AM176" s="6">
        <v>127.02905200000001</v>
      </c>
      <c r="AN176" s="6">
        <v>384.36098699999997</v>
      </c>
      <c r="AO176" s="6">
        <v>274.82134726688105</v>
      </c>
      <c r="AP176" s="6">
        <v>0</v>
      </c>
      <c r="AQ176" s="6">
        <v>69.82958199356914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/>
      <c r="BD176" s="3"/>
      <c r="BE176" s="3"/>
      <c r="BF176" s="7">
        <v>25.681229047813506</v>
      </c>
    </row>
    <row x14ac:dyDescent="0.25" r="177" customHeight="1" ht="12.75">
      <c r="A177" s="5" t="s">
        <v>605</v>
      </c>
      <c r="B177" s="3" t="s">
        <v>859</v>
      </c>
      <c r="C177" s="3" t="s">
        <v>856</v>
      </c>
      <c r="D177" s="3"/>
      <c r="E177" s="3"/>
      <c r="F177" s="6">
        <f>100*SUM(AM177:AO177)/AL177</f>
      </c>
      <c r="G177" s="6">
        <f>100*SUM(AP177)/AL177</f>
      </c>
      <c r="H177" s="6">
        <f>100*SUM(AQ177)/AL177</f>
      </c>
      <c r="I177" s="6">
        <f>100*SUM(AR177:BC177)/AL177</f>
      </c>
      <c r="J177" s="3"/>
      <c r="K177" s="6">
        <v>6.5</v>
      </c>
      <c r="L177" s="6">
        <v>4.07</v>
      </c>
      <c r="M177" s="6">
        <v>2.12</v>
      </c>
      <c r="N177" s="5">
        <v>130</v>
      </c>
      <c r="O177" s="6">
        <v>0.26</v>
      </c>
      <c r="P177" s="6"/>
      <c r="Q177" s="7"/>
      <c r="R177" s="6"/>
      <c r="S177" s="6"/>
      <c r="T177" s="6"/>
      <c r="U177" s="5"/>
      <c r="V177" s="6"/>
      <c r="W177" s="6"/>
      <c r="X177" s="6"/>
      <c r="Y177" s="15"/>
      <c r="Z177" s="6"/>
      <c r="AA177" s="6"/>
      <c r="AB177" s="5"/>
      <c r="AC177" s="3"/>
      <c r="AD177" s="6">
        <v>0.26455</v>
      </c>
      <c r="AE177" s="6">
        <v>0.1378</v>
      </c>
      <c r="AF177" s="7">
        <v>845</v>
      </c>
      <c r="AG177" s="6">
        <v>0.0169</v>
      </c>
      <c r="AH177" s="7">
        <v>0</v>
      </c>
      <c r="AI177" s="15">
        <v>0.41925</v>
      </c>
      <c r="AJ177" s="6">
        <v>6.45</v>
      </c>
      <c r="AK177" s="3"/>
      <c r="AL177" s="6">
        <v>220.80416419421223</v>
      </c>
      <c r="AM177" s="6">
        <v>77.1654092</v>
      </c>
      <c r="AN177" s="6">
        <v>46.0364572</v>
      </c>
      <c r="AO177" s="6">
        <v>79.54662379421222</v>
      </c>
      <c r="AP177" s="6">
        <v>18.055674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/>
      <c r="BD177" s="3"/>
      <c r="BE177" s="3"/>
      <c r="BF177" s="7">
        <v>1435.2270672623795</v>
      </c>
    </row>
    <row x14ac:dyDescent="0.25" r="178" customHeight="1" ht="12.75">
      <c r="A178" s="5" t="s">
        <v>357</v>
      </c>
      <c r="B178" s="3" t="s">
        <v>859</v>
      </c>
      <c r="C178" s="3" t="s">
        <v>946</v>
      </c>
      <c r="D178" s="3"/>
      <c r="E178" s="3"/>
      <c r="F178" s="6">
        <f>100*SUM(AM178:AO178)/AL178</f>
      </c>
      <c r="G178" s="6">
        <f>100*SUM(AP178)/AL178</f>
      </c>
      <c r="H178" s="6">
        <f>100*SUM(AQ178)/AL178</f>
      </c>
      <c r="I178" s="6">
        <f>100*SUM(AR178:BC178)/AL178</f>
      </c>
      <c r="J178" s="3"/>
      <c r="K178" s="23">
        <v>0.874412</v>
      </c>
      <c r="L178" s="6">
        <v>3.31</v>
      </c>
      <c r="M178" s="6">
        <v>3.63</v>
      </c>
      <c r="N178" s="5">
        <v>209</v>
      </c>
      <c r="O178" s="6"/>
      <c r="P178" s="6">
        <v>1.3</v>
      </c>
      <c r="Q178" s="7"/>
      <c r="R178" s="6"/>
      <c r="S178" s="6"/>
      <c r="T178" s="6"/>
      <c r="U178" s="5"/>
      <c r="V178" s="6"/>
      <c r="W178" s="6"/>
      <c r="X178" s="6"/>
      <c r="Y178" s="15"/>
      <c r="Z178" s="6"/>
      <c r="AA178" s="6"/>
      <c r="AB178" s="5"/>
      <c r="AC178" s="3"/>
      <c r="AD178" s="6">
        <v>0.0289430372</v>
      </c>
      <c r="AE178" s="6">
        <v>0.031741155599999994</v>
      </c>
      <c r="AF178" s="7">
        <v>182.752108</v>
      </c>
      <c r="AG178" s="6">
        <v>0</v>
      </c>
      <c r="AH178" s="7">
        <v>1.1367356</v>
      </c>
      <c r="AI178" s="15">
        <v>0.060684192799999995</v>
      </c>
      <c r="AJ178" s="6">
        <v>6.9399999999999995</v>
      </c>
      <c r="AK178" s="3"/>
      <c r="AL178" s="6">
        <v>322.55603079710613</v>
      </c>
      <c r="AM178" s="6">
        <v>62.756143599999994</v>
      </c>
      <c r="AN178" s="6">
        <v>78.8265753</v>
      </c>
      <c r="AO178" s="6">
        <v>127.8864951768489</v>
      </c>
      <c r="AP178" s="6">
        <v>0</v>
      </c>
      <c r="AQ178" s="6">
        <v>53.08681672025724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/>
      <c r="BD178" s="3"/>
      <c r="BE178" s="3"/>
      <c r="BF178" s="7">
        <v>282.04686400135915</v>
      </c>
    </row>
    <row x14ac:dyDescent="0.25" r="179" customHeight="1" ht="12.75">
      <c r="A179" s="5" t="s">
        <v>521</v>
      </c>
      <c r="B179" s="3" t="s">
        <v>859</v>
      </c>
      <c r="C179" s="3" t="s">
        <v>856</v>
      </c>
      <c r="D179" s="3" t="s">
        <v>928</v>
      </c>
      <c r="E179" s="3"/>
      <c r="F179" s="6">
        <f>100*SUM(AM179:AO179)/AL179</f>
      </c>
      <c r="G179" s="6">
        <f>100*SUM(AP179)/AL179</f>
      </c>
      <c r="H179" s="6">
        <f>100*SUM(AQ179)/AL179</f>
      </c>
      <c r="I179" s="6">
        <f>100*SUM(AR179:BC179)/AL179</f>
      </c>
      <c r="J179" s="3"/>
      <c r="K179" s="23">
        <v>0.688712</v>
      </c>
      <c r="L179" s="6">
        <v>1.82</v>
      </c>
      <c r="M179" s="6">
        <v>5.51</v>
      </c>
      <c r="N179" s="6">
        <v>58.6</v>
      </c>
      <c r="O179" s="6"/>
      <c r="P179" s="6">
        <v>0.99</v>
      </c>
      <c r="Q179" s="7"/>
      <c r="R179" s="6"/>
      <c r="S179" s="6"/>
      <c r="T179" s="6"/>
      <c r="U179" s="5"/>
      <c r="V179" s="6"/>
      <c r="W179" s="6"/>
      <c r="X179" s="6"/>
      <c r="Y179" s="15"/>
      <c r="Z179" s="6"/>
      <c r="AA179" s="6"/>
      <c r="AB179" s="5"/>
      <c r="AC179" s="3"/>
      <c r="AD179" s="6">
        <v>0.0125345584</v>
      </c>
      <c r="AE179" s="6">
        <v>0.037948031199999996</v>
      </c>
      <c r="AF179" s="7">
        <v>40.3585232</v>
      </c>
      <c r="AG179" s="6">
        <v>0</v>
      </c>
      <c r="AH179" s="7">
        <v>0.68182488</v>
      </c>
      <c r="AI179" s="15">
        <v>0.050482589599999995</v>
      </c>
      <c r="AJ179" s="6">
        <v>7.33</v>
      </c>
      <c r="AK179" s="3"/>
      <c r="AL179" s="6">
        <v>230.4425804511254</v>
      </c>
      <c r="AM179" s="6">
        <v>34.5063992</v>
      </c>
      <c r="AN179" s="6">
        <v>119.6513581</v>
      </c>
      <c r="AO179" s="6">
        <v>35.85717041800644</v>
      </c>
      <c r="AP179" s="6">
        <v>0</v>
      </c>
      <c r="AQ179" s="6">
        <v>40.427652733118975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/>
      <c r="BD179" s="3"/>
      <c r="BE179" s="3"/>
      <c r="BF179" s="7">
        <v>158.70857046765548</v>
      </c>
    </row>
    <row x14ac:dyDescent="0.25" r="180" customHeight="1" ht="12.75">
      <c r="A180" s="5" t="s">
        <v>761</v>
      </c>
      <c r="B180" s="3" t="s">
        <v>859</v>
      </c>
      <c r="C180" s="3" t="s">
        <v>856</v>
      </c>
      <c r="D180" s="3"/>
      <c r="E180" s="3"/>
      <c r="F180" s="6">
        <f>100*SUM(AM180:AO180)/AL180</f>
      </c>
      <c r="G180" s="6">
        <f>100*SUM(AP180)/AL180</f>
      </c>
      <c r="H180" s="6">
        <f>100*SUM(AQ180)/AL180</f>
      </c>
      <c r="I180" s="6">
        <f>100*SUM(AR180:BC180)/AL180</f>
      </c>
      <c r="J180" s="3"/>
      <c r="K180" s="23">
        <v>0.14748699999999998</v>
      </c>
      <c r="L180" s="6">
        <v>2.7760602629384286</v>
      </c>
      <c r="M180" s="6">
        <v>0.39779234780014516</v>
      </c>
      <c r="N180" s="31">
        <v>120.09139110565677</v>
      </c>
      <c r="O180" s="6"/>
      <c r="P180" s="6">
        <v>0.7537396516303133</v>
      </c>
      <c r="Q180" s="7"/>
      <c r="R180" s="6"/>
      <c r="S180" s="6"/>
      <c r="T180" s="6"/>
      <c r="U180" s="5"/>
      <c r="V180" s="6"/>
      <c r="W180" s="6"/>
      <c r="X180" s="6"/>
      <c r="Y180" s="15"/>
      <c r="Z180" s="6"/>
      <c r="AA180" s="6"/>
      <c r="AB180" s="5"/>
      <c r="AC180" s="3"/>
      <c r="AD180" s="6">
        <v>0.0040943279999999995</v>
      </c>
      <c r="AE180" s="6">
        <v>0.0005866920000000001</v>
      </c>
      <c r="AF180" s="7">
        <v>17.711918999999998</v>
      </c>
      <c r="AG180" s="6">
        <v>0</v>
      </c>
      <c r="AH180" s="7">
        <v>0.11116680000000001</v>
      </c>
      <c r="AI180" s="15">
        <v>0.004681019999999999</v>
      </c>
      <c r="AJ180" s="6">
        <v>3.1738526107385736</v>
      </c>
      <c r="AK180" s="3"/>
      <c r="AL180" s="6">
        <v>165.53436206147552</v>
      </c>
      <c r="AM180" s="6">
        <v>52.63288111879691</v>
      </c>
      <c r="AN180" s="6">
        <v>8.63818414810797</v>
      </c>
      <c r="AO180" s="6">
        <v>73.48357468619449</v>
      </c>
      <c r="AP180" s="6">
        <v>0</v>
      </c>
      <c r="AQ180" s="6">
        <v>30.77972210837614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/>
      <c r="BD180" s="3"/>
      <c r="BE180" s="3"/>
      <c r="BF180" s="7">
        <v>24.414166457360835</v>
      </c>
    </row>
    <row x14ac:dyDescent="0.25" r="181" customHeight="1" ht="12.75">
      <c r="A181" s="5" t="s">
        <v>746</v>
      </c>
      <c r="B181" s="3" t="s">
        <v>859</v>
      </c>
      <c r="C181" s="3" t="s">
        <v>856</v>
      </c>
      <c r="D181" s="3" t="s">
        <v>929</v>
      </c>
      <c r="E181" s="3"/>
      <c r="F181" s="6">
        <f>100*SUM(AM181:AO181)/AL181</f>
      </c>
      <c r="G181" s="6">
        <f>100*SUM(AP181)/AL181</f>
      </c>
      <c r="H181" s="6">
        <f>100*SUM(AQ181)/AL181</f>
      </c>
      <c r="I181" s="6">
        <f>100*SUM(AR181:BC181)/AL181</f>
      </c>
      <c r="J181" s="3"/>
      <c r="K181" s="23">
        <v>0.317485</v>
      </c>
      <c r="L181" s="6"/>
      <c r="M181" s="6">
        <v>4.23</v>
      </c>
      <c r="N181" s="7">
        <v>30.16</v>
      </c>
      <c r="O181" s="6">
        <v>0.38</v>
      </c>
      <c r="P181" s="6"/>
      <c r="Q181" s="7"/>
      <c r="R181" s="6"/>
      <c r="S181" s="6"/>
      <c r="T181" s="6"/>
      <c r="U181" s="5"/>
      <c r="V181" s="6"/>
      <c r="W181" s="6"/>
      <c r="X181" s="6"/>
      <c r="Y181" s="15"/>
      <c r="Z181" s="6"/>
      <c r="AA181" s="6"/>
      <c r="AB181" s="5"/>
      <c r="AC181" s="3"/>
      <c r="AD181" s="6">
        <v>0</v>
      </c>
      <c r="AE181" s="6">
        <v>0.013429615500000002</v>
      </c>
      <c r="AF181" s="7">
        <v>9.5753476</v>
      </c>
      <c r="AG181" s="6">
        <v>0.0012064430000000002</v>
      </c>
      <c r="AH181" s="7">
        <v>0</v>
      </c>
      <c r="AI181" s="15">
        <v>0.014636058500000002</v>
      </c>
      <c r="AJ181" s="6">
        <v>4.61</v>
      </c>
      <c r="AK181" s="3"/>
      <c r="AL181" s="6">
        <v>136.69964002025725</v>
      </c>
      <c r="AM181" s="6">
        <v>0</v>
      </c>
      <c r="AN181" s="6">
        <v>91.85576130000001</v>
      </c>
      <c r="AO181" s="6">
        <v>18.454816720257238</v>
      </c>
      <c r="AP181" s="6">
        <v>26.389062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/>
      <c r="BD181" s="3"/>
      <c r="BE181" s="3"/>
      <c r="BF181" s="7">
        <v>43.400085211831374</v>
      </c>
    </row>
    <row x14ac:dyDescent="0.25" r="182" customHeight="1" ht="12.75">
      <c r="A182" s="5" t="s">
        <v>152</v>
      </c>
      <c r="B182" s="3" t="s">
        <v>859</v>
      </c>
      <c r="C182" s="3" t="s">
        <v>856</v>
      </c>
      <c r="D182" s="3"/>
      <c r="E182" s="3"/>
      <c r="F182" s="6">
        <f>100*SUM(AM182:AO182)/AL182</f>
      </c>
      <c r="G182" s="6">
        <f>100*SUM(AP182)/AL182</f>
      </c>
      <c r="H182" s="6">
        <f>100*SUM(AQ182)/AL182</f>
      </c>
      <c r="I182" s="6">
        <f>100*SUM(AR182:BC182)/AL182</f>
      </c>
      <c r="J182" s="3"/>
      <c r="K182" s="6">
        <v>0.312</v>
      </c>
      <c r="L182" s="6">
        <v>2.5</v>
      </c>
      <c r="M182" s="6">
        <v>2.5</v>
      </c>
      <c r="N182" s="6">
        <v>390.8</v>
      </c>
      <c r="O182" s="6"/>
      <c r="P182" s="6">
        <v>3.81</v>
      </c>
      <c r="Q182" s="7"/>
      <c r="R182" s="6"/>
      <c r="S182" s="6"/>
      <c r="T182" s="6"/>
      <c r="U182" s="5"/>
      <c r="V182" s="6"/>
      <c r="W182" s="6"/>
      <c r="X182" s="6"/>
      <c r="Y182" s="15"/>
      <c r="Z182" s="6"/>
      <c r="AA182" s="6"/>
      <c r="AB182" s="5"/>
      <c r="AC182" s="3"/>
      <c r="AD182" s="6">
        <v>0.0078000000000000005</v>
      </c>
      <c r="AE182" s="6">
        <v>0.0078000000000000005</v>
      </c>
      <c r="AF182" s="7">
        <v>121.92960000000001</v>
      </c>
      <c r="AG182" s="6">
        <v>0</v>
      </c>
      <c r="AH182" s="7">
        <v>1.18872</v>
      </c>
      <c r="AI182" s="15">
        <v>0.015600000000000001</v>
      </c>
      <c r="AJ182" s="6">
        <v>5</v>
      </c>
      <c r="AK182" s="3"/>
      <c r="AL182" s="6">
        <v>496.4017730707396</v>
      </c>
      <c r="AM182" s="6">
        <v>47.3989</v>
      </c>
      <c r="AN182" s="6">
        <v>54.288275</v>
      </c>
      <c r="AO182" s="6">
        <v>239.12938906752416</v>
      </c>
      <c r="AP182" s="6">
        <v>0</v>
      </c>
      <c r="AQ182" s="6">
        <v>155.58520900321543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/>
      <c r="BD182" s="3"/>
      <c r="BE182" s="3"/>
      <c r="BF182" s="7">
        <v>154.87735319807075</v>
      </c>
    </row>
    <row x14ac:dyDescent="0.25" r="183" customHeight="1" ht="12.75">
      <c r="A183" s="5" t="s">
        <v>138</v>
      </c>
      <c r="B183" s="3" t="s">
        <v>859</v>
      </c>
      <c r="C183" s="3" t="s">
        <v>856</v>
      </c>
      <c r="D183" s="3"/>
      <c r="E183" s="3"/>
      <c r="F183" s="6">
        <f>100*SUM(AM183:AO183)/AL183</f>
      </c>
      <c r="G183" s="6">
        <f>100*SUM(AP183)/AL183</f>
      </c>
      <c r="H183" s="6">
        <f>100*SUM(AQ183)/AL183</f>
      </c>
      <c r="I183" s="6">
        <f>100*SUM(AR183:BC183)/AL183</f>
      </c>
      <c r="J183" s="3"/>
      <c r="K183" s="23">
        <v>0.5776</v>
      </c>
      <c r="L183" s="6">
        <v>1.49</v>
      </c>
      <c r="M183" s="6">
        <v>6.53</v>
      </c>
      <c r="N183" s="5">
        <v>257</v>
      </c>
      <c r="O183" s="6">
        <v>0.49</v>
      </c>
      <c r="P183" s="6">
        <v>3.7</v>
      </c>
      <c r="Q183" s="7"/>
      <c r="R183" s="6"/>
      <c r="S183" s="6"/>
      <c r="T183" s="6"/>
      <c r="U183" s="5"/>
      <c r="V183" s="6"/>
      <c r="W183" s="6"/>
      <c r="X183" s="6"/>
      <c r="Y183" s="15"/>
      <c r="Z183" s="6"/>
      <c r="AA183" s="6"/>
      <c r="AB183" s="5"/>
      <c r="AC183" s="3"/>
      <c r="AD183" s="6">
        <v>0.00860624</v>
      </c>
      <c r="AE183" s="6">
        <v>0.03771728</v>
      </c>
      <c r="AF183" s="7">
        <v>148.4432</v>
      </c>
      <c r="AG183" s="6">
        <v>0.00283024</v>
      </c>
      <c r="AH183" s="7">
        <v>2.13712</v>
      </c>
      <c r="AI183" s="15">
        <v>0.04915376</v>
      </c>
      <c r="AJ183" s="6">
        <v>8.51</v>
      </c>
      <c r="AK183" s="3"/>
      <c r="AL183" s="6">
        <v>512.4295235585209</v>
      </c>
      <c r="AM183" s="6">
        <v>28.249744399999997</v>
      </c>
      <c r="AN183" s="6">
        <v>141.80097429999998</v>
      </c>
      <c r="AO183" s="6">
        <v>157.2575562700965</v>
      </c>
      <c r="AP183" s="6">
        <v>34.028000999999996</v>
      </c>
      <c r="AQ183" s="6">
        <v>151.09324758842445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/>
      <c r="BD183" s="3"/>
      <c r="BE183" s="3"/>
      <c r="BF183" s="7">
        <v>295.9792928074017</v>
      </c>
    </row>
    <row x14ac:dyDescent="0.25" r="184" customHeight="1" ht="12.75">
      <c r="A184" s="5" t="s">
        <v>853</v>
      </c>
      <c r="B184" s="3" t="s">
        <v>859</v>
      </c>
      <c r="C184" s="3" t="s">
        <v>856</v>
      </c>
      <c r="D184" s="3"/>
      <c r="E184" s="3"/>
      <c r="F184" s="6">
        <f>100*SUM(AM184:AO184)/AL184</f>
      </c>
      <c r="G184" s="6">
        <f>100*SUM(AP184)/AL184</f>
      </c>
      <c r="H184" s="6">
        <f>100*SUM(AQ184)/AL184</f>
      </c>
      <c r="I184" s="6">
        <f>100*SUM(AR184:BC184)/AL184</f>
      </c>
      <c r="J184" s="3"/>
      <c r="K184" s="6">
        <v>1.36</v>
      </c>
      <c r="L184" s="6">
        <v>0.17</v>
      </c>
      <c r="M184" s="6">
        <v>0.08</v>
      </c>
      <c r="N184" s="6">
        <v>4.2</v>
      </c>
      <c r="O184" s="6">
        <v>0.01</v>
      </c>
      <c r="P184" s="6">
        <v>0.06</v>
      </c>
      <c r="Q184" s="7"/>
      <c r="R184" s="6"/>
      <c r="S184" s="6"/>
      <c r="T184" s="6"/>
      <c r="U184" s="5"/>
      <c r="V184" s="6"/>
      <c r="W184" s="6"/>
      <c r="X184" s="6"/>
      <c r="Y184" s="15"/>
      <c r="Z184" s="6"/>
      <c r="AA184" s="6"/>
      <c r="AB184" s="6">
        <v>2.48</v>
      </c>
      <c r="AC184" s="3" t="s">
        <v>953</v>
      </c>
      <c r="AD184" s="6">
        <v>0.0023120000000000003</v>
      </c>
      <c r="AE184" s="6">
        <v>0.001088</v>
      </c>
      <c r="AF184" s="7">
        <v>5.712000000000001</v>
      </c>
      <c r="AG184" s="6">
        <v>0.000136</v>
      </c>
      <c r="AH184" s="7">
        <v>0.0816</v>
      </c>
      <c r="AI184" s="15">
        <v>0.003536</v>
      </c>
      <c r="AJ184" s="6">
        <v>0.26</v>
      </c>
      <c r="AK184" s="3"/>
      <c r="AL184" s="6">
        <v>11.914927617363345</v>
      </c>
      <c r="AM184" s="6">
        <v>3.2231252</v>
      </c>
      <c r="AN184" s="6">
        <v>1.7372248000000001</v>
      </c>
      <c r="AO184" s="6">
        <v>2.5699678456591646</v>
      </c>
      <c r="AP184" s="6">
        <v>0.694449</v>
      </c>
      <c r="AQ184" s="6">
        <v>2.45016077170418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1.24</v>
      </c>
      <c r="BD184" s="3" t="s">
        <v>954</v>
      </c>
      <c r="BE184" s="3"/>
      <c r="BF184" s="7">
        <v>16.20430155961415</v>
      </c>
    </row>
    <row x14ac:dyDescent="0.25" r="185" customHeight="1" ht="12.75">
      <c r="A185" s="5" t="s">
        <v>241</v>
      </c>
      <c r="B185" s="3" t="s">
        <v>859</v>
      </c>
      <c r="C185" s="3" t="s">
        <v>856</v>
      </c>
      <c r="D185" s="3"/>
      <c r="E185" s="3"/>
      <c r="F185" s="6">
        <f>100*SUM(AM185:AO185)/AL185</f>
      </c>
      <c r="G185" s="6">
        <f>100*SUM(AP185)/AL185</f>
      </c>
      <c r="H185" s="6">
        <f>100*SUM(AQ185)/AL185</f>
      </c>
      <c r="I185" s="6">
        <f>100*SUM(AR185:BC185)/AL185</f>
      </c>
      <c r="J185" s="3"/>
      <c r="K185" s="23">
        <v>0.84224448</v>
      </c>
      <c r="L185" s="6">
        <v>0.8366077337354587</v>
      </c>
      <c r="M185" s="6">
        <v>5.486940801378717</v>
      </c>
      <c r="N185" s="7">
        <v>191.27404178653688</v>
      </c>
      <c r="O185" s="6">
        <v>0.2730386686772943</v>
      </c>
      <c r="P185" s="6">
        <v>3.4849936108812485</v>
      </c>
      <c r="Q185" s="7"/>
      <c r="R185" s="6"/>
      <c r="S185" s="6"/>
      <c r="T185" s="6"/>
      <c r="U185" s="5"/>
      <c r="V185" s="6"/>
      <c r="W185" s="6"/>
      <c r="X185" s="6"/>
      <c r="Y185" s="15"/>
      <c r="Z185" s="6"/>
      <c r="AA185" s="6"/>
      <c r="AB185" s="5"/>
      <c r="AC185" s="3"/>
      <c r="AD185" s="6">
        <v>0.0070462824566399984</v>
      </c>
      <c r="AE185" s="6">
        <v>0.04621345602048001</v>
      </c>
      <c r="AF185" s="7">
        <v>161.09950586200003</v>
      </c>
      <c r="AG185" s="6">
        <v>0.0022996531152</v>
      </c>
      <c r="AH185" s="7">
        <v>2.9352166315999995</v>
      </c>
      <c r="AI185" s="15">
        <v>0.055559391592320005</v>
      </c>
      <c r="AJ185" s="6">
        <v>6.59658720379147</v>
      </c>
      <c r="AK185" s="3"/>
      <c r="AL185" s="6">
        <v>413.32675458026813</v>
      </c>
      <c r="AM185" s="6">
        <v>15.861714524221451</v>
      </c>
      <c r="AN185" s="6">
        <v>119.15062045358727</v>
      </c>
      <c r="AO185" s="6">
        <v>117.04003264301599</v>
      </c>
      <c r="AP185" s="6">
        <v>18.961143042427835</v>
      </c>
      <c r="AQ185" s="6">
        <v>142.31324391701563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/>
      <c r="BD185" s="3"/>
      <c r="BE185" s="3"/>
      <c r="BF185" s="7">
        <v>348.1221774815455</v>
      </c>
    </row>
    <row x14ac:dyDescent="0.25" r="186" customHeight="1" ht="12.75">
      <c r="A186" s="5" t="s">
        <v>280</v>
      </c>
      <c r="B186" s="3" t="s">
        <v>859</v>
      </c>
      <c r="C186" s="3" t="s">
        <v>856</v>
      </c>
      <c r="D186" s="3" t="s">
        <v>955</v>
      </c>
      <c r="E186" s="3"/>
      <c r="F186" s="6">
        <f>100*SUM(AM186:AO186)/AL186</f>
      </c>
      <c r="G186" s="6">
        <f>100*SUM(AP186)/AL186</f>
      </c>
      <c r="H186" s="6">
        <f>100*SUM(AQ186)/AL186</f>
      </c>
      <c r="I186" s="6">
        <f>100*SUM(AR186:BC186)/AL186</f>
      </c>
      <c r="J186" s="3"/>
      <c r="K186" s="23">
        <v>3.83897</v>
      </c>
      <c r="L186" s="6">
        <v>0.86</v>
      </c>
      <c r="M186" s="6">
        <v>3.9</v>
      </c>
      <c r="N186" s="5">
        <v>203</v>
      </c>
      <c r="O186" s="6"/>
      <c r="P186" s="6">
        <v>3.6</v>
      </c>
      <c r="Q186" s="7"/>
      <c r="R186" s="6"/>
      <c r="S186" s="6"/>
      <c r="T186" s="6"/>
      <c r="U186" s="5"/>
      <c r="V186" s="6"/>
      <c r="W186" s="6"/>
      <c r="X186" s="6"/>
      <c r="Y186" s="15"/>
      <c r="Z186" s="6"/>
      <c r="AA186" s="6"/>
      <c r="AB186" s="5"/>
      <c r="AC186" s="3"/>
      <c r="AD186" s="6">
        <v>0.033015142000000004</v>
      </c>
      <c r="AE186" s="6">
        <v>0.14971983</v>
      </c>
      <c r="AF186" s="7">
        <v>779.31091</v>
      </c>
      <c r="AG186" s="6">
        <v>0</v>
      </c>
      <c r="AH186" s="7">
        <v>13.820292</v>
      </c>
      <c r="AI186" s="15">
        <v>0.182734972</v>
      </c>
      <c r="AJ186" s="6">
        <v>4.76</v>
      </c>
      <c r="AK186" s="3"/>
      <c r="AL186" s="6">
        <v>372.2196894424437</v>
      </c>
      <c r="AM186" s="6">
        <v>16.3052216</v>
      </c>
      <c r="AN186" s="6">
        <v>84.689709</v>
      </c>
      <c r="AO186" s="6">
        <v>124.21511254019295</v>
      </c>
      <c r="AP186" s="6">
        <v>0</v>
      </c>
      <c r="AQ186" s="6">
        <v>147.00964630225081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/>
      <c r="BD186" s="3"/>
      <c r="BE186" s="3"/>
      <c r="BF186" s="7">
        <v>1428.9402211788583</v>
      </c>
    </row>
    <row x14ac:dyDescent="0.25" r="187" customHeight="1" ht="12.75">
      <c r="A187" s="5" t="s">
        <v>561</v>
      </c>
      <c r="B187" s="3" t="s">
        <v>859</v>
      </c>
      <c r="C187" s="3" t="s">
        <v>856</v>
      </c>
      <c r="D187" s="3"/>
      <c r="E187" s="3"/>
      <c r="F187" s="6">
        <f>100*SUM(AM187:AO187)/AL187</f>
      </c>
      <c r="G187" s="6">
        <f>100*SUM(AP187)/AL187</f>
      </c>
      <c r="H187" s="6">
        <f>100*SUM(AQ187)/AL187</f>
      </c>
      <c r="I187" s="6">
        <f>100*SUM(AR187:BC187)/AL187</f>
      </c>
      <c r="J187" s="3"/>
      <c r="K187" s="6">
        <v>1.3</v>
      </c>
      <c r="L187" s="6">
        <v>3.12</v>
      </c>
      <c r="M187" s="6">
        <v>3.12</v>
      </c>
      <c r="N187" s="6">
        <v>36.3</v>
      </c>
      <c r="O187" s="6">
        <v>0.11</v>
      </c>
      <c r="P187" s="6">
        <v>2.2</v>
      </c>
      <c r="Q187" s="7"/>
      <c r="R187" s="6"/>
      <c r="S187" s="6"/>
      <c r="T187" s="6"/>
      <c r="U187" s="5"/>
      <c r="V187" s="6"/>
      <c r="W187" s="6"/>
      <c r="X187" s="6"/>
      <c r="Y187" s="15"/>
      <c r="Z187" s="6"/>
      <c r="AA187" s="6"/>
      <c r="AB187" s="5"/>
      <c r="AC187" s="3"/>
      <c r="AD187" s="6">
        <v>0.04056</v>
      </c>
      <c r="AE187" s="6">
        <v>0.04056</v>
      </c>
      <c r="AF187" s="7">
        <v>47.19</v>
      </c>
      <c r="AG187" s="6">
        <v>0.00143</v>
      </c>
      <c r="AH187" s="7">
        <v>2.8600000000000003</v>
      </c>
      <c r="AI187" s="15">
        <v>0.08255</v>
      </c>
      <c r="AJ187" s="6">
        <v>6.3500000000000005</v>
      </c>
      <c r="AK187" s="3"/>
      <c r="AL187" s="6">
        <v>246.59562664758843</v>
      </c>
      <c r="AM187" s="6">
        <v>59.1538272</v>
      </c>
      <c r="AN187" s="6">
        <v>67.7517672</v>
      </c>
      <c r="AO187" s="6">
        <v>22.21186495176849</v>
      </c>
      <c r="AP187" s="6">
        <v>7.638939000000001</v>
      </c>
      <c r="AQ187" s="6">
        <v>89.83922829581994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/>
      <c r="BD187" s="3"/>
      <c r="BE187" s="3"/>
      <c r="BF187" s="7">
        <v>320.574314641865</v>
      </c>
    </row>
    <row x14ac:dyDescent="0.25" r="188" customHeight="1" ht="12.75">
      <c r="A188" s="5" t="s">
        <v>714</v>
      </c>
      <c r="B188" s="3" t="s">
        <v>859</v>
      </c>
      <c r="C188" s="3" t="s">
        <v>856</v>
      </c>
      <c r="D188" s="3"/>
      <c r="E188" s="3"/>
      <c r="F188" s="6">
        <f>100*SUM(AM188:AO188)/AL188</f>
      </c>
      <c r="G188" s="6">
        <f>100*SUM(AP188)/AL188</f>
      </c>
      <c r="H188" s="6">
        <f>100*SUM(AQ188)/AL188</f>
      </c>
      <c r="I188" s="6">
        <f>100*SUM(AR188:BC188)/AL188</f>
      </c>
      <c r="J188" s="3"/>
      <c r="K188" s="23">
        <v>1.506239</v>
      </c>
      <c r="L188" s="6">
        <v>0.15</v>
      </c>
      <c r="M188" s="6">
        <v>3.57</v>
      </c>
      <c r="N188" s="6">
        <v>41.13</v>
      </c>
      <c r="O188" s="6">
        <v>0.63</v>
      </c>
      <c r="P188" s="6">
        <v>0.82</v>
      </c>
      <c r="Q188" s="7"/>
      <c r="R188" s="6"/>
      <c r="S188" s="6"/>
      <c r="T188" s="6"/>
      <c r="U188" s="5"/>
      <c r="V188" s="6"/>
      <c r="W188" s="6"/>
      <c r="X188" s="6"/>
      <c r="Y188" s="15"/>
      <c r="Z188" s="6"/>
      <c r="AA188" s="6"/>
      <c r="AB188" s="5"/>
      <c r="AC188" s="3"/>
      <c r="AD188" s="6">
        <v>0.0022593585</v>
      </c>
      <c r="AE188" s="6">
        <v>0.0537727323</v>
      </c>
      <c r="AF188" s="7">
        <v>61.95161007000001</v>
      </c>
      <c r="AG188" s="6">
        <v>0.0094893057</v>
      </c>
      <c r="AH188" s="7">
        <v>1.23511598</v>
      </c>
      <c r="AI188" s="15">
        <v>0.06552139650000001</v>
      </c>
      <c r="AJ188" s="6">
        <v>4.35</v>
      </c>
      <c r="AK188" s="3"/>
      <c r="AL188" s="6">
        <v>182.77073622090035</v>
      </c>
      <c r="AM188" s="6">
        <v>2.843934</v>
      </c>
      <c r="AN188" s="6">
        <v>77.52365669999999</v>
      </c>
      <c r="AO188" s="6">
        <v>25.16732797427653</v>
      </c>
      <c r="AP188" s="6">
        <v>43.750287</v>
      </c>
      <c r="AQ188" s="6">
        <v>33.48553054662379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/>
      <c r="BD188" s="3"/>
      <c r="BE188" s="3"/>
      <c r="BF188" s="7">
        <v>275.29641095463273</v>
      </c>
    </row>
    <row x14ac:dyDescent="0.25" r="189" customHeight="1" ht="12.75">
      <c r="A189" s="5" t="s">
        <v>31</v>
      </c>
      <c r="B189" s="3" t="s">
        <v>859</v>
      </c>
      <c r="C189" s="3" t="s">
        <v>856</v>
      </c>
      <c r="D189" s="3"/>
      <c r="E189" s="3"/>
      <c r="F189" s="6">
        <f>100*SUM(AM189:AO189)/AL189</f>
      </c>
      <c r="G189" s="6">
        <f>100*SUM(AP189)/AL189</f>
      </c>
      <c r="H189" s="6">
        <f>100*SUM(AQ189)/AL189</f>
      </c>
      <c r="I189" s="6">
        <f>100*SUM(AR189:BC189)/AL189</f>
      </c>
      <c r="J189" s="3"/>
      <c r="K189" s="23">
        <v>0.017935</v>
      </c>
      <c r="L189" s="6">
        <v>8.2</v>
      </c>
      <c r="M189" s="5">
        <v>8</v>
      </c>
      <c r="N189" s="5">
        <v>240</v>
      </c>
      <c r="O189" s="6"/>
      <c r="P189" s="6">
        <v>9.26</v>
      </c>
      <c r="Q189" s="7"/>
      <c r="R189" s="6"/>
      <c r="S189" s="6"/>
      <c r="T189" s="6"/>
      <c r="U189" s="5"/>
      <c r="V189" s="6"/>
      <c r="W189" s="6"/>
      <c r="X189" s="6"/>
      <c r="Y189" s="15"/>
      <c r="Z189" s="6"/>
      <c r="AA189" s="6"/>
      <c r="AB189" s="5"/>
      <c r="AC189" s="3"/>
      <c r="AD189" s="6">
        <v>0.0014706699999999997</v>
      </c>
      <c r="AE189" s="6">
        <v>0.0014348</v>
      </c>
      <c r="AF189" s="7">
        <v>4.3044</v>
      </c>
      <c r="AG189" s="6">
        <v>0</v>
      </c>
      <c r="AH189" s="7">
        <v>0.16607809999999998</v>
      </c>
      <c r="AI189" s="15">
        <v>0.0029054699999999994</v>
      </c>
      <c r="AJ189" s="6">
        <v>16.2</v>
      </c>
      <c r="AK189" s="3"/>
      <c r="AL189" s="6">
        <v>854.1876565659164</v>
      </c>
      <c r="AM189" s="6">
        <v>155.46839199999997</v>
      </c>
      <c r="AN189" s="6">
        <v>173.72248</v>
      </c>
      <c r="AO189" s="6">
        <v>146.85530546623798</v>
      </c>
      <c r="AP189" s="6">
        <v>0</v>
      </c>
      <c r="AQ189" s="6">
        <v>378.14147909967846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/>
      <c r="BD189" s="3"/>
      <c r="BE189" s="3"/>
      <c r="BF189" s="7">
        <v>15.319855620509712</v>
      </c>
    </row>
    <row x14ac:dyDescent="0.25" r="190" customHeight="1" ht="12.75">
      <c r="A190" s="5" t="s">
        <v>614</v>
      </c>
      <c r="B190" s="3" t="s">
        <v>859</v>
      </c>
      <c r="C190" s="3" t="s">
        <v>856</v>
      </c>
      <c r="D190" s="3"/>
      <c r="E190" s="3"/>
      <c r="F190" s="6">
        <f>100*SUM(AM190:AO190)/AL190</f>
      </c>
      <c r="G190" s="6">
        <f>100*SUM(AP190)/AL190</f>
      </c>
      <c r="H190" s="6">
        <f>100*SUM(AQ190)/AL190</f>
      </c>
      <c r="I190" s="6">
        <f>100*SUM(AR190:BC190)/AL190</f>
      </c>
      <c r="J190" s="3"/>
      <c r="K190" s="23">
        <v>0.359492</v>
      </c>
      <c r="L190" s="7">
        <v>4.834540212299578</v>
      </c>
      <c r="M190" s="6"/>
      <c r="N190" s="7">
        <v>44.947629766448216</v>
      </c>
      <c r="O190" s="7">
        <v>1.518696382673328</v>
      </c>
      <c r="P190" s="6"/>
      <c r="Q190" s="7"/>
      <c r="R190" s="6"/>
      <c r="S190" s="6"/>
      <c r="T190" s="6"/>
      <c r="U190" s="5"/>
      <c r="V190" s="6"/>
      <c r="W190" s="6"/>
      <c r="X190" s="6"/>
      <c r="Y190" s="15"/>
      <c r="Z190" s="6"/>
      <c r="AA190" s="6"/>
      <c r="AB190" s="5"/>
      <c r="AC190" s="3"/>
      <c r="AD190" s="6">
        <v>0.0173797853</v>
      </c>
      <c r="AE190" s="6">
        <v>0</v>
      </c>
      <c r="AF190" s="7">
        <v>16.15831332</v>
      </c>
      <c r="AG190" s="6">
        <v>0.005459592</v>
      </c>
      <c r="AH190" s="7">
        <v>0</v>
      </c>
      <c r="AI190" s="15">
        <v>0.022839377299999998</v>
      </c>
      <c r="AJ190" s="6">
        <v>6.353236594972906</v>
      </c>
      <c r="AK190" s="3"/>
      <c r="AL190" s="6">
        <v>224.6297982331806</v>
      </c>
      <c r="AM190" s="6">
        <v>91.66075522750658</v>
      </c>
      <c r="AN190" s="6">
        <v>0</v>
      </c>
      <c r="AO190" s="6">
        <v>27.50332458056301</v>
      </c>
      <c r="AP190" s="6">
        <v>105.46571842511099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/>
      <c r="BD190" s="3"/>
      <c r="BE190" s="3"/>
      <c r="BF190" s="7">
        <v>80.75261542644256</v>
      </c>
    </row>
    <row x14ac:dyDescent="0.25" r="191" customHeight="1" ht="12.75">
      <c r="A191" s="5" t="s">
        <v>564</v>
      </c>
      <c r="B191" s="3" t="s">
        <v>859</v>
      </c>
      <c r="C191" s="3" t="s">
        <v>856</v>
      </c>
      <c r="D191" s="3"/>
      <c r="E191" s="3"/>
      <c r="F191" s="6">
        <f>100*SUM(AM191:AO191)/AL191</f>
      </c>
      <c r="G191" s="6">
        <f>100*SUM(AP191)/AL191</f>
      </c>
      <c r="H191" s="6">
        <f>100*SUM(AQ191)/AL191</f>
      </c>
      <c r="I191" s="6">
        <f>100*SUM(AR191:BC191)/AL191</f>
      </c>
      <c r="J191" s="3"/>
      <c r="K191" s="23">
        <v>0.590703</v>
      </c>
      <c r="L191" s="6">
        <v>2.66</v>
      </c>
      <c r="M191" s="6">
        <v>1.26</v>
      </c>
      <c r="N191" s="6">
        <v>71.6</v>
      </c>
      <c r="O191" s="6">
        <v>1.1</v>
      </c>
      <c r="P191" s="6">
        <v>1.19</v>
      </c>
      <c r="Q191" s="7"/>
      <c r="R191" s="6"/>
      <c r="S191" s="6"/>
      <c r="T191" s="6"/>
      <c r="U191" s="5"/>
      <c r="V191" s="6"/>
      <c r="W191" s="6"/>
      <c r="X191" s="6"/>
      <c r="Y191" s="15"/>
      <c r="Z191" s="6"/>
      <c r="AA191" s="6"/>
      <c r="AB191" s="5"/>
      <c r="AC191" s="3"/>
      <c r="AD191" s="6">
        <v>0.0157126998</v>
      </c>
      <c r="AE191" s="6">
        <v>0.0074428578</v>
      </c>
      <c r="AF191" s="7">
        <v>42.294334799999994</v>
      </c>
      <c r="AG191" s="6">
        <v>0.006497733</v>
      </c>
      <c r="AH191" s="7">
        <v>0.70293657</v>
      </c>
      <c r="AI191" s="15">
        <v>0.0296532906</v>
      </c>
      <c r="AJ191" s="6">
        <v>5.02</v>
      </c>
      <c r="AK191" s="3"/>
      <c r="AL191" s="6">
        <v>246.58979830289388</v>
      </c>
      <c r="AM191" s="6">
        <v>50.4324296</v>
      </c>
      <c r="AN191" s="6">
        <v>27.3612906</v>
      </c>
      <c r="AO191" s="6">
        <v>43.811832797427655</v>
      </c>
      <c r="AP191" s="6">
        <v>76.38939</v>
      </c>
      <c r="AQ191" s="6">
        <v>48.59485530546624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/>
      <c r="BD191" s="3"/>
      <c r="BE191" s="3"/>
      <c r="BF191" s="7">
        <v>145.6613336269143</v>
      </c>
    </row>
    <row x14ac:dyDescent="0.25" r="192" customHeight="1" ht="12.75">
      <c r="A192" s="5" t="s">
        <v>403</v>
      </c>
      <c r="B192" s="3" t="s">
        <v>859</v>
      </c>
      <c r="C192" s="3" t="s">
        <v>856</v>
      </c>
      <c r="D192" s="3" t="s">
        <v>928</v>
      </c>
      <c r="E192" s="3"/>
      <c r="F192" s="6">
        <f>100*SUM(AM192:AO192)/AL192</f>
      </c>
      <c r="G192" s="6">
        <f>100*SUM(AP192)/AL192</f>
      </c>
      <c r="H192" s="6">
        <f>100*SUM(AQ192)/AL192</f>
      </c>
      <c r="I192" s="6">
        <f>100*SUM(AR192:BC192)/AL192</f>
      </c>
      <c r="J192" s="3"/>
      <c r="K192" s="5">
        <v>20</v>
      </c>
      <c r="L192" s="6">
        <v>1.5</v>
      </c>
      <c r="M192" s="5">
        <v>2</v>
      </c>
      <c r="N192" s="5">
        <v>30</v>
      </c>
      <c r="O192" s="5">
        <v>1</v>
      </c>
      <c r="P192" s="5">
        <v>1</v>
      </c>
      <c r="Q192" s="7"/>
      <c r="R192" s="6"/>
      <c r="S192" s="6"/>
      <c r="T192" s="6"/>
      <c r="U192" s="5"/>
      <c r="V192" s="6"/>
      <c r="W192" s="6"/>
      <c r="X192" s="6"/>
      <c r="Y192" s="15"/>
      <c r="Z192" s="6"/>
      <c r="AA192" s="6"/>
      <c r="AB192" s="5"/>
      <c r="AC192" s="3"/>
      <c r="AD192" s="6">
        <v>0.3</v>
      </c>
      <c r="AE192" s="6">
        <v>0.4</v>
      </c>
      <c r="AF192" s="7">
        <v>600</v>
      </c>
      <c r="AG192" s="6">
        <v>0.2</v>
      </c>
      <c r="AH192" s="7">
        <v>20</v>
      </c>
      <c r="AI192" s="15">
        <v>0.8999999999999999</v>
      </c>
      <c r="AJ192" s="6">
        <v>4.5</v>
      </c>
      <c r="AK192" s="3"/>
      <c r="AL192" s="6">
        <v>200.50778604501608</v>
      </c>
      <c r="AM192" s="6">
        <v>28.439339999999998</v>
      </c>
      <c r="AN192" s="6">
        <v>43.43062</v>
      </c>
      <c r="AO192" s="6">
        <v>18.356913183279747</v>
      </c>
      <c r="AP192" s="6">
        <v>69.4449</v>
      </c>
      <c r="AQ192" s="6">
        <v>40.836012861736336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/>
      <c r="BD192" s="3"/>
      <c r="BE192" s="3"/>
      <c r="BF192" s="7">
        <v>4010.1557209003213</v>
      </c>
    </row>
    <row x14ac:dyDescent="0.25" r="193" customHeight="1" ht="12.75">
      <c r="A193" s="5" t="s">
        <v>583</v>
      </c>
      <c r="B193" s="3" t="s">
        <v>859</v>
      </c>
      <c r="C193" s="3" t="s">
        <v>856</v>
      </c>
      <c r="D193" s="3" t="s">
        <v>928</v>
      </c>
      <c r="E193" s="3"/>
      <c r="F193" s="6">
        <f>100*SUM(AM193:AO193)/AL193</f>
      </c>
      <c r="G193" s="6">
        <f>100*SUM(AP193)/AL193</f>
      </c>
      <c r="H193" s="6">
        <f>100*SUM(AQ193)/AL193</f>
      </c>
      <c r="I193" s="6">
        <f>100*SUM(AR193:BC193)/AL193</f>
      </c>
      <c r="J193" s="3"/>
      <c r="K193" s="6">
        <v>9.3</v>
      </c>
      <c r="L193" s="6">
        <v>1.4</v>
      </c>
      <c r="M193" s="6">
        <v>2.3</v>
      </c>
      <c r="N193" s="5">
        <v>36</v>
      </c>
      <c r="O193" s="6"/>
      <c r="P193" s="5">
        <v>3</v>
      </c>
      <c r="Q193" s="7"/>
      <c r="R193" s="6"/>
      <c r="S193" s="6"/>
      <c r="T193" s="6"/>
      <c r="U193" s="5"/>
      <c r="V193" s="6"/>
      <c r="W193" s="6"/>
      <c r="X193" s="6"/>
      <c r="Y193" s="15"/>
      <c r="Z193" s="6"/>
      <c r="AA193" s="6"/>
      <c r="AB193" s="5"/>
      <c r="AC193" s="3"/>
      <c r="AD193" s="6">
        <v>0.13019999999999998</v>
      </c>
      <c r="AE193" s="6">
        <v>0.2139</v>
      </c>
      <c r="AF193" s="7">
        <v>334.8</v>
      </c>
      <c r="AG193" s="6">
        <v>0</v>
      </c>
      <c r="AH193" s="7">
        <v>27.900000000000002</v>
      </c>
      <c r="AI193" s="15">
        <v>0.34409999999999996</v>
      </c>
      <c r="AJ193" s="6">
        <v>3.6999999999999997</v>
      </c>
      <c r="AK193" s="3"/>
      <c r="AL193" s="6">
        <v>221.02493140514468</v>
      </c>
      <c r="AM193" s="6">
        <v>26.543383999999996</v>
      </c>
      <c r="AN193" s="6">
        <v>49.945212999999995</v>
      </c>
      <c r="AO193" s="6">
        <v>22.028295819935696</v>
      </c>
      <c r="AP193" s="6">
        <v>0</v>
      </c>
      <c r="AQ193" s="6">
        <v>122.50803858520901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/>
      <c r="BD193" s="3"/>
      <c r="BE193" s="3"/>
      <c r="BF193" s="7">
        <v>2055.531862067846</v>
      </c>
    </row>
    <row x14ac:dyDescent="0.25" r="194" customHeight="1" ht="12.75">
      <c r="A194" s="5" t="s">
        <v>412</v>
      </c>
      <c r="B194" s="3" t="s">
        <v>859</v>
      </c>
      <c r="C194" s="3" t="s">
        <v>856</v>
      </c>
      <c r="D194" s="3" t="s">
        <v>928</v>
      </c>
      <c r="E194" s="3"/>
      <c r="F194" s="6">
        <f>100*SUM(AM194:AO194)/AL194</f>
      </c>
      <c r="G194" s="6">
        <f>100*SUM(AP194)/AL194</f>
      </c>
      <c r="H194" s="6">
        <f>100*SUM(AQ194)/AL194</f>
      </c>
      <c r="I194" s="6">
        <f>100*SUM(AR194:BC194)/AL194</f>
      </c>
      <c r="J194" s="3"/>
      <c r="K194" s="6">
        <v>15.4</v>
      </c>
      <c r="L194" s="6">
        <v>1.1</v>
      </c>
      <c r="M194" s="6">
        <v>1.21</v>
      </c>
      <c r="N194" s="6">
        <v>92.1</v>
      </c>
      <c r="O194" s="6">
        <v>0.8</v>
      </c>
      <c r="P194" s="6">
        <v>2.31</v>
      </c>
      <c r="Q194" s="7"/>
      <c r="R194" s="6"/>
      <c r="S194" s="6"/>
      <c r="T194" s="6"/>
      <c r="U194" s="5"/>
      <c r="V194" s="6"/>
      <c r="W194" s="6"/>
      <c r="X194" s="6"/>
      <c r="Y194" s="15"/>
      <c r="Z194" s="6"/>
      <c r="AA194" s="6"/>
      <c r="AB194" s="5"/>
      <c r="AC194" s="3"/>
      <c r="AD194" s="6">
        <v>0.16940000000000002</v>
      </c>
      <c r="AE194" s="6">
        <v>0.18634</v>
      </c>
      <c r="AF194" s="7">
        <v>1418.34</v>
      </c>
      <c r="AG194" s="6">
        <v>0.1232</v>
      </c>
      <c r="AH194" s="7">
        <v>35.574000000000005</v>
      </c>
      <c r="AI194" s="15">
        <v>0.47894000000000003</v>
      </c>
      <c r="AJ194" s="6">
        <v>3.1100000000000003</v>
      </c>
      <c r="AK194" s="3"/>
      <c r="AL194" s="6">
        <v>253.37387428327975</v>
      </c>
      <c r="AM194" s="6">
        <v>20.855516</v>
      </c>
      <c r="AN194" s="6">
        <v>26.2755251</v>
      </c>
      <c r="AO194" s="6">
        <v>56.355723472668814</v>
      </c>
      <c r="AP194" s="6">
        <v>55.55592</v>
      </c>
      <c r="AQ194" s="6">
        <v>94.33118971061093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/>
      <c r="BD194" s="3"/>
      <c r="BE194" s="3"/>
      <c r="BF194" s="7">
        <v>3901.9576639625084</v>
      </c>
    </row>
    <row x14ac:dyDescent="0.25" r="195" customHeight="1" ht="12.75">
      <c r="A195" s="5" t="s">
        <v>772</v>
      </c>
      <c r="B195" s="3" t="s">
        <v>859</v>
      </c>
      <c r="C195" s="3" t="s">
        <v>856</v>
      </c>
      <c r="D195" s="3" t="s">
        <v>925</v>
      </c>
      <c r="E195" s="3"/>
      <c r="F195" s="6">
        <f>100*SUM(AM195:AO195)/AL195</f>
      </c>
      <c r="G195" s="6">
        <f>100*SUM(AP195)/AL195</f>
      </c>
      <c r="H195" s="6">
        <f>100*SUM(AQ195)/AL195</f>
      </c>
      <c r="I195" s="6">
        <f>100*SUM(AR195:BC195)/AL195</f>
      </c>
      <c r="J195" s="3"/>
      <c r="K195" s="23">
        <v>2.4952389999999998</v>
      </c>
      <c r="L195" s="6"/>
      <c r="M195" s="6">
        <v>0.8890759301213232</v>
      </c>
      <c r="N195" s="6">
        <v>2.5380186346878997</v>
      </c>
      <c r="O195" s="6">
        <v>1.6527907106293225</v>
      </c>
      <c r="P195" s="6">
        <v>0.49782864086366085</v>
      </c>
      <c r="Q195" s="7"/>
      <c r="R195" s="6"/>
      <c r="S195" s="6"/>
      <c r="T195" s="6"/>
      <c r="U195" s="5"/>
      <c r="V195" s="6"/>
      <c r="W195" s="6"/>
      <c r="X195" s="6"/>
      <c r="Y195" s="15"/>
      <c r="Z195" s="6"/>
      <c r="AA195" s="6"/>
      <c r="AB195" s="5"/>
      <c r="AC195" s="3"/>
      <c r="AD195" s="6">
        <v>0</v>
      </c>
      <c r="AE195" s="6">
        <v>0.022184569348</v>
      </c>
      <c r="AF195" s="7">
        <v>6.33296308</v>
      </c>
      <c r="AG195" s="6">
        <v>0.0412410784</v>
      </c>
      <c r="AH195" s="7">
        <v>1.24220144</v>
      </c>
      <c r="AI195" s="15">
        <v>0.063425647748</v>
      </c>
      <c r="AJ195" s="6">
        <v>2.5418666407506456</v>
      </c>
      <c r="AK195" s="3"/>
      <c r="AL195" s="6">
        <v>155.96678809577134</v>
      </c>
      <c r="AM195" s="6">
        <v>0</v>
      </c>
      <c r="AN195" s="6">
        <v>19.30655943612287</v>
      </c>
      <c r="AO195" s="6">
        <v>1.5530062578170656</v>
      </c>
      <c r="AP195" s="6">
        <v>114.77788562058224</v>
      </c>
      <c r="AQ195" s="6">
        <v>20.329336781249175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0</v>
      </c>
      <c r="BC195" s="6"/>
      <c r="BD195" s="3"/>
      <c r="BE195" s="3"/>
      <c r="BF195" s="7">
        <v>389.17441236130435</v>
      </c>
    </row>
    <row x14ac:dyDescent="0.25" r="196" customHeight="1" ht="12.75">
      <c r="A196" s="5" t="s">
        <v>846</v>
      </c>
      <c r="B196" s="3" t="s">
        <v>855</v>
      </c>
      <c r="C196" s="3" t="s">
        <v>956</v>
      </c>
      <c r="D196" s="3" t="s">
        <v>957</v>
      </c>
      <c r="E196" s="3"/>
      <c r="F196" s="6">
        <f>100*SUM(AM196:AO196)/AL196</f>
      </c>
      <c r="G196" s="6">
        <f>100*SUM(AP196)/AL196</f>
      </c>
      <c r="H196" s="6">
        <f>100*SUM(AQ196)/AL196</f>
      </c>
      <c r="I196" s="6">
        <f>100*SUM(AR196:BC196)/AL196</f>
      </c>
      <c r="J196" s="3"/>
      <c r="K196" s="6">
        <v>3.499</v>
      </c>
      <c r="L196" s="6"/>
      <c r="M196" s="6">
        <v>0.29</v>
      </c>
      <c r="N196" s="7"/>
      <c r="O196" s="6">
        <v>0.45</v>
      </c>
      <c r="P196" s="6"/>
      <c r="Q196" s="7"/>
      <c r="R196" s="6"/>
      <c r="S196" s="6"/>
      <c r="T196" s="6">
        <v>0.33</v>
      </c>
      <c r="U196" s="5"/>
      <c r="V196" s="6"/>
      <c r="W196" s="6"/>
      <c r="X196" s="6"/>
      <c r="Y196" s="15"/>
      <c r="Z196" s="6"/>
      <c r="AA196" s="6"/>
      <c r="AB196" s="5"/>
      <c r="AC196" s="3"/>
      <c r="AD196" s="6">
        <v>0</v>
      </c>
      <c r="AE196" s="6">
        <v>0.0101471</v>
      </c>
      <c r="AF196" s="7">
        <v>0</v>
      </c>
      <c r="AG196" s="6">
        <v>0.015745500000000003</v>
      </c>
      <c r="AH196" s="7">
        <v>0</v>
      </c>
      <c r="AI196" s="15">
        <v>0.0258926</v>
      </c>
      <c r="AJ196" s="6">
        <v>0.74</v>
      </c>
      <c r="AK196" s="3"/>
      <c r="AL196" s="6">
        <v>40.7816449</v>
      </c>
      <c r="AM196" s="6">
        <v>0</v>
      </c>
      <c r="AN196" s="6">
        <v>6.2974399</v>
      </c>
      <c r="AO196" s="6">
        <v>0</v>
      </c>
      <c r="AP196" s="6">
        <v>31.250205</v>
      </c>
      <c r="AQ196" s="6">
        <v>0</v>
      </c>
      <c r="AR196" s="6">
        <v>0</v>
      </c>
      <c r="AS196" s="6">
        <v>0</v>
      </c>
      <c r="AT196" s="6">
        <v>0</v>
      </c>
      <c r="AU196" s="6">
        <v>3.234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/>
      <c r="BD196" s="3"/>
      <c r="BE196" s="3"/>
      <c r="BF196" s="7">
        <v>142.69497550510002</v>
      </c>
    </row>
    <row x14ac:dyDescent="0.25" r="197" customHeight="1" ht="12.75">
      <c r="A197" s="5" t="s">
        <v>10</v>
      </c>
      <c r="B197" s="3" t="s">
        <v>855</v>
      </c>
      <c r="C197" s="3" t="s">
        <v>958</v>
      </c>
      <c r="D197" s="3" t="s">
        <v>959</v>
      </c>
      <c r="E197" s="3"/>
      <c r="F197" s="6">
        <f>100*SUM(AM197:AO197)/AL197</f>
      </c>
      <c r="G197" s="6">
        <f>100*SUM(AP197)/AL197</f>
      </c>
      <c r="H197" s="6">
        <f>100*SUM(AQ197)/AL197</f>
      </c>
      <c r="I197" s="6">
        <f>100*SUM(AR197:BC197)/AL197</f>
      </c>
      <c r="J197" s="3"/>
      <c r="K197" s="5">
        <v>956</v>
      </c>
      <c r="L197" s="6"/>
      <c r="M197" s="23">
        <v>0.2351</v>
      </c>
      <c r="N197" s="5"/>
      <c r="O197" s="6"/>
      <c r="P197" s="6"/>
      <c r="Q197" s="7"/>
      <c r="R197" s="6"/>
      <c r="S197" s="6"/>
      <c r="T197" s="6"/>
      <c r="U197" s="5"/>
      <c r="V197" s="6"/>
      <c r="W197" s="6"/>
      <c r="X197" s="6"/>
      <c r="Y197" s="6">
        <v>0.0273</v>
      </c>
      <c r="Z197" s="6"/>
      <c r="AA197" s="6"/>
      <c r="AB197" s="6">
        <v>1.08</v>
      </c>
      <c r="AC197" s="3" t="s">
        <v>960</v>
      </c>
      <c r="AD197" s="6">
        <v>0</v>
      </c>
      <c r="AE197" s="6">
        <v>2.2475560000000003</v>
      </c>
      <c r="AF197" s="7">
        <v>0</v>
      </c>
      <c r="AG197" s="6">
        <v>0</v>
      </c>
      <c r="AH197" s="7">
        <v>0</v>
      </c>
      <c r="AI197" s="15">
        <v>2.2475560000000003</v>
      </c>
      <c r="AJ197" s="6">
        <v>0.2351</v>
      </c>
      <c r="AK197" s="3"/>
      <c r="AL197" s="6">
        <v>240.966510781</v>
      </c>
      <c r="AM197" s="6">
        <v>0</v>
      </c>
      <c r="AN197" s="6">
        <v>5.105269381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19.8612414</v>
      </c>
      <c r="BA197" s="6">
        <v>0</v>
      </c>
      <c r="BB197" s="6">
        <v>0</v>
      </c>
      <c r="BC197" s="6">
        <v>216</v>
      </c>
      <c r="BD197" s="3" t="s">
        <v>961</v>
      </c>
      <c r="BE197" s="3"/>
      <c r="BF197" s="7">
        <v>230363.984306636</v>
      </c>
    </row>
    <row x14ac:dyDescent="0.25" r="198" customHeight="1" ht="12.75">
      <c r="A198" s="5" t="s">
        <v>668</v>
      </c>
      <c r="B198" s="3" t="s">
        <v>855</v>
      </c>
      <c r="C198" s="3" t="s">
        <v>962</v>
      </c>
      <c r="D198" s="3" t="s">
        <v>963</v>
      </c>
      <c r="E198" s="3"/>
      <c r="F198" s="6">
        <f>100*SUM(AM198:AO198)/AL198</f>
      </c>
      <c r="G198" s="6">
        <f>100*SUM(AP198)/AL198</f>
      </c>
      <c r="H198" s="6">
        <f>100*SUM(AQ198)/AL198</f>
      </c>
      <c r="I198" s="6">
        <f>100*SUM(AR198:BC198)/AL198</f>
      </c>
      <c r="J198" s="3"/>
      <c r="K198" s="6">
        <v>12.2</v>
      </c>
      <c r="L198" s="6">
        <v>0.56</v>
      </c>
      <c r="M198" s="6"/>
      <c r="N198" s="5"/>
      <c r="O198" s="6">
        <v>0.49</v>
      </c>
      <c r="P198" s="6"/>
      <c r="Q198" s="7"/>
      <c r="R198" s="6">
        <v>0.14</v>
      </c>
      <c r="S198" s="6">
        <v>0.14</v>
      </c>
      <c r="T198" s="6"/>
      <c r="U198" s="5"/>
      <c r="V198" s="6"/>
      <c r="W198" s="6"/>
      <c r="X198" s="6"/>
      <c r="Y198" s="15"/>
      <c r="Z198" s="6"/>
      <c r="AA198" s="6"/>
      <c r="AB198" s="5"/>
      <c r="AC198" s="3"/>
      <c r="AD198" s="6">
        <v>0.06831999999999999</v>
      </c>
      <c r="AE198" s="6">
        <v>0</v>
      </c>
      <c r="AF198" s="7">
        <v>0</v>
      </c>
      <c r="AG198" s="6">
        <v>0.05978</v>
      </c>
      <c r="AH198" s="7">
        <v>0</v>
      </c>
      <c r="AI198" s="15">
        <v>0.1281</v>
      </c>
      <c r="AJ198" s="6">
        <v>1.05</v>
      </c>
      <c r="AK198" s="3"/>
      <c r="AL198" s="6">
        <v>111.4637146</v>
      </c>
      <c r="AM198" s="6">
        <v>10.617353600000001</v>
      </c>
      <c r="AN198" s="6">
        <v>0</v>
      </c>
      <c r="AO198" s="6">
        <v>0</v>
      </c>
      <c r="AP198" s="6">
        <v>34.028000999999996</v>
      </c>
      <c r="AQ198" s="6">
        <v>0</v>
      </c>
      <c r="AR198" s="6">
        <v>0</v>
      </c>
      <c r="AS198" s="6">
        <v>23.608200000000004</v>
      </c>
      <c r="AT198" s="6">
        <v>43.21016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/>
      <c r="BD198" s="3"/>
      <c r="BE198" s="3"/>
      <c r="BF198" s="7">
        <v>1359.85731812</v>
      </c>
    </row>
    <row x14ac:dyDescent="0.25" r="199" customHeight="1" ht="12.75">
      <c r="A199" s="5" t="s">
        <v>514</v>
      </c>
      <c r="B199" s="3" t="s">
        <v>859</v>
      </c>
      <c r="C199" s="3" t="s">
        <v>964</v>
      </c>
      <c r="D199" s="3"/>
      <c r="E199" s="3"/>
      <c r="F199" s="6">
        <f>100*SUM(AM199:AO199)/AL199</f>
      </c>
      <c r="G199" s="6">
        <f>100*SUM(AP199)/AL199</f>
      </c>
      <c r="H199" s="6">
        <f>100*SUM(AQ199)/AL199</f>
      </c>
      <c r="I199" s="6">
        <f>100*SUM(AR199:BC199)/AL199</f>
      </c>
      <c r="J199" s="3"/>
      <c r="K199" s="23">
        <v>0.139371</v>
      </c>
      <c r="L199" s="6">
        <v>3.7</v>
      </c>
      <c r="M199" s="6"/>
      <c r="N199" s="5">
        <v>316</v>
      </c>
      <c r="O199" s="6"/>
      <c r="P199" s="6"/>
      <c r="Q199" s="7"/>
      <c r="R199" s="6"/>
      <c r="S199" s="6"/>
      <c r="T199" s="6"/>
      <c r="U199" s="5"/>
      <c r="V199" s="6"/>
      <c r="W199" s="6"/>
      <c r="X199" s="6"/>
      <c r="Y199" s="15"/>
      <c r="Z199" s="6"/>
      <c r="AA199" s="6"/>
      <c r="AB199" s="5"/>
      <c r="AC199" s="3"/>
      <c r="AD199" s="6">
        <v>0.005156727</v>
      </c>
      <c r="AE199" s="6">
        <v>0</v>
      </c>
      <c r="AF199" s="7">
        <v>44.041236</v>
      </c>
      <c r="AG199" s="6">
        <v>0</v>
      </c>
      <c r="AH199" s="7">
        <v>0</v>
      </c>
      <c r="AI199" s="15">
        <v>0.005156727</v>
      </c>
      <c r="AJ199" s="6">
        <v>3.7</v>
      </c>
      <c r="AK199" s="3"/>
      <c r="AL199" s="6">
        <v>263.50985753054664</v>
      </c>
      <c r="AM199" s="6">
        <v>70.150372</v>
      </c>
      <c r="AN199" s="6">
        <v>0</v>
      </c>
      <c r="AO199" s="6">
        <v>193.35948553054664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/>
      <c r="BD199" s="3"/>
      <c r="BE199" s="3"/>
      <c r="BF199" s="7">
        <v>36.725632353889814</v>
      </c>
    </row>
    <row x14ac:dyDescent="0.25" r="200" customHeight="1" ht="12.75">
      <c r="A200" s="5" t="s">
        <v>118</v>
      </c>
      <c r="B200" s="3" t="s">
        <v>855</v>
      </c>
      <c r="C200" s="3" t="s">
        <v>861</v>
      </c>
      <c r="D200" s="3"/>
      <c r="E200" s="3"/>
      <c r="F200" s="6">
        <f>100*SUM(AM200:AO200)/AL200</f>
      </c>
      <c r="G200" s="6">
        <f>100*SUM(AP200)/AL200</f>
      </c>
      <c r="H200" s="6">
        <f>100*SUM(AQ200)/AL200</f>
      </c>
      <c r="I200" s="6">
        <f>100*SUM(AR200:BC200)/AL200</f>
      </c>
      <c r="J200" s="3"/>
      <c r="K200" s="23">
        <v>8.269128</v>
      </c>
      <c r="L200" s="6">
        <v>0.35</v>
      </c>
      <c r="M200" s="6">
        <v>0.02</v>
      </c>
      <c r="N200" s="31">
        <v>836.4638447971781</v>
      </c>
      <c r="O200" s="6">
        <v>0.26</v>
      </c>
      <c r="P200" s="6"/>
      <c r="Q200" s="7"/>
      <c r="R200" s="6"/>
      <c r="S200" s="6"/>
      <c r="T200" s="6"/>
      <c r="U200" s="5"/>
      <c r="V200" s="6"/>
      <c r="W200" s="6"/>
      <c r="X200" s="6"/>
      <c r="Y200" s="15"/>
      <c r="Z200" s="6"/>
      <c r="AA200" s="6"/>
      <c r="AB200" s="5"/>
      <c r="AC200" s="3"/>
      <c r="AD200" s="6">
        <v>0.028941948</v>
      </c>
      <c r="AE200" s="6">
        <v>0.0016538256</v>
      </c>
      <c r="AF200" s="7">
        <v>6916.8266</v>
      </c>
      <c r="AG200" s="6">
        <v>0.0214997328</v>
      </c>
      <c r="AH200" s="7">
        <v>0</v>
      </c>
      <c r="AI200" s="15">
        <v>0.0520955064</v>
      </c>
      <c r="AJ200" s="6">
        <v>0.63</v>
      </c>
      <c r="AK200" s="3"/>
      <c r="AL200" s="6">
        <v>536.9556321964727</v>
      </c>
      <c r="AM200" s="6">
        <v>6.635845999999999</v>
      </c>
      <c r="AN200" s="6">
        <v>0.43430620000000003</v>
      </c>
      <c r="AO200" s="6">
        <v>511.8298059964727</v>
      </c>
      <c r="AP200" s="6">
        <v>18.055674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/>
      <c r="BD200" s="3"/>
      <c r="BE200" s="3"/>
      <c r="BF200" s="7">
        <v>4440.154852953554</v>
      </c>
    </row>
    <row x14ac:dyDescent="0.25" r="201" customHeight="1" ht="12.75">
      <c r="A201" s="5" t="s">
        <v>319</v>
      </c>
      <c r="B201" s="3" t="s">
        <v>855</v>
      </c>
      <c r="C201" s="3" t="s">
        <v>861</v>
      </c>
      <c r="D201" s="3"/>
      <c r="E201" s="3"/>
      <c r="F201" s="6">
        <f>100*SUM(AM201:AO201)/AL201</f>
      </c>
      <c r="G201" s="6">
        <f>100*SUM(AP201)/AL201</f>
      </c>
      <c r="H201" s="6">
        <f>100*SUM(AQ201)/AL201</f>
      </c>
      <c r="I201" s="6">
        <f>100*SUM(AR201:BC201)/AL201</f>
      </c>
      <c r="J201" s="3"/>
      <c r="K201" s="6">
        <v>90.64</v>
      </c>
      <c r="L201" s="6"/>
      <c r="M201" s="6">
        <v>1.3472786849073257</v>
      </c>
      <c r="N201" s="5"/>
      <c r="O201" s="6">
        <v>0.3246320609002648</v>
      </c>
      <c r="P201" s="6"/>
      <c r="Q201" s="7"/>
      <c r="R201" s="6"/>
      <c r="S201" s="6"/>
      <c r="T201" s="6"/>
      <c r="U201" s="5"/>
      <c r="V201" s="6"/>
      <c r="W201" s="6"/>
      <c r="X201" s="6"/>
      <c r="Y201" s="15"/>
      <c r="Z201" s="6"/>
      <c r="AA201" s="6"/>
      <c r="AB201" s="5"/>
      <c r="AC201" s="3"/>
      <c r="AD201" s="6">
        <v>0</v>
      </c>
      <c r="AE201" s="6">
        <v>1.2211734</v>
      </c>
      <c r="AF201" s="7">
        <v>0</v>
      </c>
      <c r="AG201" s="6">
        <v>0.2942465</v>
      </c>
      <c r="AH201" s="7">
        <v>0</v>
      </c>
      <c r="AI201" s="15">
        <v>1.5154199000000002</v>
      </c>
      <c r="AJ201" s="6">
        <v>1.6719107458075906</v>
      </c>
      <c r="AK201" s="3"/>
      <c r="AL201" s="6">
        <v>51.800615305167696</v>
      </c>
      <c r="AM201" s="6">
        <v>0</v>
      </c>
      <c r="AN201" s="6">
        <v>29.2565742991549</v>
      </c>
      <c r="AO201" s="6">
        <v>0</v>
      </c>
      <c r="AP201" s="6">
        <v>22.5440410060128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/>
      <c r="BD201" s="3"/>
      <c r="BE201" s="3"/>
      <c r="BF201" s="7">
        <v>4695.2077712604</v>
      </c>
    </row>
    <row x14ac:dyDescent="0.25" r="202" customHeight="1" ht="12.75">
      <c r="A202" s="5" t="s">
        <v>235</v>
      </c>
      <c r="B202" s="3" t="s">
        <v>855</v>
      </c>
      <c r="C202" s="3" t="s">
        <v>861</v>
      </c>
      <c r="D202" s="3"/>
      <c r="E202" s="3"/>
      <c r="F202" s="6">
        <f>100*SUM(AM202:AO202)/AL202</f>
      </c>
      <c r="G202" s="6">
        <f>100*SUM(AP202)/AL202</f>
      </c>
      <c r="H202" s="6">
        <f>100*SUM(AQ202)/AL202</f>
      </c>
      <c r="I202" s="6">
        <f>100*SUM(AR202:BC202)/AL202</f>
      </c>
      <c r="J202" s="3"/>
      <c r="K202" s="6">
        <v>144.3</v>
      </c>
      <c r="L202" s="6">
        <v>0.05328482328482328</v>
      </c>
      <c r="M202" s="6">
        <v>0.30187803187803186</v>
      </c>
      <c r="N202" s="7">
        <v>5.903811503811504</v>
      </c>
      <c r="O202" s="6">
        <v>0.5234095634095635</v>
      </c>
      <c r="P202" s="6">
        <v>0.0971032571032571</v>
      </c>
      <c r="Q202" s="7"/>
      <c r="R202" s="6"/>
      <c r="S202" s="15">
        <v>0.00795128205128205</v>
      </c>
      <c r="T202" s="6"/>
      <c r="U202" s="5"/>
      <c r="V202" s="23">
        <v>0.006632016632016632</v>
      </c>
      <c r="W202" s="6"/>
      <c r="X202" s="6"/>
      <c r="Y202" s="15"/>
      <c r="Z202" s="6"/>
      <c r="AA202" s="6"/>
      <c r="AB202" s="6">
        <v>0.03291753291753292</v>
      </c>
      <c r="AC202" s="3" t="s">
        <v>965</v>
      </c>
      <c r="AD202" s="6">
        <v>0.07689</v>
      </c>
      <c r="AE202" s="6">
        <v>0.43561</v>
      </c>
      <c r="AF202" s="7">
        <v>851.9200000000001</v>
      </c>
      <c r="AG202" s="6">
        <v>0.7552800000000002</v>
      </c>
      <c r="AH202" s="7">
        <v>14.012</v>
      </c>
      <c r="AI202" s="15">
        <v>1.2677800000000001</v>
      </c>
      <c r="AJ202" s="6">
        <v>0.8785724185724186</v>
      </c>
      <c r="AK202" s="3"/>
      <c r="AL202" s="6">
        <v>55.8284722389834</v>
      </c>
      <c r="AM202" s="6">
        <v>1.010256804158004</v>
      </c>
      <c r="AN202" s="6">
        <v>6.555375044421344</v>
      </c>
      <c r="AO202" s="6">
        <v>3.6125251741972004</v>
      </c>
      <c r="AP202" s="6">
        <v>36.34812479002079</v>
      </c>
      <c r="AQ202" s="6">
        <v>3.965309855985097</v>
      </c>
      <c r="AR202" s="6">
        <v>0</v>
      </c>
      <c r="AS202" s="6">
        <v>0</v>
      </c>
      <c r="AT202" s="6">
        <v>2.454115497435897</v>
      </c>
      <c r="AU202" s="6">
        <v>0</v>
      </c>
      <c r="AV202" s="6">
        <v>0</v>
      </c>
      <c r="AW202" s="6">
        <v>1.7840124740124739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0.09875259875259874</v>
      </c>
      <c r="BD202" s="3" t="s">
        <v>966</v>
      </c>
      <c r="BE202" s="3"/>
      <c r="BF202" s="7">
        <v>8056.048544085305</v>
      </c>
    </row>
    <row x14ac:dyDescent="0.25" r="203" customHeight="1" ht="12.75">
      <c r="A203" s="5" t="s">
        <v>620</v>
      </c>
      <c r="B203" s="3" t="s">
        <v>855</v>
      </c>
      <c r="C203" s="3" t="s">
        <v>861</v>
      </c>
      <c r="D203" s="3"/>
      <c r="E203" s="3"/>
      <c r="F203" s="6">
        <f>100*SUM(AM203:AO203)/AL203</f>
      </c>
      <c r="G203" s="6">
        <f>100*SUM(AP203)/AL203</f>
      </c>
      <c r="H203" s="6">
        <f>100*SUM(AQ203)/AL203</f>
      </c>
      <c r="I203" s="6">
        <f>100*SUM(AR203:BC203)/AL203</f>
      </c>
      <c r="J203" s="3"/>
      <c r="K203" s="6">
        <v>34.4</v>
      </c>
      <c r="L203" s="6"/>
      <c r="M203" s="6">
        <v>0.38</v>
      </c>
      <c r="N203" s="5"/>
      <c r="O203" s="6">
        <v>0.1</v>
      </c>
      <c r="P203" s="6"/>
      <c r="Q203" s="7"/>
      <c r="R203" s="6">
        <v>0.19</v>
      </c>
      <c r="S203" s="6"/>
      <c r="T203" s="6"/>
      <c r="U203" s="5"/>
      <c r="V203" s="6"/>
      <c r="W203" s="6"/>
      <c r="X203" s="6"/>
      <c r="Y203" s="15"/>
      <c r="Z203" s="6"/>
      <c r="AA203" s="6"/>
      <c r="AB203" s="5"/>
      <c r="AC203" s="3"/>
      <c r="AD203" s="6">
        <v>0</v>
      </c>
      <c r="AE203" s="6">
        <v>0.13072</v>
      </c>
      <c r="AF203" s="7">
        <v>0</v>
      </c>
      <c r="AG203" s="6">
        <v>0.0344</v>
      </c>
      <c r="AH203" s="7">
        <v>0</v>
      </c>
      <c r="AI203" s="15">
        <v>0.16512</v>
      </c>
      <c r="AJ203" s="6">
        <v>0.48</v>
      </c>
      <c r="AK203" s="3"/>
      <c r="AL203" s="6">
        <v>47.2360078</v>
      </c>
      <c r="AM203" s="6">
        <v>0</v>
      </c>
      <c r="AN203" s="6">
        <v>8.2518178</v>
      </c>
      <c r="AO203" s="6">
        <v>0</v>
      </c>
      <c r="AP203" s="6">
        <v>6.94449</v>
      </c>
      <c r="AQ203" s="6">
        <v>0</v>
      </c>
      <c r="AR203" s="6">
        <v>0</v>
      </c>
      <c r="AS203" s="6">
        <v>32.0397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/>
      <c r="BD203" s="3"/>
      <c r="BE203" s="3"/>
      <c r="BF203" s="7">
        <v>1624.91866832</v>
      </c>
    </row>
    <row x14ac:dyDescent="0.25" r="204" customHeight="1" ht="12.75">
      <c r="A204" s="5" t="s">
        <v>441</v>
      </c>
      <c r="B204" s="3" t="s">
        <v>855</v>
      </c>
      <c r="C204" s="3" t="s">
        <v>861</v>
      </c>
      <c r="D204" s="3"/>
      <c r="E204" s="3"/>
      <c r="F204" s="6">
        <f>100*SUM(AM204:AO204)/AL204</f>
      </c>
      <c r="G204" s="6">
        <f>100*SUM(AP204)/AL204</f>
      </c>
      <c r="H204" s="6">
        <f>100*SUM(AQ204)/AL204</f>
      </c>
      <c r="I204" s="6">
        <f>100*SUM(AR204:BC204)/AL204</f>
      </c>
      <c r="J204" s="3"/>
      <c r="K204" s="6">
        <v>41.26</v>
      </c>
      <c r="L204" s="6"/>
      <c r="M204" s="6">
        <v>0.1895128453708192</v>
      </c>
      <c r="N204" s="6">
        <v>2.8106713523994182</v>
      </c>
      <c r="O204" s="6">
        <v>1.1423388269510422</v>
      </c>
      <c r="P204" s="6">
        <v>0.009524963645176927</v>
      </c>
      <c r="Q204" s="7"/>
      <c r="R204" s="6"/>
      <c r="S204" s="6"/>
      <c r="T204" s="6"/>
      <c r="U204" s="5"/>
      <c r="V204" s="6"/>
      <c r="W204" s="6"/>
      <c r="X204" s="6"/>
      <c r="Y204" s="15"/>
      <c r="Z204" s="6"/>
      <c r="AA204" s="6"/>
      <c r="AB204" s="5"/>
      <c r="AC204" s="3"/>
      <c r="AD204" s="6">
        <v>0</v>
      </c>
      <c r="AE204" s="6">
        <v>0.078193</v>
      </c>
      <c r="AF204" s="7">
        <v>115.96829999999999</v>
      </c>
      <c r="AG204" s="6">
        <v>0.471329</v>
      </c>
      <c r="AH204" s="7">
        <v>0.39299999999999996</v>
      </c>
      <c r="AI204" s="15">
        <v>0.549522</v>
      </c>
      <c r="AJ204" s="6">
        <v>1.3318516723218614</v>
      </c>
      <c r="AK204" s="3"/>
      <c r="AL204" s="6">
        <v>85.55373899462144</v>
      </c>
      <c r="AM204" s="6">
        <v>0</v>
      </c>
      <c r="AN204" s="6">
        <v>4.115330186209404</v>
      </c>
      <c r="AO204" s="6">
        <v>1.7198416667575864</v>
      </c>
      <c r="AP204" s="6">
        <v>79.32960560373243</v>
      </c>
      <c r="AQ204" s="6">
        <v>0.388961537922016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/>
      <c r="BD204" s="3"/>
      <c r="BE204" s="3"/>
      <c r="BF204" s="7">
        <v>3529.9472709180804</v>
      </c>
    </row>
    <row x14ac:dyDescent="0.25" r="205" customHeight="1" ht="12.75">
      <c r="A205" s="5" t="s">
        <v>174</v>
      </c>
      <c r="B205" s="3" t="s">
        <v>855</v>
      </c>
      <c r="C205" s="3" t="s">
        <v>861</v>
      </c>
      <c r="D205" s="3" t="s">
        <v>967</v>
      </c>
      <c r="E205" s="3"/>
      <c r="F205" s="6">
        <f>100*SUM(AM205:AO205)/AL205</f>
      </c>
      <c r="G205" s="6">
        <f>100*SUM(AP205)/AL205</f>
      </c>
      <c r="H205" s="6">
        <f>100*SUM(AQ205)/AL205</f>
      </c>
      <c r="I205" s="6">
        <f>100*SUM(AR205:BC205)/AL205</f>
      </c>
      <c r="J205" s="3"/>
      <c r="K205" s="6">
        <v>6.715</v>
      </c>
      <c r="L205" s="6">
        <v>0.019977661950856294</v>
      </c>
      <c r="M205" s="6">
        <v>0.14266567386448253</v>
      </c>
      <c r="N205" s="7">
        <v>8.334326135517498</v>
      </c>
      <c r="O205" s="6">
        <v>0.33765450483991066</v>
      </c>
      <c r="P205" s="6">
        <v>0.08271779597915116</v>
      </c>
      <c r="Q205" s="7"/>
      <c r="R205" s="6"/>
      <c r="S205" s="15">
        <v>0.008116381236038719</v>
      </c>
      <c r="T205" s="6"/>
      <c r="U205" s="5"/>
      <c r="V205" s="6">
        <v>1.3369099032017873</v>
      </c>
      <c r="W205" s="6"/>
      <c r="X205" s="6"/>
      <c r="Y205" s="15"/>
      <c r="Z205" s="6"/>
      <c r="AA205" s="6"/>
      <c r="AB205" s="7">
        <v>23.191139240506335</v>
      </c>
      <c r="AC205" s="3" t="s">
        <v>965</v>
      </c>
      <c r="AD205" s="6">
        <v>0.0013415000000000002</v>
      </c>
      <c r="AE205" s="6">
        <v>0.009580000000000002</v>
      </c>
      <c r="AF205" s="7">
        <v>55.965</v>
      </c>
      <c r="AG205" s="6">
        <v>0.0226735</v>
      </c>
      <c r="AH205" s="7">
        <v>0.55545</v>
      </c>
      <c r="AI205" s="15">
        <v>0.033595</v>
      </c>
      <c r="AJ205" s="6">
        <v>0.5002978406552495</v>
      </c>
      <c r="AK205" s="3"/>
      <c r="AL205" s="6">
        <v>467.11004941510953</v>
      </c>
      <c r="AM205" s="6">
        <v>0.37876768041697695</v>
      </c>
      <c r="AN205" s="6">
        <v>3.098029334326136</v>
      </c>
      <c r="AO205" s="6">
        <v>5.09975004369447</v>
      </c>
      <c r="AP205" s="6">
        <v>23.448383323157113</v>
      </c>
      <c r="AQ205" s="6">
        <v>3.377864980499099</v>
      </c>
      <c r="AR205" s="6">
        <v>0</v>
      </c>
      <c r="AS205" s="6">
        <v>0</v>
      </c>
      <c r="AT205" s="6">
        <v>2.505072370215934</v>
      </c>
      <c r="AU205" s="6">
        <v>0</v>
      </c>
      <c r="AV205" s="6">
        <v>0</v>
      </c>
      <c r="AW205" s="6">
        <v>359.6287639612808</v>
      </c>
      <c r="AX205" s="6">
        <v>0</v>
      </c>
      <c r="AY205" s="6">
        <v>0</v>
      </c>
      <c r="AZ205" s="6">
        <v>0</v>
      </c>
      <c r="BA205" s="6">
        <v>0</v>
      </c>
      <c r="BB205" s="6">
        <v>0</v>
      </c>
      <c r="BC205" s="6">
        <v>69.57341772151901</v>
      </c>
      <c r="BD205" s="3" t="s">
        <v>966</v>
      </c>
      <c r="BE205" s="3"/>
      <c r="BF205" s="7">
        <v>3136.6439818224603</v>
      </c>
    </row>
    <row x14ac:dyDescent="0.25" r="206" customHeight="1" ht="12.75">
      <c r="A206" s="5" t="s">
        <v>383</v>
      </c>
      <c r="B206" s="3" t="s">
        <v>855</v>
      </c>
      <c r="C206" s="3" t="s">
        <v>862</v>
      </c>
      <c r="D206" s="3" t="s">
        <v>968</v>
      </c>
      <c r="E206" s="3"/>
      <c r="F206" s="6">
        <f>100*SUM(AM206:AO206)/AL206</f>
      </c>
      <c r="G206" s="6">
        <f>100*SUM(AP206)/AL206</f>
      </c>
      <c r="H206" s="6">
        <f>100*SUM(AQ206)/AL206</f>
      </c>
      <c r="I206" s="6">
        <f>100*SUM(AR206:BC206)/AL206</f>
      </c>
      <c r="J206" s="3"/>
      <c r="K206" s="23">
        <v>2.173686</v>
      </c>
      <c r="L206" s="6">
        <v>2.3737487429187105</v>
      </c>
      <c r="M206" s="6">
        <v>6.878928635506693</v>
      </c>
      <c r="N206" s="7">
        <v>13.988883426585073</v>
      </c>
      <c r="O206" s="6"/>
      <c r="P206" s="6"/>
      <c r="Q206" s="7"/>
      <c r="R206" s="6"/>
      <c r="S206" s="6"/>
      <c r="T206" s="6"/>
      <c r="U206" s="5"/>
      <c r="V206" s="6"/>
      <c r="W206" s="6"/>
      <c r="X206" s="6"/>
      <c r="Y206" s="15"/>
      <c r="Z206" s="6"/>
      <c r="AA206" s="6"/>
      <c r="AB206" s="5"/>
      <c r="AC206" s="3"/>
      <c r="AD206" s="6">
        <v>0.051597844100000005</v>
      </c>
      <c r="AE206" s="6">
        <v>0.1495263087</v>
      </c>
      <c r="AF206" s="7">
        <v>30.40744006</v>
      </c>
      <c r="AG206" s="6">
        <v>0</v>
      </c>
      <c r="AH206" s="7">
        <v>0</v>
      </c>
      <c r="AI206" s="15">
        <v>0.2011241528</v>
      </c>
      <c r="AJ206" s="6">
        <v>9.252677378425403</v>
      </c>
      <c r="AK206" s="3"/>
      <c r="AL206" s="6">
        <v>202.94305679062478</v>
      </c>
      <c r="AM206" s="6">
        <v>45.00523171629186</v>
      </c>
      <c r="AN206" s="6">
        <v>149.37806778790483</v>
      </c>
      <c r="AO206" s="6">
        <v>8.559757286428102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/>
      <c r="BD206" s="3"/>
      <c r="BE206" s="3"/>
      <c r="BF206" s="7">
        <v>441.134481342986</v>
      </c>
    </row>
    <row x14ac:dyDescent="0.25" r="207" customHeight="1" ht="12.75">
      <c r="A207" s="5" t="s">
        <v>535</v>
      </c>
      <c r="B207" s="3" t="s">
        <v>855</v>
      </c>
      <c r="C207" s="3" t="s">
        <v>862</v>
      </c>
      <c r="D207" s="3" t="s">
        <v>969</v>
      </c>
      <c r="E207" s="3"/>
      <c r="F207" s="6">
        <f>100*SUM(AM207:AO207)/AL207</f>
      </c>
      <c r="G207" s="6">
        <f>100*SUM(AP207)/AL207</f>
      </c>
      <c r="H207" s="6">
        <f>100*SUM(AQ207)/AL207</f>
      </c>
      <c r="I207" s="6">
        <f>100*SUM(AR207:BC207)/AL207</f>
      </c>
      <c r="J207" s="3"/>
      <c r="K207" s="6">
        <v>11.2</v>
      </c>
      <c r="L207" s="6">
        <v>0.37211607142857145</v>
      </c>
      <c r="M207" s="6">
        <v>5.298946428571429</v>
      </c>
      <c r="N207" s="7">
        <v>13.642089285714288</v>
      </c>
      <c r="O207" s="6"/>
      <c r="P207" s="6">
        <v>1.1621160714285714</v>
      </c>
      <c r="Q207" s="7"/>
      <c r="R207" s="6"/>
      <c r="S207" s="6"/>
      <c r="T207" s="6"/>
      <c r="U207" s="5"/>
      <c r="V207" s="6"/>
      <c r="W207" s="6"/>
      <c r="X207" s="6"/>
      <c r="Y207" s="15"/>
      <c r="Z207" s="6"/>
      <c r="AA207" s="6"/>
      <c r="AB207" s="5"/>
      <c r="AC207" s="3"/>
      <c r="AD207" s="6">
        <v>0.041677</v>
      </c>
      <c r="AE207" s="6">
        <v>0.593482</v>
      </c>
      <c r="AF207" s="7">
        <v>152.7914</v>
      </c>
      <c r="AG207" s="6">
        <v>0</v>
      </c>
      <c r="AH207" s="7">
        <v>13.015699999999999</v>
      </c>
      <c r="AI207" s="15">
        <v>0.6351589999999999</v>
      </c>
      <c r="AJ207" s="6">
        <v>5.671062500000001</v>
      </c>
      <c r="AK207" s="3"/>
      <c r="AL207" s="6">
        <v>177.92716314793697</v>
      </c>
      <c r="AM207" s="6">
        <v>7.055156983214286</v>
      </c>
      <c r="AN207" s="6">
        <v>115.06826436982143</v>
      </c>
      <c r="AO207" s="6">
        <v>8.3475549552136</v>
      </c>
      <c r="AP207" s="6">
        <v>0</v>
      </c>
      <c r="AQ207" s="6">
        <v>47.45618683968764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0</v>
      </c>
      <c r="BC207" s="6"/>
      <c r="BD207" s="3"/>
      <c r="BE207" s="3"/>
      <c r="BF207" s="7">
        <v>1992.784227256894</v>
      </c>
    </row>
    <row x14ac:dyDescent="0.25" r="208" customHeight="1" ht="12.75">
      <c r="A208" s="5" t="s">
        <v>25</v>
      </c>
      <c r="B208" s="3" t="s">
        <v>855</v>
      </c>
      <c r="C208" s="3" t="s">
        <v>970</v>
      </c>
      <c r="D208" s="3"/>
      <c r="E208" s="3"/>
      <c r="F208" s="6">
        <f>100*SUM(AM208:AO208)/AL208</f>
      </c>
      <c r="G208" s="6">
        <f>100*SUM(AP208)/AL208</f>
      </c>
      <c r="H208" s="6">
        <f>100*SUM(AQ208)/AL208</f>
      </c>
      <c r="I208" s="6">
        <f>100*SUM(AR208:BC208)/AL208</f>
      </c>
      <c r="J208" s="3"/>
      <c r="K208" s="6">
        <v>0.706</v>
      </c>
      <c r="L208" s="6">
        <v>9.184915014164307</v>
      </c>
      <c r="M208" s="6">
        <v>10.658951841359775</v>
      </c>
      <c r="N208" s="31">
        <v>853.5283286118981</v>
      </c>
      <c r="O208" s="6"/>
      <c r="P208" s="6"/>
      <c r="Q208" s="7"/>
      <c r="R208" s="6"/>
      <c r="S208" s="6"/>
      <c r="T208" s="6"/>
      <c r="U208" s="5"/>
      <c r="V208" s="6"/>
      <c r="W208" s="6"/>
      <c r="X208" s="6"/>
      <c r="Y208" s="15"/>
      <c r="Z208" s="6"/>
      <c r="AA208" s="6"/>
      <c r="AB208" s="5"/>
      <c r="AC208" s="3"/>
      <c r="AD208" s="6">
        <v>0.0648455</v>
      </c>
      <c r="AE208" s="6">
        <v>0.0752522</v>
      </c>
      <c r="AF208" s="7">
        <v>602.591</v>
      </c>
      <c r="AG208" s="6">
        <v>0</v>
      </c>
      <c r="AH208" s="7">
        <v>0</v>
      </c>
      <c r="AI208" s="15">
        <v>0.1400977</v>
      </c>
      <c r="AJ208" s="6">
        <v>19.843866855524084</v>
      </c>
      <c r="AK208" s="3"/>
      <c r="AL208" s="6">
        <v>927.8759050760966</v>
      </c>
      <c r="AM208" s="6">
        <v>174.14194730594903</v>
      </c>
      <c r="AN208" s="6">
        <v>231.4624435101983</v>
      </c>
      <c r="AO208" s="6">
        <v>522.2715142599493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/>
      <c r="BD208" s="3"/>
      <c r="BE208" s="3"/>
      <c r="BF208" s="7">
        <v>655.0803889837242</v>
      </c>
    </row>
    <row x14ac:dyDescent="0.25" r="209" customHeight="1" ht="12.75">
      <c r="A209" s="5" t="s">
        <v>665</v>
      </c>
      <c r="B209" s="3" t="s">
        <v>855</v>
      </c>
      <c r="C209" s="3" t="s">
        <v>971</v>
      </c>
      <c r="D209" s="3" t="s">
        <v>972</v>
      </c>
      <c r="E209" s="3"/>
      <c r="F209" s="6">
        <f>100*SUM(AM209:AO209)/AL209</f>
      </c>
      <c r="G209" s="6">
        <f>100*SUM(AP209)/AL209</f>
      </c>
      <c r="H209" s="6">
        <f>100*SUM(AQ209)/AL209</f>
      </c>
      <c r="I209" s="6">
        <f>100*SUM(AR209:BC209)/AL209</f>
      </c>
      <c r="J209" s="3"/>
      <c r="K209" s="6">
        <v>11.008000000000001</v>
      </c>
      <c r="L209" s="6">
        <v>0.8920448764534883</v>
      </c>
      <c r="M209" s="6">
        <v>1.3927797965116278</v>
      </c>
      <c r="N209" s="7">
        <v>114.07945030886627</v>
      </c>
      <c r="O209" s="6">
        <v>0.11186500726744183</v>
      </c>
      <c r="P209" s="6"/>
      <c r="Q209" s="7"/>
      <c r="R209" s="6"/>
      <c r="S209" s="6"/>
      <c r="T209" s="6"/>
      <c r="U209" s="5"/>
      <c r="V209" s="6"/>
      <c r="W209" s="6"/>
      <c r="X209" s="6"/>
      <c r="Y209" s="15"/>
      <c r="Z209" s="6"/>
      <c r="AA209" s="6"/>
      <c r="AB209" s="5"/>
      <c r="AC209" s="3"/>
      <c r="AD209" s="6">
        <v>0.0981963</v>
      </c>
      <c r="AE209" s="6">
        <v>0.1533172</v>
      </c>
      <c r="AF209" s="7">
        <v>1255.786589</v>
      </c>
      <c r="AG209" s="6">
        <v>0.0123141</v>
      </c>
      <c r="AH209" s="7">
        <v>0</v>
      </c>
      <c r="AI209" s="15">
        <v>0.2638276</v>
      </c>
      <c r="AJ209" s="6">
        <v>2.3966896802325577</v>
      </c>
      <c r="AK209" s="3"/>
      <c r="AL209" s="6">
        <v>124.73076315452397</v>
      </c>
      <c r="AM209" s="6">
        <v>16.912778357812495</v>
      </c>
      <c r="AN209" s="6">
        <v>30.244645042986914</v>
      </c>
      <c r="AO209" s="6">
        <v>69.8048855105378</v>
      </c>
      <c r="AP209" s="6">
        <v>7.7684542431867705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/>
      <c r="BD209" s="3"/>
      <c r="BE209" s="3"/>
      <c r="BF209" s="7">
        <v>1373.036240805</v>
      </c>
    </row>
    <row x14ac:dyDescent="0.25" r="210" customHeight="1" ht="12.75">
      <c r="A210" s="5" t="s">
        <v>230</v>
      </c>
      <c r="B210" s="3" t="s">
        <v>855</v>
      </c>
      <c r="C210" s="3" t="s">
        <v>863</v>
      </c>
      <c r="D210" s="3" t="s">
        <v>973</v>
      </c>
      <c r="E210" s="3"/>
      <c r="F210" s="6">
        <f>100*SUM(AM210:AO210)/AL210</f>
      </c>
      <c r="G210" s="6">
        <f>100*SUM(AP210)/AL210</f>
      </c>
      <c r="H210" s="6">
        <f>100*SUM(AQ210)/AL210</f>
      </c>
      <c r="I210" s="6">
        <f>100*SUM(AR210:BC210)/AL210</f>
      </c>
      <c r="J210" s="3"/>
      <c r="K210" s="23">
        <v>32.1910848</v>
      </c>
      <c r="L210" s="7">
        <v>4.48192142937662</v>
      </c>
      <c r="M210" s="7">
        <v>1.1517973272460986</v>
      </c>
      <c r="N210" s="31">
        <v>240.16457904518953</v>
      </c>
      <c r="O210" s="6"/>
      <c r="P210" s="6"/>
      <c r="Q210" s="7"/>
      <c r="R210" s="6"/>
      <c r="S210" s="6"/>
      <c r="T210" s="6"/>
      <c r="U210" s="5"/>
      <c r="V210" s="6"/>
      <c r="W210" s="6"/>
      <c r="X210" s="6"/>
      <c r="Y210" s="15"/>
      <c r="Z210" s="6"/>
      <c r="AA210" s="6"/>
      <c r="AB210" s="5"/>
      <c r="AC210" s="3"/>
      <c r="AD210" s="6">
        <v>1.442779128</v>
      </c>
      <c r="AE210" s="6">
        <v>0.37077605433792515</v>
      </c>
      <c r="AF210" s="7">
        <v>7731.158329999998</v>
      </c>
      <c r="AG210" s="6">
        <v>0</v>
      </c>
      <c r="AH210" s="7">
        <v>0</v>
      </c>
      <c r="AI210" s="15">
        <v>1.8135551823379252</v>
      </c>
      <c r="AJ210" s="6">
        <v>5.633718756622719</v>
      </c>
      <c r="AK210" s="3"/>
      <c r="AL210" s="6">
        <v>256.94290518158795</v>
      </c>
      <c r="AM210" s="6">
        <v>84.9752582555518</v>
      </c>
      <c r="AN210" s="6">
        <v>25.011636018320477</v>
      </c>
      <c r="AO210" s="6">
        <v>146.95601090771567</v>
      </c>
      <c r="AP210" s="6">
        <v>0</v>
      </c>
      <c r="AQ210" s="6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0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0</v>
      </c>
      <c r="BC210" s="6"/>
      <c r="BD210" s="3"/>
      <c r="BE210" s="3"/>
      <c r="BF210" s="7">
        <v>8271.270849458857</v>
      </c>
    </row>
    <row x14ac:dyDescent="0.25" r="211" customHeight="1" ht="12.75">
      <c r="A211" s="5" t="s">
        <v>198</v>
      </c>
      <c r="B211" s="3" t="s">
        <v>855</v>
      </c>
      <c r="C211" s="3" t="s">
        <v>863</v>
      </c>
      <c r="D211" s="3" t="s">
        <v>973</v>
      </c>
      <c r="E211" s="3"/>
      <c r="F211" s="6">
        <f>100*SUM(AM211:AO211)/AL211</f>
      </c>
      <c r="G211" s="6">
        <f>100*SUM(AP211)/AL211</f>
      </c>
      <c r="H211" s="6">
        <f>100*SUM(AQ211)/AL211</f>
      </c>
      <c r="I211" s="6">
        <f>100*SUM(AR211:BC211)/AL211</f>
      </c>
      <c r="J211" s="3"/>
      <c r="K211" s="23">
        <v>3.4437312</v>
      </c>
      <c r="L211" s="7">
        <v>6.2340885142255</v>
      </c>
      <c r="M211" s="7">
        <v>6.236354056902002</v>
      </c>
      <c r="N211" s="31">
        <v>108.78083051313646</v>
      </c>
      <c r="O211" s="6"/>
      <c r="P211" s="6"/>
      <c r="Q211" s="7"/>
      <c r="R211" s="6"/>
      <c r="S211" s="6"/>
      <c r="T211" s="6"/>
      <c r="U211" s="5"/>
      <c r="V211" s="6"/>
      <c r="W211" s="6"/>
      <c r="X211" s="6"/>
      <c r="Y211" s="15"/>
      <c r="Z211" s="6"/>
      <c r="AA211" s="6"/>
      <c r="AB211" s="5"/>
      <c r="AC211" s="3"/>
      <c r="AD211" s="6">
        <v>0.21468525119999998</v>
      </c>
      <c r="AE211" s="6">
        <v>0.2147632704</v>
      </c>
      <c r="AF211" s="7">
        <v>374.61194000000006</v>
      </c>
      <c r="AG211" s="6">
        <v>0</v>
      </c>
      <c r="AH211" s="7">
        <v>0</v>
      </c>
      <c r="AI211" s="15">
        <v>0.4294485216</v>
      </c>
      <c r="AJ211" s="6">
        <v>12.470442571127503</v>
      </c>
      <c r="AK211" s="3"/>
      <c r="AL211" s="6">
        <v>320.182612237311</v>
      </c>
      <c r="AM211" s="6">
        <v>118.19557523076922</v>
      </c>
      <c r="AN211" s="6">
        <v>135.4243616153846</v>
      </c>
      <c r="AO211" s="6">
        <v>66.56267539115714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0</v>
      </c>
      <c r="BC211" s="6"/>
      <c r="BD211" s="3"/>
      <c r="BE211" s="3"/>
      <c r="BF211" s="7">
        <v>1102.6228514591298</v>
      </c>
    </row>
    <row x14ac:dyDescent="0.25" r="212" customHeight="1" ht="12.75">
      <c r="A212" s="5" t="s">
        <v>526</v>
      </c>
      <c r="B212" s="3" t="s">
        <v>855</v>
      </c>
      <c r="C212" s="3" t="s">
        <v>863</v>
      </c>
      <c r="D212" s="3" t="s">
        <v>973</v>
      </c>
      <c r="E212" s="3"/>
      <c r="F212" s="6">
        <f>100*SUM(AM212:AO212)/AL212</f>
      </c>
      <c r="G212" s="6">
        <f>100*SUM(AP212)/AL212</f>
      </c>
      <c r="H212" s="6">
        <f>100*SUM(AQ212)/AL212</f>
      </c>
      <c r="I212" s="6">
        <f>100*SUM(AR212:BC212)/AL212</f>
      </c>
      <c r="J212" s="3"/>
      <c r="K212" s="23">
        <v>2.1595896</v>
      </c>
      <c r="L212" s="6">
        <v>6.727949170342364</v>
      </c>
      <c r="M212" s="6"/>
      <c r="N212" s="7">
        <v>216.86362256050873</v>
      </c>
      <c r="O212" s="6"/>
      <c r="P212" s="6"/>
      <c r="Q212" s="7"/>
      <c r="R212" s="6"/>
      <c r="S212" s="6"/>
      <c r="T212" s="6"/>
      <c r="U212" s="5"/>
      <c r="V212" s="6"/>
      <c r="W212" s="6"/>
      <c r="X212" s="6"/>
      <c r="Y212" s="15"/>
      <c r="Z212" s="6"/>
      <c r="AA212" s="6"/>
      <c r="AB212" s="5"/>
      <c r="AC212" s="3"/>
      <c r="AD212" s="6">
        <v>0.14529609057599996</v>
      </c>
      <c r="AE212" s="6">
        <v>0</v>
      </c>
      <c r="AF212" s="7">
        <v>468.3364239</v>
      </c>
      <c r="AG212" s="6">
        <v>0</v>
      </c>
      <c r="AH212" s="7">
        <v>0</v>
      </c>
      <c r="AI212" s="15">
        <v>0.14529609057599996</v>
      </c>
      <c r="AJ212" s="6">
        <v>6.727949170342364</v>
      </c>
      <c r="AK212" s="3"/>
      <c r="AL212" s="6">
        <v>260.2571790372165</v>
      </c>
      <c r="AM212" s="6">
        <v>127.55895597205625</v>
      </c>
      <c r="AN212" s="6">
        <v>0</v>
      </c>
      <c r="AO212" s="6">
        <v>132.6982230651602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0</v>
      </c>
      <c r="BA212" s="6">
        <v>0</v>
      </c>
      <c r="BB212" s="6">
        <v>0</v>
      </c>
      <c r="BC212" s="6"/>
      <c r="BD212" s="3"/>
      <c r="BE212" s="3"/>
      <c r="BF212" s="7">
        <v>562.0486971741107</v>
      </c>
    </row>
    <row x14ac:dyDescent="0.25" r="213" customHeight="1" ht="12.75">
      <c r="A213" s="5" t="s">
        <v>108</v>
      </c>
      <c r="B213" s="3" t="s">
        <v>855</v>
      </c>
      <c r="C213" s="3" t="s">
        <v>863</v>
      </c>
      <c r="D213" s="3"/>
      <c r="E213" s="3"/>
      <c r="F213" s="6">
        <f>100*SUM(AM213:AO213)/AL213</f>
      </c>
      <c r="G213" s="6">
        <f>100*SUM(AP213)/AL213</f>
      </c>
      <c r="H213" s="6">
        <f>100*SUM(AQ213)/AL213</f>
      </c>
      <c r="I213" s="6">
        <f>100*SUM(AR213:BC213)/AL213</f>
      </c>
      <c r="J213" s="3"/>
      <c r="K213" s="6">
        <v>0.608</v>
      </c>
      <c r="L213" s="7">
        <v>4.820394736842105</v>
      </c>
      <c r="M213" s="7">
        <v>5.220065789473685</v>
      </c>
      <c r="N213" s="31">
        <v>566.0756578947368</v>
      </c>
      <c r="O213" s="6"/>
      <c r="P213" s="6"/>
      <c r="Q213" s="7"/>
      <c r="R213" s="6"/>
      <c r="S213" s="6"/>
      <c r="T213" s="6"/>
      <c r="U213" s="5"/>
      <c r="V213" s="6"/>
      <c r="W213" s="6"/>
      <c r="X213" s="6"/>
      <c r="Y213" s="15"/>
      <c r="Z213" s="6"/>
      <c r="AA213" s="6"/>
      <c r="AB213" s="5"/>
      <c r="AC213" s="3"/>
      <c r="AD213" s="6">
        <v>0.029307999999999997</v>
      </c>
      <c r="AE213" s="6">
        <v>0.031738</v>
      </c>
      <c r="AF213" s="7">
        <v>344.1739999999999</v>
      </c>
      <c r="AG213" s="6">
        <v>0</v>
      </c>
      <c r="AH213" s="7">
        <v>0</v>
      </c>
      <c r="AI213" s="15">
        <v>0.061046</v>
      </c>
      <c r="AJ213" s="6">
        <v>10.04046052631579</v>
      </c>
      <c r="AK213" s="3"/>
      <c r="AL213" s="6">
        <v>551.1279669803795</v>
      </c>
      <c r="AM213" s="6">
        <v>91.3925632368421</v>
      </c>
      <c r="AN213" s="6">
        <v>113.35534683881579</v>
      </c>
      <c r="AO213" s="6">
        <v>346.3800569047216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/>
      <c r="BD213" s="3"/>
      <c r="BE213" s="3"/>
      <c r="BF213" s="7">
        <v>335.0858039240707</v>
      </c>
    </row>
    <row x14ac:dyDescent="0.25" r="214" customHeight="1" ht="12.75">
      <c r="A214" s="5" t="s">
        <v>776</v>
      </c>
      <c r="B214" s="3" t="s">
        <v>855</v>
      </c>
      <c r="C214" s="3" t="s">
        <v>863</v>
      </c>
      <c r="D214" s="3"/>
      <c r="E214" s="3"/>
      <c r="F214" s="6">
        <f>100*SUM(AM214:AO214)/AL214</f>
      </c>
      <c r="G214" s="6">
        <f>100*SUM(AP214)/AL214</f>
      </c>
      <c r="H214" s="6">
        <f>100*SUM(AQ214)/AL214</f>
      </c>
      <c r="I214" s="6">
        <f>100*SUM(AR214:BC214)/AL214</f>
      </c>
      <c r="J214" s="3"/>
      <c r="K214" s="6">
        <v>0.36</v>
      </c>
      <c r="L214" s="6">
        <v>0.2</v>
      </c>
      <c r="M214" s="7">
        <v>4</v>
      </c>
      <c r="N214" s="5"/>
      <c r="O214" s="6"/>
      <c r="P214" s="6"/>
      <c r="Q214" s="7"/>
      <c r="R214" s="6"/>
      <c r="S214" s="6"/>
      <c r="T214" s="6"/>
      <c r="U214" s="5"/>
      <c r="V214" s="6"/>
      <c r="W214" s="6"/>
      <c r="X214" s="6"/>
      <c r="Y214" s="15"/>
      <c r="Z214" s="6"/>
      <c r="AA214" s="6"/>
      <c r="AB214" s="5"/>
      <c r="AC214" s="3"/>
      <c r="AD214" s="6">
        <v>0.0007199999999999999</v>
      </c>
      <c r="AE214" s="6">
        <v>0.0144</v>
      </c>
      <c r="AF214" s="7">
        <v>0</v>
      </c>
      <c r="AG214" s="6">
        <v>0</v>
      </c>
      <c r="AH214" s="7">
        <v>0</v>
      </c>
      <c r="AI214" s="15">
        <v>0.01512</v>
      </c>
      <c r="AJ214" s="6">
        <v>4.2</v>
      </c>
      <c r="AK214" s="3"/>
      <c r="AL214" s="6">
        <v>90.65315199999999</v>
      </c>
      <c r="AM214" s="6">
        <v>3.791912</v>
      </c>
      <c r="AN214" s="6">
        <v>86.86124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/>
      <c r="BD214" s="3"/>
      <c r="BE214" s="3"/>
      <c r="BF214" s="7">
        <v>32.635134719999996</v>
      </c>
    </row>
    <row x14ac:dyDescent="0.25" r="215" customHeight="1" ht="12.75">
      <c r="A215" s="5" t="s">
        <v>700</v>
      </c>
      <c r="B215" s="3" t="s">
        <v>855</v>
      </c>
      <c r="C215" s="3" t="s">
        <v>863</v>
      </c>
      <c r="D215" s="3"/>
      <c r="E215" s="3"/>
      <c r="F215" s="6">
        <f>100*SUM(AM215:AO215)/AL215</f>
      </c>
      <c r="G215" s="6">
        <f>100*SUM(AP215)/AL215</f>
      </c>
      <c r="H215" s="6">
        <f>100*SUM(AQ215)/AL215</f>
      </c>
      <c r="I215" s="6">
        <f>100*SUM(AR215:BC215)/AL215</f>
      </c>
      <c r="J215" s="3"/>
      <c r="K215" s="6">
        <v>5.55</v>
      </c>
      <c r="L215" s="6"/>
      <c r="M215" s="6">
        <v>4.7</v>
      </c>
      <c r="N215" s="5"/>
      <c r="O215" s="6"/>
      <c r="P215" s="6"/>
      <c r="Q215" s="7"/>
      <c r="R215" s="6"/>
      <c r="S215" s="6"/>
      <c r="T215" s="6"/>
      <c r="U215" s="5"/>
      <c r="V215" s="6"/>
      <c r="W215" s="6"/>
      <c r="X215" s="6"/>
      <c r="Y215" s="15"/>
      <c r="Z215" s="6"/>
      <c r="AA215" s="6"/>
      <c r="AB215" s="5"/>
      <c r="AC215" s="3"/>
      <c r="AD215" s="6">
        <v>0</v>
      </c>
      <c r="AE215" s="6">
        <v>0.26085</v>
      </c>
      <c r="AF215" s="7">
        <v>0</v>
      </c>
      <c r="AG215" s="6">
        <v>0</v>
      </c>
      <c r="AH215" s="7">
        <v>0</v>
      </c>
      <c r="AI215" s="15">
        <v>0.26085</v>
      </c>
      <c r="AJ215" s="6">
        <v>4.7</v>
      </c>
      <c r="AK215" s="3"/>
      <c r="AL215" s="6">
        <v>102.06195699999999</v>
      </c>
      <c r="AM215" s="6">
        <v>0</v>
      </c>
      <c r="AN215" s="6">
        <v>102.06195699999999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0</v>
      </c>
      <c r="BC215" s="6"/>
      <c r="BD215" s="3"/>
      <c r="BE215" s="3"/>
      <c r="BF215" s="7">
        <v>566.4438613499999</v>
      </c>
    </row>
    <row x14ac:dyDescent="0.25" r="216" customHeight="1" ht="12.75">
      <c r="A216" s="5" t="s">
        <v>75</v>
      </c>
      <c r="B216" s="3" t="s">
        <v>855</v>
      </c>
      <c r="C216" s="3" t="s">
        <v>863</v>
      </c>
      <c r="D216" s="3"/>
      <c r="E216" s="3"/>
      <c r="F216" s="6">
        <f>100*SUM(AM216:AO216)/AL216</f>
      </c>
      <c r="G216" s="6">
        <f>100*SUM(AP216)/AL216</f>
      </c>
      <c r="H216" s="6">
        <f>100*SUM(AQ216)/AL216</f>
      </c>
      <c r="I216" s="6">
        <f>100*SUM(AR216:BC216)/AL216</f>
      </c>
      <c r="J216" s="3"/>
      <c r="K216" s="6">
        <v>0.274</v>
      </c>
      <c r="L216" s="6">
        <v>1.9130656934306567</v>
      </c>
      <c r="M216" s="6">
        <v>1.282043795620438</v>
      </c>
      <c r="N216" s="31">
        <v>867.8759124087591</v>
      </c>
      <c r="O216" s="6"/>
      <c r="P216" s="6">
        <v>0.16452554744525547</v>
      </c>
      <c r="Q216" s="7"/>
      <c r="R216" s="6"/>
      <c r="S216" s="6"/>
      <c r="T216" s="6"/>
      <c r="U216" s="5"/>
      <c r="V216" s="6"/>
      <c r="W216" s="6"/>
      <c r="X216" s="6"/>
      <c r="Y216" s="15"/>
      <c r="Z216" s="6"/>
      <c r="AA216" s="6"/>
      <c r="AB216" s="5"/>
      <c r="AC216" s="3"/>
      <c r="AD216" s="6">
        <v>0.0052418</v>
      </c>
      <c r="AE216" s="6">
        <v>0.0035128000000000004</v>
      </c>
      <c r="AF216" s="7">
        <v>237.798</v>
      </c>
      <c r="AG216" s="6">
        <v>0</v>
      </c>
      <c r="AH216" s="7">
        <v>0.04508</v>
      </c>
      <c r="AI216" s="15">
        <v>0.0087546</v>
      </c>
      <c r="AJ216" s="6">
        <v>3.1951094890510947</v>
      </c>
      <c r="AK216" s="3"/>
      <c r="AL216" s="6">
        <v>601.8801888904828</v>
      </c>
      <c r="AM216" s="6">
        <v>36.27088379854014</v>
      </c>
      <c r="AN216" s="6">
        <v>27.83997845547445</v>
      </c>
      <c r="AO216" s="6">
        <v>531.0507592649095</v>
      </c>
      <c r="AP216" s="6">
        <v>0</v>
      </c>
      <c r="AQ216" s="6">
        <v>6.718567371558664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0</v>
      </c>
      <c r="BC216" s="6"/>
      <c r="BD216" s="3"/>
      <c r="BE216" s="3"/>
      <c r="BF216" s="7">
        <v>164.9151717559923</v>
      </c>
    </row>
    <row x14ac:dyDescent="0.25" r="217" customHeight="1" ht="12.75">
      <c r="A217" s="5" t="s">
        <v>331</v>
      </c>
      <c r="B217" s="3" t="s">
        <v>855</v>
      </c>
      <c r="C217" s="3" t="s">
        <v>863</v>
      </c>
      <c r="D217" s="3" t="s">
        <v>974</v>
      </c>
      <c r="E217" s="3"/>
      <c r="F217" s="6">
        <f>100*SUM(AM217:AO217)/AL217</f>
      </c>
      <c r="G217" s="6">
        <f>100*SUM(AP217)/AL217</f>
      </c>
      <c r="H217" s="6">
        <f>100*SUM(AQ217)/AL217</f>
      </c>
      <c r="I217" s="6">
        <f>100*SUM(AR217:BC217)/AL217</f>
      </c>
      <c r="J217" s="3"/>
      <c r="K217" s="6">
        <v>21.54</v>
      </c>
      <c r="L217" s="6">
        <v>3.5180687093779013</v>
      </c>
      <c r="M217" s="6">
        <v>1.1498560817084496</v>
      </c>
      <c r="N217" s="31">
        <v>242.2845868152275</v>
      </c>
      <c r="O217" s="6"/>
      <c r="P217" s="6">
        <v>0.08469359331476324</v>
      </c>
      <c r="Q217" s="7"/>
      <c r="R217" s="6"/>
      <c r="S217" s="6"/>
      <c r="T217" s="6"/>
      <c r="U217" s="5"/>
      <c r="V217" s="6"/>
      <c r="W217" s="6"/>
      <c r="X217" s="6"/>
      <c r="Y217" s="15"/>
      <c r="Z217" s="6"/>
      <c r="AA217" s="6"/>
      <c r="AB217" s="5"/>
      <c r="AC217" s="3"/>
      <c r="AD217" s="6">
        <v>0.7577919999999999</v>
      </c>
      <c r="AE217" s="6">
        <v>0.247679</v>
      </c>
      <c r="AF217" s="7">
        <v>5218.81</v>
      </c>
      <c r="AG217" s="6">
        <v>0</v>
      </c>
      <c r="AH217" s="7">
        <v>1.8243</v>
      </c>
      <c r="AI217" s="15">
        <v>1.005471</v>
      </c>
      <c r="AJ217" s="6">
        <v>4.667924791086351</v>
      </c>
      <c r="AK217" s="3"/>
      <c r="AL217" s="6">
        <v>243.3823022422967</v>
      </c>
      <c r="AM217" s="6">
        <v>66.70103477957288</v>
      </c>
      <c r="AN217" s="6">
        <v>24.96948126968431</v>
      </c>
      <c r="AO217" s="6">
        <v>148.25323752713118</v>
      </c>
      <c r="AP217" s="6">
        <v>0</v>
      </c>
      <c r="AQ217" s="6">
        <v>3.458548665908338</v>
      </c>
      <c r="AR217" s="6">
        <v>0</v>
      </c>
      <c r="AS217" s="6">
        <v>0</v>
      </c>
      <c r="AT217" s="6">
        <v>0</v>
      </c>
      <c r="AU217" s="6">
        <v>0</v>
      </c>
      <c r="AV217" s="6">
        <v>0</v>
      </c>
      <c r="AW217" s="6">
        <v>0</v>
      </c>
      <c r="AX217" s="6">
        <v>0</v>
      </c>
      <c r="AY217" s="6">
        <v>0</v>
      </c>
      <c r="AZ217" s="6">
        <v>0</v>
      </c>
      <c r="BA217" s="6">
        <v>0</v>
      </c>
      <c r="BB217" s="6">
        <v>0</v>
      </c>
      <c r="BC217" s="6"/>
      <c r="BD217" s="3"/>
      <c r="BE217" s="3"/>
      <c r="BF217" s="7">
        <v>5242.454790299071</v>
      </c>
    </row>
    <row x14ac:dyDescent="0.25" r="218" customHeight="1" ht="12.75">
      <c r="A218" s="5" t="s">
        <v>167</v>
      </c>
      <c r="B218" s="3" t="s">
        <v>855</v>
      </c>
      <c r="C218" s="3" t="s">
        <v>863</v>
      </c>
      <c r="D218" s="3"/>
      <c r="E218" s="3"/>
      <c r="F218" s="6">
        <f>100*SUM(AM218:AO218)/AL218</f>
      </c>
      <c r="G218" s="6">
        <f>100*SUM(AP218)/AL218</f>
      </c>
      <c r="H218" s="6">
        <f>100*SUM(AQ218)/AL218</f>
      </c>
      <c r="I218" s="6">
        <f>100*SUM(AR218:BC218)/AL218</f>
      </c>
      <c r="J218" s="3"/>
      <c r="K218" s="6">
        <v>1.4849999999999999</v>
      </c>
      <c r="L218" s="6">
        <v>1.6594747474747475</v>
      </c>
      <c r="M218" s="6">
        <v>5.59263973063973</v>
      </c>
      <c r="N218" s="31">
        <v>501.37306397306395</v>
      </c>
      <c r="O218" s="6"/>
      <c r="P218" s="6">
        <v>0.40919191919191916</v>
      </c>
      <c r="Q218" s="7"/>
      <c r="R218" s="6"/>
      <c r="S218" s="6"/>
      <c r="T218" s="6"/>
      <c r="U218" s="5"/>
      <c r="V218" s="6"/>
      <c r="W218" s="6"/>
      <c r="X218" s="6"/>
      <c r="Y218" s="15"/>
      <c r="Z218" s="6"/>
      <c r="AA218" s="6"/>
      <c r="AB218" s="5"/>
      <c r="AC218" s="3"/>
      <c r="AD218" s="6">
        <v>0.024643199999999997</v>
      </c>
      <c r="AE218" s="6">
        <v>0.08305069999999999</v>
      </c>
      <c r="AF218" s="7">
        <v>744.5389999999999</v>
      </c>
      <c r="AG218" s="6">
        <v>0</v>
      </c>
      <c r="AH218" s="7">
        <v>0.6076499999999999</v>
      </c>
      <c r="AI218" s="15">
        <v>0.10769389999999998</v>
      </c>
      <c r="AJ218" s="6">
        <v>7.2521144781144775</v>
      </c>
      <c r="AK218" s="3"/>
      <c r="AL218" s="6">
        <v>476.40730991371356</v>
      </c>
      <c r="AM218" s="6">
        <v>31.46291104323232</v>
      </c>
      <c r="AN218" s="6">
        <v>121.44590546915823</v>
      </c>
      <c r="AO218" s="6">
        <v>306.78872692628323</v>
      </c>
      <c r="AP218" s="6">
        <v>0</v>
      </c>
      <c r="AQ218" s="6">
        <v>16.709766475039785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0</v>
      </c>
      <c r="BC218" s="6"/>
      <c r="BD218" s="3"/>
      <c r="BE218" s="3"/>
      <c r="BF218" s="7">
        <v>707.4648552218646</v>
      </c>
    </row>
    <row x14ac:dyDescent="0.25" r="219" customHeight="1" ht="12.75">
      <c r="A219" s="5" t="s">
        <v>291</v>
      </c>
      <c r="B219" s="3" t="s">
        <v>855</v>
      </c>
      <c r="C219" s="3" t="s">
        <v>863</v>
      </c>
      <c r="D219" s="3"/>
      <c r="E219" s="3"/>
      <c r="F219" s="6">
        <f>100*SUM(AM219:AO219)/AL219</f>
      </c>
      <c r="G219" s="6">
        <f>100*SUM(AP219)/AL219</f>
      </c>
      <c r="H219" s="6">
        <f>100*SUM(AQ219)/AL219</f>
      </c>
      <c r="I219" s="6">
        <f>100*SUM(AR219:BC219)/AL219</f>
      </c>
      <c r="J219" s="3"/>
      <c r="K219" s="6">
        <v>22.7</v>
      </c>
      <c r="L219" s="6">
        <v>3.18</v>
      </c>
      <c r="M219" s="6">
        <v>4.16</v>
      </c>
      <c r="N219" s="6">
        <v>24.4</v>
      </c>
      <c r="O219" s="6">
        <v>0.13</v>
      </c>
      <c r="P219" s="6"/>
      <c r="Q219" s="7"/>
      <c r="R219" s="6"/>
      <c r="S219" s="6"/>
      <c r="T219" s="6"/>
      <c r="U219" s="5"/>
      <c r="V219" s="6"/>
      <c r="W219" s="6"/>
      <c r="X219" s="6"/>
      <c r="Y219" s="15"/>
      <c r="Z219" s="6"/>
      <c r="AA219" s="6"/>
      <c r="AB219" s="5"/>
      <c r="AC219" s="3"/>
      <c r="AD219" s="6">
        <v>0.7218600000000001</v>
      </c>
      <c r="AE219" s="6">
        <v>0.94432</v>
      </c>
      <c r="AF219" s="7">
        <v>553.88</v>
      </c>
      <c r="AG219" s="6">
        <v>0.02951</v>
      </c>
      <c r="AH219" s="7">
        <v>0</v>
      </c>
      <c r="AI219" s="15">
        <v>1.6956900000000001</v>
      </c>
      <c r="AJ219" s="6">
        <v>7.47</v>
      </c>
      <c r="AK219" s="3"/>
      <c r="AL219" s="6">
        <v>174.58521678906752</v>
      </c>
      <c r="AM219" s="6">
        <v>60.2914008</v>
      </c>
      <c r="AN219" s="6">
        <v>90.3356896</v>
      </c>
      <c r="AO219" s="6">
        <v>14.930289389067527</v>
      </c>
      <c r="AP219" s="6">
        <v>9.027837</v>
      </c>
      <c r="AQ219" s="6">
        <v>0</v>
      </c>
      <c r="AR219" s="6">
        <v>0</v>
      </c>
      <c r="AS219" s="6">
        <v>0</v>
      </c>
      <c r="AT219" s="6">
        <v>0</v>
      </c>
      <c r="AU219" s="6">
        <v>0</v>
      </c>
      <c r="AV219" s="6">
        <v>0</v>
      </c>
      <c r="AW219" s="6">
        <v>0</v>
      </c>
      <c r="AX219" s="6">
        <v>0</v>
      </c>
      <c r="AY219" s="6">
        <v>0</v>
      </c>
      <c r="AZ219" s="6">
        <v>0</v>
      </c>
      <c r="BA219" s="6">
        <v>0</v>
      </c>
      <c r="BB219" s="6">
        <v>0</v>
      </c>
      <c r="BC219" s="6"/>
      <c r="BD219" s="3"/>
      <c r="BE219" s="3"/>
      <c r="BF219" s="7">
        <v>3963.0844211118324</v>
      </c>
    </row>
    <row x14ac:dyDescent="0.25" r="220" customHeight="1" ht="12.75">
      <c r="A220" s="5" t="s">
        <v>159</v>
      </c>
      <c r="B220" s="3" t="s">
        <v>855</v>
      </c>
      <c r="C220" s="3" t="s">
        <v>863</v>
      </c>
      <c r="D220" s="3"/>
      <c r="E220" s="3"/>
      <c r="F220" s="6">
        <f>100*SUM(AM220:AO220)/AL220</f>
      </c>
      <c r="G220" s="6">
        <f>100*SUM(AP220)/AL220</f>
      </c>
      <c r="H220" s="6">
        <f>100*SUM(AQ220)/AL220</f>
      </c>
      <c r="I220" s="6">
        <f>100*SUM(AR220:BC220)/AL220</f>
      </c>
      <c r="J220" s="3"/>
      <c r="K220" s="6">
        <v>0.821</v>
      </c>
      <c r="L220" s="6">
        <v>1.178258221680877</v>
      </c>
      <c r="M220" s="6">
        <v>13.101851400730817</v>
      </c>
      <c r="N220" s="31">
        <v>196.58708891595614</v>
      </c>
      <c r="O220" s="6"/>
      <c r="P220" s="6">
        <v>0.5867600487210719</v>
      </c>
      <c r="Q220" s="7"/>
      <c r="R220" s="6"/>
      <c r="S220" s="6"/>
      <c r="T220" s="6"/>
      <c r="U220" s="5"/>
      <c r="V220" s="6"/>
      <c r="W220" s="6"/>
      <c r="X220" s="6"/>
      <c r="Y220" s="15"/>
      <c r="Z220" s="6"/>
      <c r="AA220" s="6"/>
      <c r="AB220" s="5"/>
      <c r="AC220" s="3"/>
      <c r="AD220" s="6">
        <v>0.0096735</v>
      </c>
      <c r="AE220" s="6">
        <v>0.1075662</v>
      </c>
      <c r="AF220" s="7">
        <v>161.398</v>
      </c>
      <c r="AG220" s="6">
        <v>0</v>
      </c>
      <c r="AH220" s="7">
        <v>0.48173</v>
      </c>
      <c r="AI220" s="15">
        <v>0.1172397</v>
      </c>
      <c r="AJ220" s="6">
        <v>14.280109622411695</v>
      </c>
      <c r="AK220" s="3"/>
      <c r="AL220" s="6">
        <v>451.1020338927127</v>
      </c>
      <c r="AM220" s="6">
        <v>22.33925744945189</v>
      </c>
      <c r="AN220" s="6">
        <v>284.51076474080395</v>
      </c>
      <c r="AO220" s="6">
        <v>120.2910708061301</v>
      </c>
      <c r="AP220" s="6">
        <v>0</v>
      </c>
      <c r="AQ220" s="6">
        <v>23.96094089632673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/>
      <c r="BD220" s="3"/>
      <c r="BE220" s="3"/>
      <c r="BF220" s="7">
        <v>370.3547698259171</v>
      </c>
    </row>
    <row x14ac:dyDescent="0.25" r="221" customHeight="1" ht="12.75">
      <c r="A221" s="5" t="s">
        <v>537</v>
      </c>
      <c r="B221" s="3" t="s">
        <v>855</v>
      </c>
      <c r="C221" s="3" t="s">
        <v>863</v>
      </c>
      <c r="D221" s="3"/>
      <c r="E221" s="3"/>
      <c r="F221" s="6">
        <f>100*SUM(AM221:AO221)/AL221</f>
      </c>
      <c r="G221" s="6">
        <f>100*SUM(AP221)/AL221</f>
      </c>
      <c r="H221" s="6">
        <f>100*SUM(AQ221)/AL221</f>
      </c>
      <c r="I221" s="6">
        <f>100*SUM(AR221:BC221)/AL221</f>
      </c>
      <c r="J221" s="3"/>
      <c r="K221" s="6">
        <v>7.762</v>
      </c>
      <c r="L221" s="6">
        <v>1.4</v>
      </c>
      <c r="M221" s="6">
        <v>5.8</v>
      </c>
      <c r="N221" s="6">
        <v>9.49</v>
      </c>
      <c r="O221" s="6"/>
      <c r="P221" s="6"/>
      <c r="Q221" s="7"/>
      <c r="R221" s="6"/>
      <c r="S221" s="6"/>
      <c r="T221" s="6"/>
      <c r="U221" s="5"/>
      <c r="V221" s="6"/>
      <c r="W221" s="6"/>
      <c r="X221" s="6"/>
      <c r="Y221" s="15"/>
      <c r="Z221" s="6"/>
      <c r="AA221" s="6"/>
      <c r="AB221" s="6">
        <v>14.86</v>
      </c>
      <c r="AC221" s="3" t="s">
        <v>975</v>
      </c>
      <c r="AD221" s="6">
        <v>0.108668</v>
      </c>
      <c r="AE221" s="6">
        <v>0.450196</v>
      </c>
      <c r="AF221" s="7">
        <v>73.66138</v>
      </c>
      <c r="AG221" s="6">
        <v>0</v>
      </c>
      <c r="AH221" s="7">
        <v>0</v>
      </c>
      <c r="AI221" s="15">
        <v>0.558864</v>
      </c>
      <c r="AJ221" s="6">
        <v>7.199999999999999</v>
      </c>
      <c r="AK221" s="3"/>
      <c r="AL221" s="6">
        <v>186.5330855369775</v>
      </c>
      <c r="AM221" s="6">
        <v>26.543383999999996</v>
      </c>
      <c r="AN221" s="6">
        <v>125.94879799999998</v>
      </c>
      <c r="AO221" s="6">
        <v>5.806903536977493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28.234</v>
      </c>
      <c r="BD221" s="3" t="s">
        <v>976</v>
      </c>
      <c r="BE221" s="3"/>
      <c r="BF221" s="7">
        <v>1447.8698099380192</v>
      </c>
    </row>
    <row x14ac:dyDescent="0.25" r="222" customHeight="1" ht="12.75">
      <c r="A222" s="5" t="s">
        <v>157</v>
      </c>
      <c r="B222" s="3" t="s">
        <v>859</v>
      </c>
      <c r="C222" s="3" t="s">
        <v>863</v>
      </c>
      <c r="D222" s="3"/>
      <c r="E222" s="3"/>
      <c r="F222" s="6">
        <f>100*SUM(AM222:AO222)/AL222</f>
      </c>
      <c r="G222" s="6">
        <f>100*SUM(AP222)/AL222</f>
      </c>
      <c r="H222" s="6">
        <f>100*SUM(AQ222)/AL222</f>
      </c>
      <c r="I222" s="6">
        <f>100*SUM(AR222:BC222)/AL222</f>
      </c>
      <c r="J222" s="3"/>
      <c r="K222" s="23">
        <v>1.2649409999999999</v>
      </c>
      <c r="L222" s="6">
        <v>2.5</v>
      </c>
      <c r="M222" s="6">
        <v>3.5</v>
      </c>
      <c r="N222" s="31">
        <v>242.16761959727768</v>
      </c>
      <c r="O222" s="6"/>
      <c r="P222" s="6">
        <v>5.326790581220784</v>
      </c>
      <c r="Q222" s="7"/>
      <c r="R222" s="6"/>
      <c r="S222" s="6"/>
      <c r="T222" s="6"/>
      <c r="U222" s="5"/>
      <c r="V222" s="6"/>
      <c r="W222" s="6"/>
      <c r="X222" s="6"/>
      <c r="Y222" s="15"/>
      <c r="Z222" s="6"/>
      <c r="AA222" s="6"/>
      <c r="AB222" s="5"/>
      <c r="AC222" s="3"/>
      <c r="AD222" s="6">
        <v>0.031623525</v>
      </c>
      <c r="AE222" s="6">
        <v>0.04427293499999999</v>
      </c>
      <c r="AF222" s="7">
        <v>306.327750901</v>
      </c>
      <c r="AG222" s="6">
        <v>0</v>
      </c>
      <c r="AH222" s="7">
        <v>6.738075804599999</v>
      </c>
      <c r="AI222" s="15">
        <v>0.07589646</v>
      </c>
      <c r="AJ222" s="6">
        <v>6</v>
      </c>
      <c r="AK222" s="3"/>
      <c r="AL222" s="6">
        <v>489.10903931146595</v>
      </c>
      <c r="AM222" s="6">
        <v>47.3989</v>
      </c>
      <c r="AN222" s="6">
        <v>76.003585</v>
      </c>
      <c r="AO222" s="6">
        <v>148.18166562495804</v>
      </c>
      <c r="AP222" s="6">
        <v>0</v>
      </c>
      <c r="AQ222" s="6">
        <v>217.52488868650792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/>
      <c r="BD222" s="3"/>
      <c r="BE222" s="3"/>
      <c r="BF222" s="7">
        <v>618.694077295685</v>
      </c>
    </row>
    <row x14ac:dyDescent="0.25" r="223" customHeight="1" ht="12.75">
      <c r="A223" s="5" t="s">
        <v>529</v>
      </c>
      <c r="B223" s="3" t="s">
        <v>855</v>
      </c>
      <c r="C223" s="3" t="s">
        <v>864</v>
      </c>
      <c r="D223" s="3"/>
      <c r="E223" s="3"/>
      <c r="F223" s="6">
        <f>100*SUM(AM223:AO223)/AL223</f>
      </c>
      <c r="G223" s="6">
        <f>100*SUM(AP223)/AL223</f>
      </c>
      <c r="H223" s="6">
        <f>100*SUM(AQ223)/AL223</f>
      </c>
      <c r="I223" s="6">
        <f>100*SUM(AR223:BC223)/AL223</f>
      </c>
      <c r="J223" s="3"/>
      <c r="K223" s="6">
        <v>20.5</v>
      </c>
      <c r="L223" s="6">
        <v>1.1</v>
      </c>
      <c r="M223" s="5">
        <v>2</v>
      </c>
      <c r="N223" s="5">
        <v>9</v>
      </c>
      <c r="O223" s="6">
        <v>0.1</v>
      </c>
      <c r="P223" s="6"/>
      <c r="Q223" s="7"/>
      <c r="R223" s="6"/>
      <c r="S223" s="6"/>
      <c r="T223" s="6"/>
      <c r="U223" s="5"/>
      <c r="V223" s="6"/>
      <c r="W223" s="6"/>
      <c r="X223" s="6"/>
      <c r="Y223" s="15"/>
      <c r="Z223" s="6"/>
      <c r="AA223" s="6"/>
      <c r="AB223" s="5"/>
      <c r="AC223" s="3"/>
      <c r="AD223" s="6">
        <v>0.2255</v>
      </c>
      <c r="AE223" s="6">
        <v>0.41</v>
      </c>
      <c r="AF223" s="7">
        <v>184.5</v>
      </c>
      <c r="AG223" s="6">
        <v>0.020500000000000004</v>
      </c>
      <c r="AH223" s="7">
        <v>0</v>
      </c>
      <c r="AI223" s="15">
        <v>0.6559999999999999</v>
      </c>
      <c r="AJ223" s="6">
        <v>3.2</v>
      </c>
      <c r="AK223" s="3"/>
      <c r="AL223" s="6">
        <v>76.73769995498392</v>
      </c>
      <c r="AM223" s="6">
        <v>20.855516</v>
      </c>
      <c r="AN223" s="6">
        <v>43.43062</v>
      </c>
      <c r="AO223" s="6">
        <v>5.507073954983924</v>
      </c>
      <c r="AP223" s="6">
        <v>6.94449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/>
      <c r="BD223" s="3"/>
      <c r="BE223" s="3"/>
      <c r="BF223" s="7">
        <v>1573.1228490771705</v>
      </c>
    </row>
    <row x14ac:dyDescent="0.25" r="224" customHeight="1" ht="12.75">
      <c r="A224" s="5" t="s">
        <v>849</v>
      </c>
      <c r="B224" s="3" t="s">
        <v>855</v>
      </c>
      <c r="C224" s="3" t="s">
        <v>864</v>
      </c>
      <c r="D224" s="3"/>
      <c r="E224" s="3"/>
      <c r="F224" s="6">
        <f>100*SUM(AM224:AO224)/AL224</f>
      </c>
      <c r="G224" s="6">
        <f>100*SUM(AP224)/AL224</f>
      </c>
      <c r="H224" s="6">
        <f>100*SUM(AQ224)/AL224</f>
      </c>
      <c r="I224" s="6">
        <f>100*SUM(AR224:BC224)/AL224</f>
      </c>
      <c r="J224" s="3"/>
      <c r="K224" s="6">
        <v>0.733</v>
      </c>
      <c r="L224" s="6">
        <v>0.9</v>
      </c>
      <c r="M224" s="6">
        <v>0.83</v>
      </c>
      <c r="N224" s="5">
        <v>49</v>
      </c>
      <c r="O224" s="6">
        <v>0.1</v>
      </c>
      <c r="P224" s="6">
        <v>0.06</v>
      </c>
      <c r="Q224" s="7"/>
      <c r="R224" s="6"/>
      <c r="S224" s="6"/>
      <c r="T224" s="6"/>
      <c r="U224" s="5"/>
      <c r="V224" s="6"/>
      <c r="W224" s="6"/>
      <c r="X224" s="6"/>
      <c r="Y224" s="15"/>
      <c r="Z224" s="6"/>
      <c r="AA224" s="6"/>
      <c r="AB224" s="5"/>
      <c r="AC224" s="3"/>
      <c r="AD224" s="6">
        <v>0.0065969999999999996</v>
      </c>
      <c r="AE224" s="6">
        <v>0.0060839</v>
      </c>
      <c r="AF224" s="7">
        <v>35.917</v>
      </c>
      <c r="AG224" s="6">
        <v>0.000733</v>
      </c>
      <c r="AH224" s="7">
        <v>0.04398</v>
      </c>
      <c r="AI224" s="15">
        <v>0.013413899999999998</v>
      </c>
      <c r="AJ224" s="6">
        <v>1.83</v>
      </c>
      <c r="AK224" s="3"/>
      <c r="AL224" s="6">
        <v>74.46492027106109</v>
      </c>
      <c r="AM224" s="6">
        <v>17.063604</v>
      </c>
      <c r="AN224" s="6">
        <v>18.023707299999998</v>
      </c>
      <c r="AO224" s="6">
        <v>29.982958199356915</v>
      </c>
      <c r="AP224" s="6">
        <v>6.94449</v>
      </c>
      <c r="AQ224" s="6">
        <v>2.45016077170418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/>
      <c r="BD224" s="3"/>
      <c r="BE224" s="3"/>
      <c r="BF224" s="7">
        <v>54.58278655868778</v>
      </c>
    </row>
    <row x14ac:dyDescent="0.25" r="225" customHeight="1" ht="12.75">
      <c r="A225" s="5" t="s">
        <v>608</v>
      </c>
      <c r="B225" s="3" t="s">
        <v>855</v>
      </c>
      <c r="C225" s="3" t="s">
        <v>864</v>
      </c>
      <c r="D225" s="3"/>
      <c r="E225" s="3"/>
      <c r="F225" s="6">
        <f>100*SUM(AM225:AO225)/AL225</f>
      </c>
      <c r="G225" s="6">
        <f>100*SUM(AP225)/AL225</f>
      </c>
      <c r="H225" s="6">
        <f>100*SUM(AQ225)/AL225</f>
      </c>
      <c r="I225" s="6">
        <f>100*SUM(AR225:BC225)/AL225</f>
      </c>
      <c r="J225" s="3"/>
      <c r="K225" s="6">
        <v>1.25</v>
      </c>
      <c r="L225" s="6">
        <v>1.76</v>
      </c>
      <c r="M225" s="6">
        <v>3.3</v>
      </c>
      <c r="N225" s="6">
        <v>68.8</v>
      </c>
      <c r="O225" s="6">
        <v>0.81</v>
      </c>
      <c r="P225" s="6">
        <v>0.66</v>
      </c>
      <c r="Q225" s="7"/>
      <c r="R225" s="6"/>
      <c r="S225" s="6"/>
      <c r="T225" s="6"/>
      <c r="U225" s="5"/>
      <c r="V225" s="6"/>
      <c r="W225" s="6"/>
      <c r="X225" s="6"/>
      <c r="Y225" s="15"/>
      <c r="Z225" s="6"/>
      <c r="AA225" s="6"/>
      <c r="AB225" s="5"/>
      <c r="AC225" s="3"/>
      <c r="AD225" s="6">
        <v>0.022000000000000002</v>
      </c>
      <c r="AE225" s="6">
        <v>0.04125</v>
      </c>
      <c r="AF225" s="7">
        <v>86</v>
      </c>
      <c r="AG225" s="6">
        <v>0.010125000000000002</v>
      </c>
      <c r="AH225" s="7">
        <v>0.8250000000000001</v>
      </c>
      <c r="AI225" s="15">
        <v>0.073375</v>
      </c>
      <c r="AJ225" s="6">
        <v>5.869999999999999</v>
      </c>
      <c r="AK225" s="3"/>
      <c r="AL225" s="6">
        <v>230.33000698906753</v>
      </c>
      <c r="AM225" s="6">
        <v>33.3688256</v>
      </c>
      <c r="AN225" s="6">
        <v>71.660523</v>
      </c>
      <c r="AO225" s="6">
        <v>42.098520900321546</v>
      </c>
      <c r="AP225" s="6">
        <v>56.250369000000006</v>
      </c>
      <c r="AQ225" s="6">
        <v>26.951768488745984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0</v>
      </c>
      <c r="BA225" s="6">
        <v>0</v>
      </c>
      <c r="BB225" s="6">
        <v>0</v>
      </c>
      <c r="BC225" s="6"/>
      <c r="BD225" s="3"/>
      <c r="BE225" s="3"/>
      <c r="BF225" s="7">
        <v>287.9125087363344</v>
      </c>
    </row>
    <row x14ac:dyDescent="0.25" r="226" customHeight="1" ht="12.75">
      <c r="A226" s="5" t="s">
        <v>678</v>
      </c>
      <c r="B226" s="3" t="s">
        <v>855</v>
      </c>
      <c r="C226" s="3" t="s">
        <v>864</v>
      </c>
      <c r="D226" s="3" t="s">
        <v>977</v>
      </c>
      <c r="E226" s="3"/>
      <c r="F226" s="6">
        <f>100*SUM(AM226:AO226)/AL226</f>
      </c>
      <c r="G226" s="6">
        <f>100*SUM(AP226)/AL226</f>
      </c>
      <c r="H226" s="6">
        <f>100*SUM(AQ226)/AL226</f>
      </c>
      <c r="I226" s="6">
        <f>100*SUM(AR226:BC226)/AL226</f>
      </c>
      <c r="J226" s="3"/>
      <c r="K226" s="6">
        <v>6.24</v>
      </c>
      <c r="L226" s="7">
        <v>2</v>
      </c>
      <c r="M226" s="6">
        <v>1.2</v>
      </c>
      <c r="N226" s="7">
        <v>47</v>
      </c>
      <c r="O226" s="7">
        <v>1</v>
      </c>
      <c r="P226" s="6">
        <v>0.8</v>
      </c>
      <c r="Q226" s="7"/>
      <c r="R226" s="6"/>
      <c r="S226" s="6"/>
      <c r="T226" s="6"/>
      <c r="U226" s="5"/>
      <c r="V226" s="6"/>
      <c r="W226" s="6"/>
      <c r="X226" s="6"/>
      <c r="Y226" s="15"/>
      <c r="Z226" s="6"/>
      <c r="AA226" s="6"/>
      <c r="AB226" s="5"/>
      <c r="AC226" s="3"/>
      <c r="AD226" s="6">
        <v>0.12480000000000001</v>
      </c>
      <c r="AE226" s="6">
        <v>0.07488</v>
      </c>
      <c r="AF226" s="7">
        <v>293.28000000000003</v>
      </c>
      <c r="AG226" s="6">
        <v>0.062400000000000004</v>
      </c>
      <c r="AH226" s="7">
        <v>4.992000000000001</v>
      </c>
      <c r="AI226" s="15">
        <v>0.26208000000000004</v>
      </c>
      <c r="AJ226" s="6">
        <v>4.2</v>
      </c>
      <c r="AK226" s="3"/>
      <c r="AL226" s="6">
        <v>194.85036627652732</v>
      </c>
      <c r="AM226" s="6">
        <v>37.91912</v>
      </c>
      <c r="AN226" s="6">
        <v>26.058372</v>
      </c>
      <c r="AO226" s="6">
        <v>28.759163987138265</v>
      </c>
      <c r="AP226" s="6">
        <v>69.4449</v>
      </c>
      <c r="AQ226" s="6">
        <v>32.66881028938907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/>
      <c r="BD226" s="3"/>
      <c r="BE226" s="3"/>
      <c r="BF226" s="7">
        <v>1215.8662855655305</v>
      </c>
    </row>
    <row x14ac:dyDescent="0.25" r="227" customHeight="1" ht="12.75">
      <c r="A227" s="5" t="s">
        <v>515</v>
      </c>
      <c r="B227" s="3" t="s">
        <v>855</v>
      </c>
      <c r="C227" s="3" t="s">
        <v>864</v>
      </c>
      <c r="D227" s="3"/>
      <c r="E227" s="3"/>
      <c r="F227" s="6">
        <f>100*SUM(AM227:AO227)/AL227</f>
      </c>
      <c r="G227" s="6">
        <f>100*SUM(AP227)/AL227</f>
      </c>
      <c r="H227" s="6">
        <f>100*SUM(AQ227)/AL227</f>
      </c>
      <c r="I227" s="6">
        <f>100*SUM(AR227:BC227)/AL227</f>
      </c>
      <c r="J227" s="3"/>
      <c r="K227" s="6">
        <v>27.033</v>
      </c>
      <c r="L227" s="6">
        <v>0.4546388638485226</v>
      </c>
      <c r="M227" s="6">
        <v>0.6819582957727839</v>
      </c>
      <c r="N227" s="7">
        <v>8.86545784504619</v>
      </c>
      <c r="O227" s="6"/>
      <c r="P227" s="6">
        <v>1.7427823114193364</v>
      </c>
      <c r="Q227" s="7"/>
      <c r="R227" s="6"/>
      <c r="S227" s="6"/>
      <c r="T227" s="6"/>
      <c r="U227" s="5"/>
      <c r="V227" s="6"/>
      <c r="W227" s="6"/>
      <c r="X227" s="6"/>
      <c r="Y227" s="15"/>
      <c r="Z227" s="6"/>
      <c r="AA227" s="6"/>
      <c r="AB227" s="5"/>
      <c r="AC227" s="3"/>
      <c r="AD227" s="6">
        <v>0.12290252406417113</v>
      </c>
      <c r="AE227" s="6">
        <v>0.1843537860962567</v>
      </c>
      <c r="AF227" s="7">
        <v>239.6599219251337</v>
      </c>
      <c r="AG227" s="6">
        <v>0</v>
      </c>
      <c r="AH227" s="7">
        <v>47.11263422459892</v>
      </c>
      <c r="AI227" s="15">
        <v>0.3072563101604278</v>
      </c>
      <c r="AJ227" s="6">
        <v>1.1365971596213065</v>
      </c>
      <c r="AK227" s="3"/>
      <c r="AL227" s="6">
        <v>100.02171750129015</v>
      </c>
      <c r="AM227" s="6">
        <v>8.619752817467894</v>
      </c>
      <c r="AN227" s="6">
        <v>14.808935799777691</v>
      </c>
      <c r="AO227" s="6">
        <v>5.424747999717975</v>
      </c>
      <c r="AP227" s="6">
        <v>0</v>
      </c>
      <c r="AQ227" s="6">
        <v>71.16828088432659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/>
      <c r="BD227" s="3"/>
      <c r="BE227" s="3"/>
      <c r="BF227" s="7">
        <v>2703.887089212377</v>
      </c>
    </row>
    <row x14ac:dyDescent="0.25" r="228" customHeight="1" ht="12.75">
      <c r="A228" s="5" t="s">
        <v>755</v>
      </c>
      <c r="B228" s="3" t="s">
        <v>855</v>
      </c>
      <c r="C228" s="3" t="s">
        <v>864</v>
      </c>
      <c r="D228" s="3"/>
      <c r="E228" s="3"/>
      <c r="F228" s="6">
        <f>100*SUM(AM228:AO228)/AL228</f>
      </c>
      <c r="G228" s="6">
        <f>100*SUM(AP228)/AL228</f>
      </c>
      <c r="H228" s="6">
        <f>100*SUM(AQ228)/AL228</f>
      </c>
      <c r="I228" s="6">
        <f>100*SUM(AR228:BC228)/AL228</f>
      </c>
      <c r="J228" s="3"/>
      <c r="K228" s="6">
        <v>2.9</v>
      </c>
      <c r="L228" s="6"/>
      <c r="M228" s="6">
        <v>1.15</v>
      </c>
      <c r="N228" s="7">
        <v>29.3</v>
      </c>
      <c r="O228" s="6">
        <v>0.77</v>
      </c>
      <c r="P228" s="6">
        <v>1.75</v>
      </c>
      <c r="Q228" s="7"/>
      <c r="R228" s="6"/>
      <c r="S228" s="6"/>
      <c r="T228" s="6"/>
      <c r="U228" s="5"/>
      <c r="V228" s="6"/>
      <c r="W228" s="6"/>
      <c r="X228" s="6"/>
      <c r="Y228" s="15"/>
      <c r="Z228" s="6"/>
      <c r="AA228" s="6"/>
      <c r="AB228" s="5"/>
      <c r="AC228" s="3"/>
      <c r="AD228" s="6">
        <v>0</v>
      </c>
      <c r="AE228" s="6">
        <v>0.03335</v>
      </c>
      <c r="AF228" s="7">
        <v>84.97</v>
      </c>
      <c r="AG228" s="6">
        <v>0.022330000000000003</v>
      </c>
      <c r="AH228" s="7">
        <v>5.075</v>
      </c>
      <c r="AI228" s="15">
        <v>0.05568</v>
      </c>
      <c r="AJ228" s="6">
        <v>1.92</v>
      </c>
      <c r="AK228" s="3"/>
      <c r="AL228" s="6">
        <v>167.8367872170418</v>
      </c>
      <c r="AM228" s="6">
        <v>0</v>
      </c>
      <c r="AN228" s="6">
        <v>24.972606499999998</v>
      </c>
      <c r="AO228" s="6">
        <v>17.92858520900322</v>
      </c>
      <c r="AP228" s="6">
        <v>53.472573</v>
      </c>
      <c r="AQ228" s="6">
        <v>71.46302250803859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/>
      <c r="BD228" s="3"/>
      <c r="BE228" s="3"/>
      <c r="BF228" s="7">
        <v>486.7266829294212</v>
      </c>
    </row>
    <row x14ac:dyDescent="0.25" r="229" customHeight="1" ht="12.75">
      <c r="A229" s="5" t="s">
        <v>595</v>
      </c>
      <c r="B229" s="3" t="s">
        <v>855</v>
      </c>
      <c r="C229" s="3" t="s">
        <v>864</v>
      </c>
      <c r="D229" s="3"/>
      <c r="E229" s="3"/>
      <c r="F229" s="6">
        <f>100*SUM(AM229:AO229)/AL229</f>
      </c>
      <c r="G229" s="6">
        <f>100*SUM(AP229)/AL229</f>
      </c>
      <c r="H229" s="6">
        <f>100*SUM(AQ229)/AL229</f>
      </c>
      <c r="I229" s="6">
        <f>100*SUM(AR229:BC229)/AL229</f>
      </c>
      <c r="J229" s="3"/>
      <c r="K229" s="6">
        <v>0.067</v>
      </c>
      <c r="L229" s="6">
        <v>0.73</v>
      </c>
      <c r="M229" s="6">
        <v>0.25</v>
      </c>
      <c r="N229" s="5">
        <v>16</v>
      </c>
      <c r="O229" s="6"/>
      <c r="P229" s="6">
        <v>4.97</v>
      </c>
      <c r="Q229" s="7"/>
      <c r="R229" s="6"/>
      <c r="S229" s="6"/>
      <c r="T229" s="6"/>
      <c r="U229" s="5"/>
      <c r="V229" s="6"/>
      <c r="W229" s="6"/>
      <c r="X229" s="6"/>
      <c r="Y229" s="15"/>
      <c r="Z229" s="6"/>
      <c r="AA229" s="6"/>
      <c r="AB229" s="5"/>
      <c r="AC229" s="3"/>
      <c r="AD229" s="6">
        <v>0.0004891</v>
      </c>
      <c r="AE229" s="6">
        <v>0.0001675</v>
      </c>
      <c r="AF229" s="7">
        <v>1.072</v>
      </c>
      <c r="AG229" s="6">
        <v>0</v>
      </c>
      <c r="AH229" s="7">
        <v>0.33299</v>
      </c>
      <c r="AI229" s="15">
        <v>0.0006566</v>
      </c>
      <c r="AJ229" s="6">
        <v>0.98</v>
      </c>
      <c r="AK229" s="3"/>
      <c r="AL229" s="6">
        <v>232.01464392057878</v>
      </c>
      <c r="AM229" s="6">
        <v>13.8404788</v>
      </c>
      <c r="AN229" s="6">
        <v>5.4288275</v>
      </c>
      <c r="AO229" s="6">
        <v>9.790353697749197</v>
      </c>
      <c r="AP229" s="6">
        <v>0</v>
      </c>
      <c r="AQ229" s="6">
        <v>202.95498392282957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/>
      <c r="BD229" s="3"/>
      <c r="BE229" s="3"/>
      <c r="BF229" s="7">
        <v>15.544981142678779</v>
      </c>
    </row>
    <row x14ac:dyDescent="0.25" r="230" customHeight="1" ht="12.75">
      <c r="A230" s="5" t="s">
        <v>326</v>
      </c>
      <c r="B230" s="3" t="s">
        <v>859</v>
      </c>
      <c r="C230" s="3" t="s">
        <v>864</v>
      </c>
      <c r="D230" s="3"/>
      <c r="E230" s="3"/>
      <c r="F230" s="6">
        <f>100*SUM(AM230:AO230)/AL230</f>
      </c>
      <c r="G230" s="6">
        <f>100*SUM(AP230)/AL230</f>
      </c>
      <c r="H230" s="6">
        <f>100*SUM(AQ230)/AL230</f>
      </c>
      <c r="I230" s="6">
        <f>100*SUM(AR230:BC230)/AL230</f>
      </c>
      <c r="J230" s="3"/>
      <c r="K230" s="7">
        <v>31</v>
      </c>
      <c r="L230" s="6"/>
      <c r="M230" s="6">
        <v>0.9</v>
      </c>
      <c r="N230" s="5">
        <v>11</v>
      </c>
      <c r="O230" s="6">
        <v>1.6</v>
      </c>
      <c r="P230" s="6">
        <v>0.8</v>
      </c>
      <c r="Q230" s="7"/>
      <c r="R230" s="6"/>
      <c r="S230" s="6"/>
      <c r="T230" s="6"/>
      <c r="U230" s="5"/>
      <c r="V230" s="6"/>
      <c r="W230" s="6"/>
      <c r="X230" s="6"/>
      <c r="Y230" s="15"/>
      <c r="Z230" s="6"/>
      <c r="AA230" s="6"/>
      <c r="AB230" s="23"/>
      <c r="AC230" s="3"/>
      <c r="AD230" s="6">
        <v>0</v>
      </c>
      <c r="AE230" s="6">
        <v>0.279</v>
      </c>
      <c r="AF230" s="7">
        <v>341</v>
      </c>
      <c r="AG230" s="6">
        <v>0.496</v>
      </c>
      <c r="AH230" s="7">
        <v>24.8</v>
      </c>
      <c r="AI230" s="15">
        <v>0.775</v>
      </c>
      <c r="AJ230" s="6">
        <v>2.5</v>
      </c>
      <c r="AK230" s="3"/>
      <c r="AL230" s="6">
        <v>170.05529745659163</v>
      </c>
      <c r="AM230" s="6">
        <v>0</v>
      </c>
      <c r="AN230" s="6">
        <v>19.543779</v>
      </c>
      <c r="AO230" s="6">
        <v>6.730868167202573</v>
      </c>
      <c r="AP230" s="6">
        <v>111.11184</v>
      </c>
      <c r="AQ230" s="6">
        <v>32.66881028938907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/>
      <c r="BD230" s="3"/>
      <c r="BE230" s="3"/>
      <c r="BF230" s="7">
        <v>5271.7142211543405</v>
      </c>
    </row>
    <row x14ac:dyDescent="0.25" r="231" customHeight="1" ht="12.75">
      <c r="A231" s="5" t="s">
        <v>93</v>
      </c>
      <c r="B231" s="3" t="s">
        <v>855</v>
      </c>
      <c r="C231" s="3" t="s">
        <v>865</v>
      </c>
      <c r="D231" s="3"/>
      <c r="E231" s="3"/>
      <c r="F231" s="6">
        <f>100*SUM(AM231:AO231)/AL231</f>
      </c>
      <c r="G231" s="6">
        <f>100*SUM(AP231)/AL231</f>
      </c>
      <c r="H231" s="6">
        <f>100*SUM(AQ231)/AL231</f>
      </c>
      <c r="I231" s="6">
        <f>100*SUM(AR231:BC231)/AL231</f>
      </c>
      <c r="J231" s="3"/>
      <c r="K231" s="6">
        <v>940.62</v>
      </c>
      <c r="L231" s="23">
        <v>0.24821942761157534</v>
      </c>
      <c r="M231" s="23">
        <v>0.464107677914567</v>
      </c>
      <c r="N231" s="7">
        <v>17.624890412706513</v>
      </c>
      <c r="O231" s="6"/>
      <c r="P231" s="23">
        <v>0.0479425081329336</v>
      </c>
      <c r="Q231" s="7"/>
      <c r="R231" s="6"/>
      <c r="S231" s="6"/>
      <c r="T231" s="6"/>
      <c r="U231" s="5"/>
      <c r="V231" s="6"/>
      <c r="W231" s="6"/>
      <c r="X231" s="6"/>
      <c r="Y231" s="15"/>
      <c r="Z231" s="6"/>
      <c r="AA231" s="6"/>
      <c r="AB231" s="5"/>
      <c r="AC231" s="3"/>
      <c r="AD231" s="6">
        <v>2.3348015799999997</v>
      </c>
      <c r="AE231" s="6">
        <v>4.36548964</v>
      </c>
      <c r="AF231" s="7">
        <v>16578.32442</v>
      </c>
      <c r="AG231" s="6">
        <v>0</v>
      </c>
      <c r="AH231" s="7">
        <v>45.095682000000004</v>
      </c>
      <c r="AI231" s="15">
        <v>6.7002912199999995</v>
      </c>
      <c r="AJ231" s="6">
        <v>0.7123271055261423</v>
      </c>
      <c r="AK231" s="3"/>
      <c r="AL231" s="6">
        <v>27.526773548031773</v>
      </c>
      <c r="AM231" s="6">
        <v>4.70613113096732</v>
      </c>
      <c r="AN231" s="6">
        <v>10.078242099294975</v>
      </c>
      <c r="AO231" s="6">
        <v>10.7846194390291</v>
      </c>
      <c r="AP231" s="6">
        <v>0</v>
      </c>
      <c r="AQ231" s="6">
        <v>1.9577808787403757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/>
      <c r="BD231" s="3"/>
      <c r="BE231" s="3"/>
      <c r="BF231" s="7">
        <v>25892.233734749647</v>
      </c>
    </row>
    <row x14ac:dyDescent="0.25" r="232" customHeight="1" ht="12.75">
      <c r="A232" s="5" t="s">
        <v>809</v>
      </c>
      <c r="B232" s="3" t="s">
        <v>855</v>
      </c>
      <c r="C232" s="3" t="s">
        <v>865</v>
      </c>
      <c r="D232" s="3" t="s">
        <v>978</v>
      </c>
      <c r="E232" s="3"/>
      <c r="F232" s="6">
        <f>100*SUM(AM232:AO232)/AL232</f>
      </c>
      <c r="G232" s="6">
        <f>100*SUM(AP232)/AL232</f>
      </c>
      <c r="H232" s="6">
        <f>100*SUM(AQ232)/AL232</f>
      </c>
      <c r="I232" s="6">
        <f>100*SUM(AR232:BC232)/AL232</f>
      </c>
      <c r="J232" s="3"/>
      <c r="K232" s="23">
        <v>0.124</v>
      </c>
      <c r="L232" s="6">
        <v>0.5387096774193548</v>
      </c>
      <c r="M232" s="7">
        <v>2.6612903225806455</v>
      </c>
      <c r="N232" s="31">
        <v>25.258064516129032</v>
      </c>
      <c r="O232" s="6">
        <v>0.31048387096774194</v>
      </c>
      <c r="P232" s="6">
        <v>0.19564516129032258</v>
      </c>
      <c r="Q232" s="7"/>
      <c r="R232" s="6"/>
      <c r="S232" s="6"/>
      <c r="T232" s="6"/>
      <c r="U232" s="5"/>
      <c r="V232" s="6"/>
      <c r="W232" s="6"/>
      <c r="X232" s="6"/>
      <c r="Y232" s="15"/>
      <c r="Z232" s="6"/>
      <c r="AA232" s="6"/>
      <c r="AB232" s="5"/>
      <c r="AC232" s="3"/>
      <c r="AD232" s="6">
        <v>0.000668</v>
      </c>
      <c r="AE232" s="6">
        <v>0.0033</v>
      </c>
      <c r="AF232" s="7">
        <v>3.132</v>
      </c>
      <c r="AG232" s="6">
        <v>0.000385</v>
      </c>
      <c r="AH232" s="7">
        <v>0.02426</v>
      </c>
      <c r="AI232" s="15">
        <v>0.004353</v>
      </c>
      <c r="AJ232" s="6">
        <v>3.510483870967742</v>
      </c>
      <c r="AK232" s="3"/>
      <c r="AL232" s="6">
        <v>113.01066908354943</v>
      </c>
      <c r="AM232" s="6">
        <v>10.213698451612903</v>
      </c>
      <c r="AN232" s="6">
        <v>57.790744354838715</v>
      </c>
      <c r="AO232" s="6">
        <v>15.45533658334198</v>
      </c>
      <c r="AP232" s="6">
        <v>21.56152137096774</v>
      </c>
      <c r="AQ232" s="6">
        <v>7.989368322788093</v>
      </c>
      <c r="AR232" s="6">
        <v>0</v>
      </c>
      <c r="AS232" s="6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0</v>
      </c>
      <c r="AZ232" s="6">
        <v>0</v>
      </c>
      <c r="BA232" s="6">
        <v>0</v>
      </c>
      <c r="BB232" s="6">
        <v>0</v>
      </c>
      <c r="BC232" s="6"/>
      <c r="BD232" s="3"/>
      <c r="BE232" s="3"/>
      <c r="BF232" s="7">
        <v>14.013322966360128</v>
      </c>
    </row>
    <row x14ac:dyDescent="0.25" r="233" customHeight="1" ht="12.75">
      <c r="A233" s="5" t="s">
        <v>823</v>
      </c>
      <c r="B233" s="3" t="s">
        <v>855</v>
      </c>
      <c r="C233" s="3" t="s">
        <v>865</v>
      </c>
      <c r="D233" s="3" t="s">
        <v>979</v>
      </c>
      <c r="E233" s="3"/>
      <c r="F233" s="6">
        <f>100*SUM(AM233:AO233)/AL233</f>
      </c>
      <c r="G233" s="6">
        <f>100*SUM(AP233)/AL233</f>
      </c>
      <c r="H233" s="6">
        <f>100*SUM(AQ233)/AL233</f>
      </c>
      <c r="I233" s="6">
        <f>100*SUM(AR233:BC233)/AL233</f>
      </c>
      <c r="J233" s="3"/>
      <c r="K233" s="6">
        <v>2.75</v>
      </c>
      <c r="L233" s="7">
        <v>1</v>
      </c>
      <c r="M233" s="6">
        <v>1.3</v>
      </c>
      <c r="N233" s="5">
        <v>24</v>
      </c>
      <c r="O233" s="6">
        <v>0.18</v>
      </c>
      <c r="P233" s="6">
        <v>0.5</v>
      </c>
      <c r="Q233" s="7"/>
      <c r="R233" s="6"/>
      <c r="S233" s="6"/>
      <c r="T233" s="6"/>
      <c r="U233" s="5"/>
      <c r="V233" s="6"/>
      <c r="W233" s="6"/>
      <c r="X233" s="6"/>
      <c r="Y233" s="15"/>
      <c r="Z233" s="6"/>
      <c r="AA233" s="6"/>
      <c r="AB233" s="5"/>
      <c r="AC233" s="3"/>
      <c r="AD233" s="6">
        <v>0.0275</v>
      </c>
      <c r="AE233" s="6">
        <v>0.035750000000000004</v>
      </c>
      <c r="AF233" s="7">
        <v>66</v>
      </c>
      <c r="AG233" s="6">
        <v>0.0049499999999999995</v>
      </c>
      <c r="AH233" s="7">
        <v>1.375</v>
      </c>
      <c r="AI233" s="15">
        <v>0.0682</v>
      </c>
      <c r="AJ233" s="6">
        <v>2.48</v>
      </c>
      <c r="AK233" s="3"/>
      <c r="AL233" s="6">
        <v>94.79308197749197</v>
      </c>
      <c r="AM233" s="6">
        <v>18.95956</v>
      </c>
      <c r="AN233" s="6">
        <v>28.229903</v>
      </c>
      <c r="AO233" s="6">
        <v>14.685530546623797</v>
      </c>
      <c r="AP233" s="6">
        <v>12.500081999999999</v>
      </c>
      <c r="AQ233" s="6">
        <v>20.418006430868168</v>
      </c>
      <c r="AR233" s="6">
        <v>0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0</v>
      </c>
      <c r="BC233" s="6"/>
      <c r="BD233" s="3"/>
      <c r="BE233" s="3"/>
      <c r="BF233" s="7">
        <v>260.6809754381029</v>
      </c>
    </row>
    <row x14ac:dyDescent="0.25" r="234" customHeight="1" ht="12.75">
      <c r="A234" s="5" t="s">
        <v>676</v>
      </c>
      <c r="B234" s="3" t="s">
        <v>855</v>
      </c>
      <c r="C234" s="3" t="s">
        <v>865</v>
      </c>
      <c r="D234" s="3" t="s">
        <v>886</v>
      </c>
      <c r="E234" s="3"/>
      <c r="F234" s="6">
        <f>100*SUM(AM234:AO234)/AL234</f>
      </c>
      <c r="G234" s="6">
        <f>100*SUM(AP234)/AL234</f>
      </c>
      <c r="H234" s="6">
        <f>100*SUM(AQ234)/AL234</f>
      </c>
      <c r="I234" s="6">
        <f>100*SUM(AR234:BC234)/AL234</f>
      </c>
      <c r="J234" s="3"/>
      <c r="K234" s="23">
        <v>34.2722016</v>
      </c>
      <c r="L234" s="6">
        <v>0.163</v>
      </c>
      <c r="M234" s="6">
        <v>0.476</v>
      </c>
      <c r="N234" s="6">
        <v>7.233355379188713</v>
      </c>
      <c r="O234" s="6"/>
      <c r="P234" s="6">
        <v>0.43880070546737215</v>
      </c>
      <c r="Q234" s="7"/>
      <c r="R234" s="6"/>
      <c r="S234" s="6"/>
      <c r="T234" s="6"/>
      <c r="U234" s="5"/>
      <c r="V234" s="6"/>
      <c r="W234" s="6"/>
      <c r="X234" s="6"/>
      <c r="Y234" s="15"/>
      <c r="Z234" s="6"/>
      <c r="AA234" s="6"/>
      <c r="AB234" s="5"/>
      <c r="AC234" s="3"/>
      <c r="AD234" s="6">
        <v>0.055863688608000006</v>
      </c>
      <c r="AE234" s="6">
        <v>0.163135679616</v>
      </c>
      <c r="AF234" s="7">
        <v>247.90301380000002</v>
      </c>
      <c r="AG234" s="6">
        <v>0</v>
      </c>
      <c r="AH234" s="7">
        <v>15.038666240000001</v>
      </c>
      <c r="AI234" s="15">
        <v>0.218999368224</v>
      </c>
      <c r="AJ234" s="6">
        <v>0.639</v>
      </c>
      <c r="AK234" s="3"/>
      <c r="AL234" s="6">
        <v>35.77183631619047</v>
      </c>
      <c r="AM234" s="6">
        <v>3.09040828</v>
      </c>
      <c r="AN234" s="6">
        <v>10.336487559999998</v>
      </c>
      <c r="AO234" s="6">
        <v>4.426069223985891</v>
      </c>
      <c r="AP234" s="6">
        <v>0</v>
      </c>
      <c r="AQ234" s="6">
        <v>17.918871252204585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/>
      <c r="BD234" s="3"/>
      <c r="BE234" s="3"/>
      <c r="BF234" s="7">
        <v>1225.9795858306813</v>
      </c>
    </row>
    <row x14ac:dyDescent="0.25" r="235" customHeight="1" ht="12.75">
      <c r="A235" s="5" t="s">
        <v>640</v>
      </c>
      <c r="B235" s="3" t="s">
        <v>855</v>
      </c>
      <c r="C235" s="3" t="s">
        <v>865</v>
      </c>
      <c r="D235" s="3"/>
      <c r="E235" s="3"/>
      <c r="F235" s="6">
        <f>100*SUM(AM235:AO235)/AL235</f>
      </c>
      <c r="G235" s="6">
        <f>100*SUM(AP235)/AL235</f>
      </c>
      <c r="H235" s="6">
        <f>100*SUM(AQ235)/AL235</f>
      </c>
      <c r="I235" s="6">
        <f>100*SUM(AR235:BC235)/AL235</f>
      </c>
      <c r="J235" s="3"/>
      <c r="K235" s="23">
        <v>27.890774999999998</v>
      </c>
      <c r="L235" s="6">
        <v>0.23364687678990637</v>
      </c>
      <c r="M235" s="6">
        <v>0.8009406303697192</v>
      </c>
      <c r="N235" s="6">
        <v>8.280038548229657</v>
      </c>
      <c r="O235" s="6">
        <v>0.07545104107003123</v>
      </c>
      <c r="P235" s="6">
        <v>0.5327447946498439</v>
      </c>
      <c r="Q235" s="7"/>
      <c r="R235" s="6"/>
      <c r="S235" s="6"/>
      <c r="T235" s="6"/>
      <c r="U235" s="5"/>
      <c r="V235" s="6"/>
      <c r="W235" s="6"/>
      <c r="X235" s="6"/>
      <c r="Y235" s="15"/>
      <c r="Z235" s="6"/>
      <c r="AA235" s="6"/>
      <c r="AB235" s="5"/>
      <c r="AC235" s="3"/>
      <c r="AD235" s="6">
        <v>0.0651659247</v>
      </c>
      <c r="AE235" s="6">
        <v>0.22338854910000003</v>
      </c>
      <c r="AF235" s="7">
        <v>230.93669214</v>
      </c>
      <c r="AG235" s="6">
        <v>0.021043880100000002</v>
      </c>
      <c r="AH235" s="7">
        <v>14.858665199999999</v>
      </c>
      <c r="AI235" s="15">
        <v>0.30959835390000007</v>
      </c>
      <c r="AJ235" s="6">
        <v>1.1100385482296569</v>
      </c>
      <c r="AK235" s="3"/>
      <c r="AL235" s="6">
        <v>53.88391097386841</v>
      </c>
      <c r="AM235" s="6">
        <v>4.4298419793108375</v>
      </c>
      <c r="AN235" s="6">
        <v>17.392674080073867</v>
      </c>
      <c r="AO235" s="6">
        <v>5.066531626135382</v>
      </c>
      <c r="AP235" s="6">
        <v>5.239690002004211</v>
      </c>
      <c r="AQ235" s="6">
        <v>21.75517328634411</v>
      </c>
      <c r="AR235" s="6">
        <v>0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0</v>
      </c>
      <c r="BC235" s="6"/>
      <c r="BD235" s="3"/>
      <c r="BE235" s="3"/>
      <c r="BF235" s="7">
        <v>1502.8640370921946</v>
      </c>
    </row>
    <row x14ac:dyDescent="0.25" r="236" customHeight="1" ht="12.75">
      <c r="A236" s="5" t="s">
        <v>392</v>
      </c>
      <c r="B236" s="3" t="s">
        <v>855</v>
      </c>
      <c r="C236" s="3" t="s">
        <v>865</v>
      </c>
      <c r="D236" s="3"/>
      <c r="E236" s="3"/>
      <c r="F236" s="6">
        <f>100*SUM(AM236:AO236)/AL236</f>
      </c>
      <c r="G236" s="6">
        <f>100*SUM(AP236)/AL236</f>
      </c>
      <c r="H236" s="6">
        <f>100*SUM(AQ236)/AL236</f>
      </c>
      <c r="I236" s="6">
        <f>100*SUM(AR236:BC236)/AL236</f>
      </c>
      <c r="J236" s="3"/>
      <c r="K236" s="6">
        <v>3.268</v>
      </c>
      <c r="L236" s="6">
        <v>1.8</v>
      </c>
      <c r="M236" s="6">
        <v>1.4</v>
      </c>
      <c r="N236" s="6">
        <v>18.7</v>
      </c>
      <c r="O236" s="6">
        <v>2.84</v>
      </c>
      <c r="P236" s="6">
        <v>0.7</v>
      </c>
      <c r="Q236" s="7"/>
      <c r="R236" s="6"/>
      <c r="S236" s="6"/>
      <c r="T236" s="6"/>
      <c r="U236" s="5"/>
      <c r="V236" s="6"/>
      <c r="W236" s="6"/>
      <c r="X236" s="6"/>
      <c r="Y236" s="15"/>
      <c r="Z236" s="6"/>
      <c r="AA236" s="6"/>
      <c r="AB236" s="6">
        <v>0.01</v>
      </c>
      <c r="AC236" s="3" t="s">
        <v>980</v>
      </c>
      <c r="AD236" s="6">
        <v>0.058823999999999994</v>
      </c>
      <c r="AE236" s="6">
        <v>0.045751999999999994</v>
      </c>
      <c r="AF236" s="7">
        <v>61.111599999999996</v>
      </c>
      <c r="AG236" s="6">
        <v>0.0928112</v>
      </c>
      <c r="AH236" s="7">
        <v>2.2876</v>
      </c>
      <c r="AI236" s="15">
        <v>0.19738719999999998</v>
      </c>
      <c r="AJ236" s="6">
        <v>6.04</v>
      </c>
      <c r="AK236" s="3"/>
      <c r="AL236" s="6">
        <v>304.2908822874598</v>
      </c>
      <c r="AM236" s="6">
        <v>34.127208</v>
      </c>
      <c r="AN236" s="6">
        <v>30.401433999999995</v>
      </c>
      <c r="AO236" s="6">
        <v>11.442475884244375</v>
      </c>
      <c r="AP236" s="6">
        <v>197.223516</v>
      </c>
      <c r="AQ236" s="6">
        <v>28.585209003215432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2.5110394</v>
      </c>
      <c r="BD236" s="3" t="s">
        <v>981</v>
      </c>
      <c r="BE236" s="3"/>
      <c r="BF236" s="7">
        <v>994.4226033154185</v>
      </c>
    </row>
    <row x14ac:dyDescent="0.25" r="237" customHeight="1" ht="12.75">
      <c r="A237" s="5" t="s">
        <v>181</v>
      </c>
      <c r="B237" s="3" t="s">
        <v>855</v>
      </c>
      <c r="C237" s="3" t="s">
        <v>865</v>
      </c>
      <c r="D237" s="3" t="s">
        <v>982</v>
      </c>
      <c r="E237" s="3"/>
      <c r="F237" s="6">
        <f>100*SUM(AM237:AO237)/AL237</f>
      </c>
      <c r="G237" s="6">
        <f>100*SUM(AP237)/AL237</f>
      </c>
      <c r="H237" s="6">
        <f>100*SUM(AQ237)/AL237</f>
      </c>
      <c r="I237" s="6">
        <f>100*SUM(AR237:BC237)/AL237</f>
      </c>
      <c r="J237" s="3"/>
      <c r="K237" s="6">
        <v>639.6</v>
      </c>
      <c r="L237" s="23">
        <v>0.02364968730456535</v>
      </c>
      <c r="M237" s="6"/>
      <c r="N237" s="7">
        <v>4.700625390869293</v>
      </c>
      <c r="O237" s="6"/>
      <c r="P237" s="6"/>
      <c r="Q237" s="7"/>
      <c r="R237" s="6"/>
      <c r="S237" s="6"/>
      <c r="T237" s="6"/>
      <c r="U237" s="5"/>
      <c r="V237" s="23">
        <v>0.056093808630393996</v>
      </c>
      <c r="W237" s="6"/>
      <c r="X237" s="6"/>
      <c r="Y237" s="15"/>
      <c r="Z237" s="6"/>
      <c r="AA237" s="6"/>
      <c r="AB237" s="5"/>
      <c r="AC237" s="3"/>
      <c r="AD237" s="6">
        <v>0.1512634</v>
      </c>
      <c r="AE237" s="6">
        <v>0</v>
      </c>
      <c r="AF237" s="7">
        <v>3006.52</v>
      </c>
      <c r="AG237" s="6">
        <v>0</v>
      </c>
      <c r="AH237" s="7">
        <v>0</v>
      </c>
      <c r="AI237" s="15">
        <v>0.1512634</v>
      </c>
      <c r="AJ237" s="6">
        <v>0.02364968730456535</v>
      </c>
      <c r="AK237" s="3"/>
      <c r="AL237" s="6">
        <v>18.413921260585063</v>
      </c>
      <c r="AM237" s="6">
        <v>0.44838766543214503</v>
      </c>
      <c r="AN237" s="6">
        <v>0</v>
      </c>
      <c r="AO237" s="6">
        <v>2.8762990735769347</v>
      </c>
      <c r="AP237" s="6">
        <v>0</v>
      </c>
      <c r="AQ237" s="6">
        <v>0</v>
      </c>
      <c r="AR237" s="6">
        <v>0</v>
      </c>
      <c r="AS237" s="6">
        <v>0</v>
      </c>
      <c r="AT237" s="6">
        <v>0</v>
      </c>
      <c r="AU237" s="6">
        <v>0</v>
      </c>
      <c r="AV237" s="6">
        <v>0</v>
      </c>
      <c r="AW237" s="6">
        <v>15.089234521575985</v>
      </c>
      <c r="AX237" s="6">
        <v>0</v>
      </c>
      <c r="AY237" s="6">
        <v>0</v>
      </c>
      <c r="AZ237" s="6">
        <v>0</v>
      </c>
      <c r="BA237" s="6">
        <v>0</v>
      </c>
      <c r="BB237" s="6">
        <v>0</v>
      </c>
      <c r="BC237" s="6"/>
      <c r="BD237" s="3"/>
      <c r="BE237" s="3"/>
      <c r="BF237" s="7">
        <v>11777.544038270207</v>
      </c>
    </row>
    <row x14ac:dyDescent="0.25" r="238" customHeight="1" ht="12.75">
      <c r="A238" s="5" t="s">
        <v>508</v>
      </c>
      <c r="B238" s="3" t="s">
        <v>855</v>
      </c>
      <c r="C238" s="3" t="s">
        <v>865</v>
      </c>
      <c r="D238" s="3" t="s">
        <v>983</v>
      </c>
      <c r="E238" s="3"/>
      <c r="F238" s="6">
        <f>100*SUM(AM238:AO238)/AL238</f>
      </c>
      <c r="G238" s="6">
        <f>100*SUM(AP238)/AL238</f>
      </c>
      <c r="H238" s="6">
        <f>100*SUM(AQ238)/AL238</f>
      </c>
      <c r="I238" s="6">
        <f>100*SUM(AR238:BC238)/AL238</f>
      </c>
      <c r="J238" s="3"/>
      <c r="K238" s="6">
        <v>18.485</v>
      </c>
      <c r="L238" s="6"/>
      <c r="M238" s="6">
        <v>0.8016180687043549</v>
      </c>
      <c r="N238" s="5"/>
      <c r="O238" s="6">
        <v>0.10177387070597782</v>
      </c>
      <c r="P238" s="6"/>
      <c r="Q238" s="7"/>
      <c r="R238" s="6"/>
      <c r="S238" s="6"/>
      <c r="T238" s="6">
        <v>0.3436256424127671</v>
      </c>
      <c r="U238" s="7">
        <v>67.4138436570192</v>
      </c>
      <c r="V238" s="6">
        <v>0.041909741673460614</v>
      </c>
      <c r="W238" s="6"/>
      <c r="X238" s="6">
        <v>0.0858869353529889</v>
      </c>
      <c r="Y238" s="15"/>
      <c r="Z238" s="6">
        <v>0.8088268534170492</v>
      </c>
      <c r="AA238" s="6"/>
      <c r="AB238" s="6">
        <v>0.0604061820816228</v>
      </c>
      <c r="AC238" s="3" t="s">
        <v>980</v>
      </c>
      <c r="AD238" s="6">
        <v>0</v>
      </c>
      <c r="AE238" s="6">
        <v>0.1481791</v>
      </c>
      <c r="AF238" s="7">
        <v>0</v>
      </c>
      <c r="AG238" s="6">
        <v>0.0188129</v>
      </c>
      <c r="AH238" s="7">
        <v>0</v>
      </c>
      <c r="AI238" s="15">
        <v>0.166992</v>
      </c>
      <c r="AJ238" s="6">
        <v>0.9033919394103327</v>
      </c>
      <c r="AK238" s="3"/>
      <c r="AL238" s="6">
        <v>147.98094920586158</v>
      </c>
      <c r="AM238" s="6">
        <v>0</v>
      </c>
      <c r="AN238" s="6">
        <v>17.407384863516366</v>
      </c>
      <c r="AO238" s="6">
        <v>0</v>
      </c>
      <c r="AP238" s="6">
        <v>7.067676273789559</v>
      </c>
      <c r="AQ238" s="6">
        <v>0</v>
      </c>
      <c r="AR238" s="6">
        <v>0</v>
      </c>
      <c r="AS238" s="6">
        <v>0</v>
      </c>
      <c r="AT238" s="6">
        <v>0</v>
      </c>
      <c r="AU238" s="6">
        <v>3.3675312956451173</v>
      </c>
      <c r="AV238" s="6">
        <v>49.54917508790911</v>
      </c>
      <c r="AW238" s="6">
        <v>11.273720510160905</v>
      </c>
      <c r="AX238" s="6">
        <v>0</v>
      </c>
      <c r="AY238" s="6">
        <v>30.060427373546116</v>
      </c>
      <c r="AZ238" s="6">
        <v>0</v>
      </c>
      <c r="BA238" s="6">
        <v>14.08680348024149</v>
      </c>
      <c r="BB238" s="6">
        <v>0</v>
      </c>
      <c r="BC238" s="6">
        <v>15.168230321052889</v>
      </c>
      <c r="BD238" s="3" t="s">
        <v>981</v>
      </c>
      <c r="BE238" s="3"/>
      <c r="BF238" s="7">
        <v>2735.4278460703513</v>
      </c>
    </row>
    <row x14ac:dyDescent="0.25" r="239" customHeight="1" ht="12.75">
      <c r="A239" s="5" t="s">
        <v>28</v>
      </c>
      <c r="B239" s="3" t="s">
        <v>855</v>
      </c>
      <c r="C239" s="3" t="s">
        <v>865</v>
      </c>
      <c r="D239" s="3" t="s">
        <v>984</v>
      </c>
      <c r="E239" s="3"/>
      <c r="F239" s="6">
        <f>100*SUM(AM239:AO239)/AL239</f>
      </c>
      <c r="G239" s="6">
        <f>100*SUM(AP239)/AL239</f>
      </c>
      <c r="H239" s="6">
        <f>100*SUM(AQ239)/AL239</f>
      </c>
      <c r="I239" s="6">
        <f>100*SUM(AR239:BC239)/AL239</f>
      </c>
      <c r="J239" s="3"/>
      <c r="K239" s="7">
        <v>1449</v>
      </c>
      <c r="L239" s="6">
        <v>0.04849137336093857</v>
      </c>
      <c r="M239" s="6">
        <v>0.029245686680469292</v>
      </c>
      <c r="N239" s="7">
        <v>4.9883285024154596</v>
      </c>
      <c r="O239" s="6">
        <v>0.4366335403726708</v>
      </c>
      <c r="P239" s="6">
        <v>0.10131400966183575</v>
      </c>
      <c r="Q239" s="7"/>
      <c r="R239" s="6"/>
      <c r="S239" s="6"/>
      <c r="T239" s="6"/>
      <c r="U239" s="5"/>
      <c r="V239" s="23">
        <v>0.0371343685300207</v>
      </c>
      <c r="W239" s="6"/>
      <c r="X239" s="6"/>
      <c r="Y239" s="15"/>
      <c r="Z239" s="6"/>
      <c r="AA239" s="6"/>
      <c r="AB239" s="5"/>
      <c r="AC239" s="3"/>
      <c r="AD239" s="6">
        <v>0.7026399999999998</v>
      </c>
      <c r="AE239" s="6">
        <v>0.42377000000000004</v>
      </c>
      <c r="AF239" s="7">
        <v>7228.088000000001</v>
      </c>
      <c r="AG239" s="6">
        <v>6.3268200000000006</v>
      </c>
      <c r="AH239" s="7">
        <v>146.804</v>
      </c>
      <c r="AI239" s="15">
        <v>7.4532300000000005</v>
      </c>
      <c r="AJ239" s="6">
        <v>0.5143706004140787</v>
      </c>
      <c r="AK239" s="3"/>
      <c r="AL239" s="6">
        <v>49.05517591412553</v>
      </c>
      <c r="AM239" s="6">
        <v>0.9193751027191165</v>
      </c>
      <c r="AN239" s="6">
        <v>0.6350791524292616</v>
      </c>
      <c r="AO239" s="6">
        <v>3.0523437749506823</v>
      </c>
      <c r="AP239" s="6">
        <v>30.321972547826086</v>
      </c>
      <c r="AQ239" s="6">
        <v>4.137260201624804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6">
        <v>9.989145134575569</v>
      </c>
      <c r="AX239" s="6">
        <v>0</v>
      </c>
      <c r="AY239" s="6">
        <v>0</v>
      </c>
      <c r="AZ239" s="6">
        <v>0</v>
      </c>
      <c r="BA239" s="6">
        <v>0</v>
      </c>
      <c r="BB239" s="6">
        <v>0</v>
      </c>
      <c r="BC239" s="6"/>
      <c r="BD239" s="3"/>
      <c r="BE239" s="3"/>
      <c r="BF239" s="7">
        <v>71080.94989956789</v>
      </c>
    </row>
    <row x14ac:dyDescent="0.25" r="240" customHeight="1" ht="12.75">
      <c r="A240" s="5" t="s">
        <v>19</v>
      </c>
      <c r="B240" s="3" t="s">
        <v>855</v>
      </c>
      <c r="C240" s="3" t="s">
        <v>865</v>
      </c>
      <c r="D240" s="3" t="s">
        <v>985</v>
      </c>
      <c r="E240" s="3"/>
      <c r="F240" s="6">
        <f>100*SUM(AM240:AO240)/AL240</f>
      </c>
      <c r="G240" s="6">
        <f>100*SUM(AP240)/AL240</f>
      </c>
      <c r="H240" s="6">
        <f>100*SUM(AQ240)/AL240</f>
      </c>
      <c r="I240" s="6">
        <f>100*SUM(AR240:BC240)/AL240</f>
      </c>
      <c r="J240" s="3"/>
      <c r="K240" s="5">
        <v>3600</v>
      </c>
      <c r="L240" s="6"/>
      <c r="M240" s="6">
        <v>0.09</v>
      </c>
      <c r="N240" s="5"/>
      <c r="O240" s="6">
        <v>0.51</v>
      </c>
      <c r="P240" s="6"/>
      <c r="Q240" s="7"/>
      <c r="R240" s="6"/>
      <c r="S240" s="6"/>
      <c r="T240" s="6"/>
      <c r="U240" s="5"/>
      <c r="V240" s="6"/>
      <c r="W240" s="6"/>
      <c r="X240" s="6"/>
      <c r="Y240" s="15"/>
      <c r="Z240" s="6"/>
      <c r="AA240" s="6"/>
      <c r="AB240" s="5"/>
      <c r="AC240" s="3"/>
      <c r="AD240" s="6">
        <v>0</v>
      </c>
      <c r="AE240" s="6">
        <v>3.24</v>
      </c>
      <c r="AF240" s="7">
        <v>0</v>
      </c>
      <c r="AG240" s="6">
        <v>18.36</v>
      </c>
      <c r="AH240" s="7">
        <v>0</v>
      </c>
      <c r="AI240" s="15">
        <v>21.6</v>
      </c>
      <c r="AJ240" s="6">
        <v>0.6</v>
      </c>
      <c r="AK240" s="3"/>
      <c r="AL240" s="6">
        <v>37.3712769</v>
      </c>
      <c r="AM240" s="6">
        <v>0</v>
      </c>
      <c r="AN240" s="6">
        <v>1.9543779</v>
      </c>
      <c r="AO240" s="6">
        <v>0</v>
      </c>
      <c r="AP240" s="6">
        <v>35.416899</v>
      </c>
      <c r="AQ240" s="6">
        <v>0</v>
      </c>
      <c r="AR240" s="6">
        <v>0</v>
      </c>
      <c r="AS240" s="6">
        <v>0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6">
        <v>0</v>
      </c>
      <c r="BA240" s="6">
        <v>0</v>
      </c>
      <c r="BB240" s="6">
        <v>0</v>
      </c>
      <c r="BC240" s="6"/>
      <c r="BD240" s="3"/>
      <c r="BE240" s="3"/>
      <c r="BF240" s="7">
        <v>134536.59683999998</v>
      </c>
    </row>
    <row x14ac:dyDescent="0.25" r="241" customHeight="1" ht="12.75">
      <c r="A241" s="5" t="s">
        <v>13</v>
      </c>
      <c r="B241" s="3" t="s">
        <v>855</v>
      </c>
      <c r="C241" s="3" t="s">
        <v>986</v>
      </c>
      <c r="D241" s="3"/>
      <c r="E241" s="3"/>
      <c r="F241" s="6">
        <f>100*SUM(AM241:AO241)/AL241</f>
      </c>
      <c r="G241" s="6">
        <f>100*SUM(AP241)/AL241</f>
      </c>
      <c r="H241" s="6">
        <f>100*SUM(AQ241)/AL241</f>
      </c>
      <c r="I241" s="6">
        <f>100*SUM(AR241:BC241)/AL241</f>
      </c>
      <c r="J241" s="3"/>
      <c r="K241" s="7">
        <v>5396.7660000000005</v>
      </c>
      <c r="L241" s="6"/>
      <c r="M241" s="6">
        <v>0.008461278476776647</v>
      </c>
      <c r="N241" s="6">
        <v>1.3946094049658628</v>
      </c>
      <c r="O241" s="6">
        <v>0.4015353417213197</v>
      </c>
      <c r="P241" s="6">
        <v>0.08153872152322335</v>
      </c>
      <c r="Q241" s="7"/>
      <c r="R241" s="6"/>
      <c r="S241" s="6"/>
      <c r="T241" s="6"/>
      <c r="U241" s="5"/>
      <c r="V241" s="6">
        <v>0.01</v>
      </c>
      <c r="W241" s="6"/>
      <c r="X241" s="6"/>
      <c r="Y241" s="15"/>
      <c r="Z241" s="6"/>
      <c r="AA241" s="6"/>
      <c r="AB241" s="5"/>
      <c r="AC241" s="3"/>
      <c r="AD241" s="6">
        <v>0</v>
      </c>
      <c r="AE241" s="6">
        <v>0.4566354</v>
      </c>
      <c r="AF241" s="7">
        <v>7526.380620000001</v>
      </c>
      <c r="AG241" s="6">
        <v>21.6699228</v>
      </c>
      <c r="AH241" s="7">
        <v>440.04540000000003</v>
      </c>
      <c r="AI241" s="15">
        <v>22.126558199999998</v>
      </c>
      <c r="AJ241" s="6">
        <v>0.40999662019809635</v>
      </c>
      <c r="AK241" s="3"/>
      <c r="AL241" s="6">
        <v>34.94139467732575</v>
      </c>
      <c r="AM241" s="6">
        <v>0</v>
      </c>
      <c r="AN241" s="6">
        <v>0.1837392851195327</v>
      </c>
      <c r="AO241" s="6">
        <v>0.8533574590514589</v>
      </c>
      <c r="AP241" s="6">
        <v>27.884581652302877</v>
      </c>
      <c r="AQ241" s="6">
        <v>3.329716280851886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6">
        <v>2.69</v>
      </c>
      <c r="AX241" s="6">
        <v>0</v>
      </c>
      <c r="AY241" s="6">
        <v>0</v>
      </c>
      <c r="AZ241" s="6">
        <v>0</v>
      </c>
      <c r="BA241" s="6">
        <v>0</v>
      </c>
      <c r="BB241" s="6">
        <v>0</v>
      </c>
      <c r="BC241" s="6"/>
      <c r="BD241" s="3"/>
      <c r="BE241" s="3"/>
      <c r="BF241" s="7">
        <v>188570.5307871726</v>
      </c>
    </row>
    <row x14ac:dyDescent="0.25" r="242" customHeight="1" ht="12.75">
      <c r="A242" s="5" t="s">
        <v>82</v>
      </c>
      <c r="B242" s="3" t="s">
        <v>855</v>
      </c>
      <c r="C242" s="3" t="s">
        <v>987</v>
      </c>
      <c r="D242" s="3"/>
      <c r="E242" s="3"/>
      <c r="F242" s="6">
        <f>100*SUM(AM242:AO242)/AL242</f>
      </c>
      <c r="G242" s="6">
        <f>100*SUM(AP242)/AL242</f>
      </c>
      <c r="H242" s="6">
        <f>100*SUM(AQ242)/AL242</f>
      </c>
      <c r="I242" s="6">
        <f>100*SUM(AR242:BC242)/AL242</f>
      </c>
      <c r="J242" s="3"/>
      <c r="K242" s="6">
        <v>604.685</v>
      </c>
      <c r="L242" s="6"/>
      <c r="M242" s="6">
        <v>0.5342247781902975</v>
      </c>
      <c r="N242" s="6">
        <v>3.910625151938614</v>
      </c>
      <c r="O242" s="6">
        <v>0.3937523173222422</v>
      </c>
      <c r="P242" s="6">
        <v>0.03173017356144108</v>
      </c>
      <c r="Q242" s="7"/>
      <c r="R242" s="6"/>
      <c r="S242" s="6"/>
      <c r="T242" s="6"/>
      <c r="U242" s="5"/>
      <c r="V242" s="23">
        <v>0.007867410304538728</v>
      </c>
      <c r="W242" s="6"/>
      <c r="X242" s="6"/>
      <c r="Y242" s="15"/>
      <c r="Z242" s="6"/>
      <c r="AA242" s="6"/>
      <c r="AB242" s="5"/>
      <c r="AC242" s="3"/>
      <c r="AD242" s="6">
        <v>0</v>
      </c>
      <c r="AE242" s="6">
        <v>3.2303771</v>
      </c>
      <c r="AF242" s="7">
        <v>2364.6963700000006</v>
      </c>
      <c r="AG242" s="6">
        <v>2.3809612</v>
      </c>
      <c r="AH242" s="7">
        <v>19.18676</v>
      </c>
      <c r="AI242" s="15">
        <v>5.6113383</v>
      </c>
      <c r="AJ242" s="6">
        <v>0.9279770955125397</v>
      </c>
      <c r="AK242" s="3"/>
      <c r="AL242" s="6">
        <v>44.74991433042555</v>
      </c>
      <c r="AM242" s="6">
        <v>0</v>
      </c>
      <c r="AN242" s="6">
        <v>11.600856668083548</v>
      </c>
      <c r="AO242" s="6">
        <v>2.3929002135495767</v>
      </c>
      <c r="AP242" s="6">
        <v>27.344090301211374</v>
      </c>
      <c r="AQ242" s="6">
        <v>1.2957337756601344</v>
      </c>
      <c r="AR242" s="6">
        <v>0</v>
      </c>
      <c r="AS242" s="6">
        <v>0</v>
      </c>
      <c r="AT242" s="6">
        <v>0</v>
      </c>
      <c r="AU242" s="6">
        <v>0</v>
      </c>
      <c r="AV242" s="6">
        <v>0</v>
      </c>
      <c r="AW242" s="6">
        <v>2.1163333719209176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/>
      <c r="BD242" s="3"/>
      <c r="BE242" s="3"/>
      <c r="BF242" s="7">
        <v>27059.60194689337</v>
      </c>
    </row>
    <row x14ac:dyDescent="0.25" r="243" customHeight="1" ht="12.75">
      <c r="A243" s="5" t="s">
        <v>32</v>
      </c>
      <c r="B243" s="3" t="s">
        <v>855</v>
      </c>
      <c r="C243" s="3" t="s">
        <v>865</v>
      </c>
      <c r="D243" s="3"/>
      <c r="E243" s="3"/>
      <c r="F243" s="6">
        <f>100*SUM(AM243:AO243)/AL243</f>
      </c>
      <c r="G243" s="6">
        <f>100*SUM(AP243)/AL243</f>
      </c>
      <c r="H243" s="6">
        <f>100*SUM(AQ243)/AL243</f>
      </c>
      <c r="I243" s="6">
        <f>100*SUM(AR243:BC243)/AL243</f>
      </c>
      <c r="J243" s="3"/>
      <c r="K243" s="5">
        <v>1786</v>
      </c>
      <c r="L243" s="6">
        <v>0.01</v>
      </c>
      <c r="M243" s="6">
        <v>0.02217805151175812</v>
      </c>
      <c r="N243" s="7">
        <v>1.8782194848824187</v>
      </c>
      <c r="O243" s="6">
        <v>0.49702687569988807</v>
      </c>
      <c r="P243" s="6">
        <v>0.06217805151175812</v>
      </c>
      <c r="Q243" s="7"/>
      <c r="R243" s="6"/>
      <c r="S243" s="6"/>
      <c r="T243" s="6"/>
      <c r="U243" s="5"/>
      <c r="V243" s="6"/>
      <c r="W243" s="6"/>
      <c r="X243" s="6"/>
      <c r="Y243" s="15"/>
      <c r="Z243" s="6"/>
      <c r="AA243" s="6"/>
      <c r="AB243" s="5"/>
      <c r="AC243" s="3"/>
      <c r="AD243" s="6">
        <v>0.17859999999999998</v>
      </c>
      <c r="AE243" s="6">
        <v>0.3961</v>
      </c>
      <c r="AF243" s="7">
        <v>3354.5</v>
      </c>
      <c r="AG243" s="6">
        <v>8.876900000000001</v>
      </c>
      <c r="AH243" s="7">
        <v>111.05</v>
      </c>
      <c r="AI243" s="15">
        <v>9.451600000000001</v>
      </c>
      <c r="AJ243" s="6">
        <v>0.5292049272116461</v>
      </c>
      <c r="AK243" s="3"/>
      <c r="AL243" s="6">
        <v>38.875561322754514</v>
      </c>
      <c r="AM243" s="6">
        <v>0.1895956</v>
      </c>
      <c r="AN243" s="6">
        <v>0.4816032637737962</v>
      </c>
      <c r="AO243" s="6">
        <v>1.1492770674376989</v>
      </c>
      <c r="AP243" s="6">
        <v>34.515981680291155</v>
      </c>
      <c r="AQ243" s="6">
        <v>2.539103711251859</v>
      </c>
      <c r="AR243" s="6">
        <v>0</v>
      </c>
      <c r="AS243" s="6">
        <v>0</v>
      </c>
      <c r="AT243" s="6">
        <v>0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6">
        <v>0</v>
      </c>
      <c r="BA243" s="6">
        <v>0</v>
      </c>
      <c r="BB243" s="6">
        <v>0</v>
      </c>
      <c r="BC243" s="6"/>
      <c r="BD243" s="3"/>
      <c r="BE243" s="3"/>
      <c r="BF243" s="7">
        <v>69431.75252243956</v>
      </c>
    </row>
    <row x14ac:dyDescent="0.25" r="244" customHeight="1" ht="12.75">
      <c r="A244" s="5" t="s">
        <v>662</v>
      </c>
      <c r="B244" s="3" t="s">
        <v>859</v>
      </c>
      <c r="C244" s="3" t="s">
        <v>865</v>
      </c>
      <c r="D244" s="3" t="s">
        <v>982</v>
      </c>
      <c r="E244" s="3"/>
      <c r="F244" s="6">
        <f>100*SUM(AM244:AO244)/AL244</f>
      </c>
      <c r="G244" s="6">
        <f>100*SUM(AP244)/AL244</f>
      </c>
      <c r="H244" s="6">
        <f>100*SUM(AQ244)/AL244</f>
      </c>
      <c r="I244" s="6">
        <f>100*SUM(AR244:BC244)/AL244</f>
      </c>
      <c r="J244" s="3"/>
      <c r="K244" s="23">
        <v>0.786285</v>
      </c>
      <c r="L244" s="6">
        <v>0.42</v>
      </c>
      <c r="M244" s="6">
        <v>0.5</v>
      </c>
      <c r="N244" s="6">
        <v>311.9</v>
      </c>
      <c r="O244" s="6"/>
      <c r="P244" s="6"/>
      <c r="Q244" s="7"/>
      <c r="R244" s="6"/>
      <c r="S244" s="6"/>
      <c r="T244" s="6"/>
      <c r="U244" s="5"/>
      <c r="V244" s="6"/>
      <c r="W244" s="6"/>
      <c r="X244" s="6"/>
      <c r="Y244" s="15"/>
      <c r="Z244" s="6"/>
      <c r="AA244" s="6"/>
      <c r="AB244" s="5"/>
      <c r="AC244" s="3"/>
      <c r="AD244" s="6">
        <v>0.003302397</v>
      </c>
      <c r="AE244" s="6">
        <v>0.003931425</v>
      </c>
      <c r="AF244" s="7">
        <v>245.2422915</v>
      </c>
      <c r="AG244" s="6">
        <v>0</v>
      </c>
      <c r="AH244" s="7">
        <v>0</v>
      </c>
      <c r="AI244" s="15">
        <v>0.007233821999999999</v>
      </c>
      <c r="AJ244" s="6">
        <v>0.9199999999999999</v>
      </c>
      <c r="AK244" s="3"/>
      <c r="AL244" s="6">
        <v>209.6713775954984</v>
      </c>
      <c r="AM244" s="6">
        <v>7.963015199999999</v>
      </c>
      <c r="AN244" s="6">
        <v>10.857655</v>
      </c>
      <c r="AO244" s="6">
        <v>190.8507073954984</v>
      </c>
      <c r="AP244" s="6">
        <v>0</v>
      </c>
      <c r="AQ244" s="6">
        <v>0</v>
      </c>
      <c r="AR244" s="6">
        <v>0</v>
      </c>
      <c r="AS244" s="6">
        <v>0</v>
      </c>
      <c r="AT244" s="6">
        <v>0</v>
      </c>
      <c r="AU244" s="6">
        <v>0</v>
      </c>
      <c r="AV244" s="6">
        <v>0</v>
      </c>
      <c r="AW244" s="6">
        <v>0</v>
      </c>
      <c r="AX244" s="6">
        <v>0</v>
      </c>
      <c r="AY244" s="6">
        <v>0</v>
      </c>
      <c r="AZ244" s="6">
        <v>0</v>
      </c>
      <c r="BA244" s="6">
        <v>0</v>
      </c>
      <c r="BB244" s="6">
        <v>0</v>
      </c>
      <c r="BC244" s="6"/>
      <c r="BD244" s="3"/>
      <c r="BE244" s="3"/>
      <c r="BF244" s="7">
        <v>164.86145913267646</v>
      </c>
    </row>
    <row x14ac:dyDescent="0.25" r="245" customHeight="1" ht="12.75">
      <c r="A245" s="5" t="s">
        <v>630</v>
      </c>
      <c r="B245" s="3" t="s">
        <v>859</v>
      </c>
      <c r="C245" s="3" t="s">
        <v>865</v>
      </c>
      <c r="D245" s="3" t="s">
        <v>982</v>
      </c>
      <c r="E245" s="3"/>
      <c r="F245" s="6">
        <f>100*SUM(AM245:AO245)/AL245</f>
      </c>
      <c r="G245" s="6">
        <f>100*SUM(AP245)/AL245</f>
      </c>
      <c r="H245" s="6">
        <f>100*SUM(AQ245)/AL245</f>
      </c>
      <c r="I245" s="6">
        <f>100*SUM(AR245:BC245)/AL245</f>
      </c>
      <c r="J245" s="3"/>
      <c r="K245" s="23">
        <v>0.485324</v>
      </c>
      <c r="L245" s="6">
        <v>0.59</v>
      </c>
      <c r="M245" s="6">
        <v>0.12</v>
      </c>
      <c r="N245" s="5">
        <v>336</v>
      </c>
      <c r="O245" s="6"/>
      <c r="P245" s="6"/>
      <c r="Q245" s="7"/>
      <c r="R245" s="6"/>
      <c r="S245" s="6"/>
      <c r="T245" s="6"/>
      <c r="U245" s="5"/>
      <c r="V245" s="6"/>
      <c r="W245" s="6"/>
      <c r="X245" s="6"/>
      <c r="Y245" s="15"/>
      <c r="Z245" s="6"/>
      <c r="AA245" s="6"/>
      <c r="AB245" s="5"/>
      <c r="AC245" s="3"/>
      <c r="AD245" s="6">
        <v>0.0028634116</v>
      </c>
      <c r="AE245" s="6">
        <v>0.0005823887999999999</v>
      </c>
      <c r="AF245" s="7">
        <v>163.068864</v>
      </c>
      <c r="AG245" s="6">
        <v>0</v>
      </c>
      <c r="AH245" s="7">
        <v>0</v>
      </c>
      <c r="AI245" s="15">
        <v>0.0034458004</v>
      </c>
      <c r="AJ245" s="6">
        <v>0.71</v>
      </c>
      <c r="AK245" s="3"/>
      <c r="AL245" s="6">
        <v>219.38940525273313</v>
      </c>
      <c r="AM245" s="6">
        <v>11.1861404</v>
      </c>
      <c r="AN245" s="6">
        <v>2.6058372</v>
      </c>
      <c r="AO245" s="6">
        <v>205.59742765273313</v>
      </c>
      <c r="AP245" s="6">
        <v>0</v>
      </c>
      <c r="AQ245" s="6">
        <v>0</v>
      </c>
      <c r="AR245" s="6">
        <v>0</v>
      </c>
      <c r="AS245" s="6">
        <v>0</v>
      </c>
      <c r="AT245" s="6">
        <v>0</v>
      </c>
      <c r="AU245" s="6">
        <v>0</v>
      </c>
      <c r="AV245" s="6">
        <v>0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0</v>
      </c>
      <c r="BC245" s="6"/>
      <c r="BD245" s="3"/>
      <c r="BE245" s="3"/>
      <c r="BF245" s="7">
        <v>106.47494371487744</v>
      </c>
    </row>
    <row x14ac:dyDescent="0.25" r="246" customHeight="1" ht="12.75">
      <c r="A246" s="5" t="s">
        <v>42</v>
      </c>
      <c r="B246" s="3" t="s">
        <v>859</v>
      </c>
      <c r="C246" s="3" t="s">
        <v>865</v>
      </c>
      <c r="D246" s="3"/>
      <c r="E246" s="3"/>
      <c r="F246" s="6">
        <f>100*SUM(AM246:AO246)/AL246</f>
      </c>
      <c r="G246" s="6">
        <f>100*SUM(AP246)/AL246</f>
      </c>
      <c r="H246" s="6">
        <f>100*SUM(AQ246)/AL246</f>
      </c>
      <c r="I246" s="6">
        <f>100*SUM(AR246:BC246)/AL246</f>
      </c>
      <c r="J246" s="3"/>
      <c r="K246" s="5">
        <v>160</v>
      </c>
      <c r="L246" s="6">
        <v>3.2</v>
      </c>
      <c r="M246" s="6">
        <v>3.6</v>
      </c>
      <c r="N246" s="5">
        <v>180</v>
      </c>
      <c r="O246" s="6">
        <v>1.5</v>
      </c>
      <c r="P246" s="6">
        <v>0.6</v>
      </c>
      <c r="Q246" s="7"/>
      <c r="R246" s="6"/>
      <c r="S246" s="6"/>
      <c r="T246" s="6"/>
      <c r="U246" s="5"/>
      <c r="V246" s="6"/>
      <c r="W246" s="6"/>
      <c r="X246" s="6"/>
      <c r="Y246" s="15"/>
      <c r="Z246" s="6"/>
      <c r="AA246" s="6"/>
      <c r="AB246" s="5"/>
      <c r="AC246" s="3"/>
      <c r="AD246" s="6">
        <v>5.12</v>
      </c>
      <c r="AE246" s="6">
        <v>5.76</v>
      </c>
      <c r="AF246" s="7">
        <v>28800</v>
      </c>
      <c r="AG246" s="6">
        <v>2.4</v>
      </c>
      <c r="AH246" s="7">
        <v>96</v>
      </c>
      <c r="AI246" s="15">
        <v>13.28</v>
      </c>
      <c r="AJ246" s="6">
        <v>8.3</v>
      </c>
      <c r="AK246" s="3"/>
      <c r="AL246" s="6">
        <v>377.65614481672026</v>
      </c>
      <c r="AM246" s="6">
        <v>60.670592</v>
      </c>
      <c r="AN246" s="6">
        <v>78.175116</v>
      </c>
      <c r="AO246" s="6">
        <v>110.14147909967848</v>
      </c>
      <c r="AP246" s="6">
        <v>104.16735</v>
      </c>
      <c r="AQ246" s="6">
        <v>24.5016077170418</v>
      </c>
      <c r="AR246" s="6">
        <v>0</v>
      </c>
      <c r="AS246" s="6">
        <v>0</v>
      </c>
      <c r="AT246" s="6">
        <v>0</v>
      </c>
      <c r="AU246" s="6">
        <v>0</v>
      </c>
      <c r="AV246" s="6">
        <v>0</v>
      </c>
      <c r="AW246" s="6">
        <v>0</v>
      </c>
      <c r="AX246" s="6">
        <v>0</v>
      </c>
      <c r="AY246" s="6">
        <v>0</v>
      </c>
      <c r="AZ246" s="6">
        <v>0</v>
      </c>
      <c r="BA246" s="6">
        <v>0</v>
      </c>
      <c r="BB246" s="6">
        <v>0</v>
      </c>
      <c r="BC246" s="6"/>
      <c r="BD246" s="3"/>
      <c r="BE246" s="3"/>
      <c r="BF246" s="7">
        <v>60424.983170675245</v>
      </c>
    </row>
    <row x14ac:dyDescent="0.25" r="247" customHeight="1" ht="12.75">
      <c r="A247" s="5" t="s">
        <v>150</v>
      </c>
      <c r="B247" s="3" t="s">
        <v>855</v>
      </c>
      <c r="C247" s="3" t="s">
        <v>866</v>
      </c>
      <c r="D247" s="3" t="s">
        <v>988</v>
      </c>
      <c r="E247" s="3"/>
      <c r="F247" s="6">
        <f>100*SUM(AM247:AO247)/AL247</f>
      </c>
      <c r="G247" s="6">
        <f>100*SUM(AP247)/AL247</f>
      </c>
      <c r="H247" s="6">
        <f>100*SUM(AQ247)/AL247</f>
      </c>
      <c r="I247" s="6">
        <f>100*SUM(AR247:BC247)/AL247</f>
      </c>
      <c r="J247" s="3"/>
      <c r="K247" s="5">
        <v>133</v>
      </c>
      <c r="L247" s="6">
        <v>0.5</v>
      </c>
      <c r="M247" s="6">
        <v>2.25</v>
      </c>
      <c r="N247" s="5"/>
      <c r="O247" s="6"/>
      <c r="P247" s="6"/>
      <c r="Q247" s="7"/>
      <c r="R247" s="6"/>
      <c r="S247" s="6"/>
      <c r="T247" s="6"/>
      <c r="U247" s="5"/>
      <c r="V247" s="6"/>
      <c r="W247" s="6"/>
      <c r="X247" s="6"/>
      <c r="Y247" s="15"/>
      <c r="Z247" s="6"/>
      <c r="AA247" s="6"/>
      <c r="AB247" s="5"/>
      <c r="AC247" s="3"/>
      <c r="AD247" s="6">
        <v>0.665</v>
      </c>
      <c r="AE247" s="6">
        <v>2.9925</v>
      </c>
      <c r="AF247" s="7">
        <v>0</v>
      </c>
      <c r="AG247" s="6">
        <v>0</v>
      </c>
      <c r="AH247" s="7">
        <v>0</v>
      </c>
      <c r="AI247" s="15">
        <v>3.6575</v>
      </c>
      <c r="AJ247" s="6">
        <v>2.75</v>
      </c>
      <c r="AK247" s="3"/>
      <c r="AL247" s="6">
        <v>58.33922749999999</v>
      </c>
      <c r="AM247" s="6">
        <v>9.47978</v>
      </c>
      <c r="AN247" s="6">
        <v>48.859447499999995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0</v>
      </c>
      <c r="BC247" s="6"/>
      <c r="BD247" s="3"/>
      <c r="BE247" s="3"/>
      <c r="BF247" s="7">
        <v>7759.117257499999</v>
      </c>
    </row>
    <row x14ac:dyDescent="0.25" r="248" customHeight="1" ht="12.75">
      <c r="A248" s="5" t="s">
        <v>162</v>
      </c>
      <c r="B248" s="3" t="s">
        <v>855</v>
      </c>
      <c r="C248" s="3" t="s">
        <v>866</v>
      </c>
      <c r="D248" s="3" t="s">
        <v>989</v>
      </c>
      <c r="E248" s="3"/>
      <c r="F248" s="6">
        <f>100*SUM(AM248:AO248)/AL248</f>
      </c>
      <c r="G248" s="6">
        <f>100*SUM(AP248)/AL248</f>
      </c>
      <c r="H248" s="6">
        <f>100*SUM(AQ248)/AL248</f>
      </c>
      <c r="I248" s="6">
        <f>100*SUM(AR248:BC248)/AL248</f>
      </c>
      <c r="J248" s="3"/>
      <c r="K248" s="5">
        <v>42</v>
      </c>
      <c r="L248" s="5">
        <v>1</v>
      </c>
      <c r="M248" s="5">
        <v>7</v>
      </c>
      <c r="N248" s="5"/>
      <c r="O248" s="6"/>
      <c r="P248" s="6"/>
      <c r="Q248" s="7"/>
      <c r="R248" s="6"/>
      <c r="S248" s="6"/>
      <c r="T248" s="6"/>
      <c r="U248" s="5"/>
      <c r="V248" s="6"/>
      <c r="W248" s="6"/>
      <c r="X248" s="6"/>
      <c r="Y248" s="15"/>
      <c r="Z248" s="6"/>
      <c r="AA248" s="6"/>
      <c r="AB248" s="5"/>
      <c r="AC248" s="3"/>
      <c r="AD248" s="6">
        <v>0.42</v>
      </c>
      <c r="AE248" s="6">
        <v>2.94</v>
      </c>
      <c r="AF248" s="7">
        <v>0</v>
      </c>
      <c r="AG248" s="6">
        <v>0</v>
      </c>
      <c r="AH248" s="7">
        <v>0</v>
      </c>
      <c r="AI248" s="15">
        <v>3.36</v>
      </c>
      <c r="AJ248" s="6">
        <v>8</v>
      </c>
      <c r="AK248" s="3"/>
      <c r="AL248" s="6">
        <v>170.96673</v>
      </c>
      <c r="AM248" s="6">
        <v>18.95956</v>
      </c>
      <c r="AN248" s="6">
        <v>152.00717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/>
      <c r="BD248" s="3"/>
      <c r="BE248" s="3"/>
      <c r="BF248" s="7">
        <v>7180.6026600000005</v>
      </c>
    </row>
    <row x14ac:dyDescent="0.25" r="249" customHeight="1" ht="12.75">
      <c r="A249" s="5" t="s">
        <v>377</v>
      </c>
      <c r="B249" s="3" t="s">
        <v>855</v>
      </c>
      <c r="C249" s="3" t="s">
        <v>866</v>
      </c>
      <c r="D249" s="3" t="s">
        <v>989</v>
      </c>
      <c r="E249" s="3"/>
      <c r="F249" s="6">
        <f>100*SUM(AM249:AO249)/AL249</f>
      </c>
      <c r="G249" s="6">
        <f>100*SUM(AP249)/AL249</f>
      </c>
      <c r="H249" s="6">
        <f>100*SUM(AQ249)/AL249</f>
      </c>
      <c r="I249" s="6">
        <f>100*SUM(AR249:BC249)/AL249</f>
      </c>
      <c r="J249" s="3"/>
      <c r="K249" s="6">
        <v>30.62</v>
      </c>
      <c r="L249" s="6"/>
      <c r="M249" s="6">
        <v>3.8385924232527757</v>
      </c>
      <c r="N249" s="5"/>
      <c r="O249" s="6"/>
      <c r="P249" s="6"/>
      <c r="Q249" s="7"/>
      <c r="R249" s="6"/>
      <c r="S249" s="6"/>
      <c r="T249" s="6"/>
      <c r="U249" s="5"/>
      <c r="V249" s="6"/>
      <c r="W249" s="6"/>
      <c r="X249" s="6"/>
      <c r="Y249" s="15"/>
      <c r="Z249" s="6"/>
      <c r="AA249" s="6"/>
      <c r="AB249" s="5"/>
      <c r="AC249" s="3"/>
      <c r="AD249" s="6">
        <v>0</v>
      </c>
      <c r="AE249" s="6">
        <v>1.1753770000000001</v>
      </c>
      <c r="AF249" s="7">
        <v>0</v>
      </c>
      <c r="AG249" s="6">
        <v>0</v>
      </c>
      <c r="AH249" s="7">
        <v>0</v>
      </c>
      <c r="AI249" s="15">
        <v>1.1753770000000001</v>
      </c>
      <c r="AJ249" s="6">
        <v>3.8385924232527757</v>
      </c>
      <c r="AK249" s="3"/>
      <c r="AL249" s="6">
        <v>83.35622443458523</v>
      </c>
      <c r="AM249" s="6">
        <v>0</v>
      </c>
      <c r="AN249" s="6">
        <v>83.35622443458523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/>
      <c r="BD249" s="3"/>
      <c r="BE249" s="3"/>
      <c r="BF249" s="7">
        <v>2552.367592187</v>
      </c>
    </row>
    <row x14ac:dyDescent="0.25" r="250" customHeight="1" ht="12.75">
      <c r="A250" s="5" t="s">
        <v>467</v>
      </c>
      <c r="B250" s="3" t="s">
        <v>855</v>
      </c>
      <c r="C250" s="3" t="s">
        <v>866</v>
      </c>
      <c r="D250" s="3" t="s">
        <v>989</v>
      </c>
      <c r="E250" s="3"/>
      <c r="F250" s="6">
        <f>100*SUM(AM250:AO250)/AL250</f>
      </c>
      <c r="G250" s="6">
        <f>100*SUM(AP250)/AL250</f>
      </c>
      <c r="H250" s="6">
        <f>100*SUM(AQ250)/AL250</f>
      </c>
      <c r="I250" s="6">
        <f>100*SUM(AR250:BC250)/AL250</f>
      </c>
      <c r="J250" s="3"/>
      <c r="K250" s="6">
        <v>32.120000000000005</v>
      </c>
      <c r="L250" s="6">
        <v>0.674719800747198</v>
      </c>
      <c r="M250" s="6">
        <v>1.7968430884184308</v>
      </c>
      <c r="N250" s="31"/>
      <c r="O250" s="6"/>
      <c r="P250" s="6"/>
      <c r="Q250" s="7"/>
      <c r="R250" s="6"/>
      <c r="S250" s="6"/>
      <c r="T250" s="6"/>
      <c r="U250" s="5"/>
      <c r="V250" s="6"/>
      <c r="W250" s="6"/>
      <c r="X250" s="6"/>
      <c r="Y250" s="15"/>
      <c r="Z250" s="6"/>
      <c r="AA250" s="6"/>
      <c r="AB250" s="5"/>
      <c r="AC250" s="3"/>
      <c r="AD250" s="6">
        <v>0.21672</v>
      </c>
      <c r="AE250" s="6">
        <v>0.577146</v>
      </c>
      <c r="AF250" s="7">
        <v>0</v>
      </c>
      <c r="AG250" s="6">
        <v>0</v>
      </c>
      <c r="AH250" s="7">
        <v>0</v>
      </c>
      <c r="AI250" s="15">
        <v>0.7938660000000001</v>
      </c>
      <c r="AJ250" s="6">
        <v>2.4715628891656287</v>
      </c>
      <c r="AK250" s="3"/>
      <c r="AL250" s="6">
        <v>51.811395231818175</v>
      </c>
      <c r="AM250" s="6">
        <v>12.792390545454545</v>
      </c>
      <c r="AN250" s="6">
        <v>39.01900468636363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/>
      <c r="BD250" s="3"/>
      <c r="BE250" s="3"/>
      <c r="BF250" s="7">
        <v>1664.182014846</v>
      </c>
    </row>
    <row x14ac:dyDescent="0.25" r="251" customHeight="1" ht="12.75">
      <c r="A251" s="5" t="s">
        <v>658</v>
      </c>
      <c r="B251" s="3" t="s">
        <v>855</v>
      </c>
      <c r="C251" s="3" t="s">
        <v>866</v>
      </c>
      <c r="D251" s="3" t="s">
        <v>988</v>
      </c>
      <c r="E251" s="3"/>
      <c r="F251" s="6">
        <f>100*SUM(AM251:AO251)/AL251</f>
      </c>
      <c r="G251" s="6">
        <f>100*SUM(AP251)/AL251</f>
      </c>
      <c r="H251" s="6">
        <f>100*SUM(AQ251)/AL251</f>
      </c>
      <c r="I251" s="6">
        <f>100*SUM(AR251:BC251)/AL251</f>
      </c>
      <c r="J251" s="3"/>
      <c r="K251" s="6">
        <v>14.4</v>
      </c>
      <c r="L251" s="6">
        <v>0.76</v>
      </c>
      <c r="M251" s="6">
        <v>1.75</v>
      </c>
      <c r="N251" s="6">
        <v>6.93</v>
      </c>
      <c r="O251" s="6"/>
      <c r="P251" s="6"/>
      <c r="Q251" s="7"/>
      <c r="R251" s="6"/>
      <c r="S251" s="6"/>
      <c r="T251" s="6"/>
      <c r="U251" s="5"/>
      <c r="V251" s="6"/>
      <c r="W251" s="6"/>
      <c r="X251" s="6"/>
      <c r="Y251" s="15"/>
      <c r="Z251" s="6"/>
      <c r="AA251" s="6"/>
      <c r="AB251" s="5"/>
      <c r="AC251" s="3"/>
      <c r="AD251" s="6">
        <v>0.10944000000000001</v>
      </c>
      <c r="AE251" s="6">
        <v>0.252</v>
      </c>
      <c r="AF251" s="7">
        <v>99.792</v>
      </c>
      <c r="AG251" s="6">
        <v>0</v>
      </c>
      <c r="AH251" s="7">
        <v>0</v>
      </c>
      <c r="AI251" s="15">
        <v>0.36144</v>
      </c>
      <c r="AJ251" s="6">
        <v>2.51</v>
      </c>
      <c r="AK251" s="3"/>
      <c r="AL251" s="6">
        <v>56.65150504533762</v>
      </c>
      <c r="AM251" s="6">
        <v>14.4092656</v>
      </c>
      <c r="AN251" s="6">
        <v>38.0017925</v>
      </c>
      <c r="AO251" s="6">
        <v>4.240446945337621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0</v>
      </c>
      <c r="BC251" s="6"/>
      <c r="BD251" s="3"/>
      <c r="BE251" s="3"/>
      <c r="BF251" s="7">
        <v>815.7816726528617</v>
      </c>
    </row>
    <row x14ac:dyDescent="0.25" r="252" customHeight="1" ht="12.75">
      <c r="A252" s="5" t="s">
        <v>434</v>
      </c>
      <c r="B252" s="3" t="s">
        <v>855</v>
      </c>
      <c r="C252" s="3" t="s">
        <v>866</v>
      </c>
      <c r="D252" s="3" t="s">
        <v>989</v>
      </c>
      <c r="E252" s="3"/>
      <c r="F252" s="6">
        <f>100*SUM(AM252:AO252)/AL252</f>
      </c>
      <c r="G252" s="6">
        <f>100*SUM(AP252)/AL252</f>
      </c>
      <c r="H252" s="6">
        <f>100*SUM(AQ252)/AL252</f>
      </c>
      <c r="I252" s="6">
        <f>100*SUM(AR252:BC252)/AL252</f>
      </c>
      <c r="J252" s="3"/>
      <c r="K252" s="6">
        <v>2.1</v>
      </c>
      <c r="L252" s="6">
        <v>1.2</v>
      </c>
      <c r="M252" s="6">
        <v>7.2</v>
      </c>
      <c r="N252" s="5"/>
      <c r="O252" s="6"/>
      <c r="P252" s="6"/>
      <c r="Q252" s="7"/>
      <c r="R252" s="6"/>
      <c r="S252" s="6"/>
      <c r="T252" s="6"/>
      <c r="U252" s="5"/>
      <c r="V252" s="6"/>
      <c r="W252" s="6"/>
      <c r="X252" s="6"/>
      <c r="Y252" s="15"/>
      <c r="Z252" s="6"/>
      <c r="AA252" s="6"/>
      <c r="AB252" s="5"/>
      <c r="AC252" s="3"/>
      <c r="AD252" s="6">
        <v>0.0252</v>
      </c>
      <c r="AE252" s="6">
        <v>0.1512</v>
      </c>
      <c r="AF252" s="7">
        <v>0</v>
      </c>
      <c r="AG252" s="6">
        <v>0</v>
      </c>
      <c r="AH252" s="7">
        <v>0</v>
      </c>
      <c r="AI252" s="15">
        <v>0.1764</v>
      </c>
      <c r="AJ252" s="6">
        <v>8.4</v>
      </c>
      <c r="AK252" s="3"/>
      <c r="AL252" s="6">
        <v>179.101704</v>
      </c>
      <c r="AM252" s="6">
        <v>22.751472</v>
      </c>
      <c r="AN252" s="6">
        <v>156.350232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6">
        <v>0</v>
      </c>
      <c r="AU252" s="6">
        <v>0</v>
      </c>
      <c r="AV252" s="6">
        <v>0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/>
      <c r="BD252" s="3"/>
      <c r="BE252" s="3"/>
      <c r="BF252" s="7">
        <v>376.11357840000005</v>
      </c>
    </row>
    <row x14ac:dyDescent="0.25" r="253" customHeight="1" ht="12.75">
      <c r="A253" s="5" t="s">
        <v>8</v>
      </c>
      <c r="B253" s="3" t="s">
        <v>855</v>
      </c>
      <c r="C253" s="3" t="s">
        <v>866</v>
      </c>
      <c r="D253" s="3" t="s">
        <v>988</v>
      </c>
      <c r="E253" s="3"/>
      <c r="F253" s="6">
        <f>100*SUM(AM253:AO253)/AL253</f>
      </c>
      <c r="G253" s="6">
        <f>100*SUM(AP253)/AL253</f>
      </c>
      <c r="H253" s="6">
        <f>100*SUM(AQ253)/AL253</f>
      </c>
      <c r="I253" s="6">
        <f>100*SUM(AR253:BC253)/AL253</f>
      </c>
      <c r="J253" s="3"/>
      <c r="K253" s="5">
        <v>194</v>
      </c>
      <c r="L253" s="7">
        <v>4.049536082474227</v>
      </c>
      <c r="M253" s="7">
        <v>9.206185567010309</v>
      </c>
      <c r="N253" s="7">
        <v>40.9680412371134</v>
      </c>
      <c r="O253" s="6"/>
      <c r="P253" s="6"/>
      <c r="Q253" s="7"/>
      <c r="R253" s="6"/>
      <c r="S253" s="6"/>
      <c r="T253" s="6"/>
      <c r="U253" s="5"/>
      <c r="V253" s="6"/>
      <c r="W253" s="6"/>
      <c r="X253" s="6"/>
      <c r="Y253" s="15"/>
      <c r="Z253" s="6"/>
      <c r="AA253" s="6"/>
      <c r="AB253" s="5"/>
      <c r="AC253" s="3"/>
      <c r="AD253" s="6">
        <v>7.856100000000001</v>
      </c>
      <c r="AE253" s="6">
        <v>17.86</v>
      </c>
      <c r="AF253" s="7">
        <v>7947.799999999999</v>
      </c>
      <c r="AG253" s="6">
        <v>0</v>
      </c>
      <c r="AH253" s="7">
        <v>0</v>
      </c>
      <c r="AI253" s="15">
        <v>25.7161</v>
      </c>
      <c r="AJ253" s="6">
        <v>13.255721649484535</v>
      </c>
      <c r="AK253" s="3"/>
      <c r="AL253" s="6">
        <v>301.7608217089469</v>
      </c>
      <c r="AM253" s="6">
        <v>76.77742232783507</v>
      </c>
      <c r="AN253" s="6">
        <v>199.9151735051546</v>
      </c>
      <c r="AO253" s="6">
        <v>25.068225875957175</v>
      </c>
      <c r="AP253" s="6">
        <v>0</v>
      </c>
      <c r="AQ253" s="6">
        <v>0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0</v>
      </c>
      <c r="BA253" s="6">
        <v>0</v>
      </c>
      <c r="BB253" s="6">
        <v>0</v>
      </c>
      <c r="BC253" s="6"/>
      <c r="BD253" s="3"/>
      <c r="BE253" s="3"/>
      <c r="BF253" s="7">
        <v>58541.599411535695</v>
      </c>
    </row>
    <row x14ac:dyDescent="0.25" r="254" customHeight="1" ht="12.75">
      <c r="A254" s="5" t="s">
        <v>11</v>
      </c>
      <c r="B254" s="3" t="s">
        <v>855</v>
      </c>
      <c r="C254" s="3" t="s">
        <v>866</v>
      </c>
      <c r="D254" s="3" t="s">
        <v>988</v>
      </c>
      <c r="E254" s="3"/>
      <c r="F254" s="6">
        <f>100*SUM(AM254:AO254)/AL254</f>
      </c>
      <c r="G254" s="6">
        <f>100*SUM(AP254)/AL254</f>
      </c>
      <c r="H254" s="6">
        <f>100*SUM(AQ254)/AL254</f>
      </c>
      <c r="I254" s="6">
        <f>100*SUM(AR254:BC254)/AL254</f>
      </c>
      <c r="J254" s="3"/>
      <c r="K254" s="6">
        <v>427.8</v>
      </c>
      <c r="L254" s="7">
        <v>2.4990042075736327</v>
      </c>
      <c r="M254" s="7">
        <v>3.3728190743338002</v>
      </c>
      <c r="N254" s="7">
        <v>51.676203833567094</v>
      </c>
      <c r="O254" s="6"/>
      <c r="P254" s="6"/>
      <c r="Q254" s="7"/>
      <c r="R254" s="6"/>
      <c r="S254" s="6"/>
      <c r="T254" s="6"/>
      <c r="U254" s="5"/>
      <c r="V254" s="6"/>
      <c r="W254" s="6"/>
      <c r="X254" s="6"/>
      <c r="Y254" s="15"/>
      <c r="Z254" s="6"/>
      <c r="AA254" s="6"/>
      <c r="AB254" s="5"/>
      <c r="AC254" s="3"/>
      <c r="AD254" s="6">
        <v>10.69074</v>
      </c>
      <c r="AE254" s="6">
        <v>14.428919999999998</v>
      </c>
      <c r="AF254" s="7">
        <v>22107.08</v>
      </c>
      <c r="AG254" s="6">
        <v>0</v>
      </c>
      <c r="AH254" s="7">
        <v>0</v>
      </c>
      <c r="AI254" s="15">
        <v>25.119659999999996</v>
      </c>
      <c r="AJ254" s="6">
        <v>5.871823281907433</v>
      </c>
      <c r="AK254" s="3"/>
      <c r="AL254" s="6">
        <v>152.24235156729156</v>
      </c>
      <c r="AM254" s="6">
        <v>47.38002021374474</v>
      </c>
      <c r="AN254" s="6">
        <v>73.2418117730715</v>
      </c>
      <c r="AO254" s="6">
        <v>31.620519580475303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6">
        <v>0</v>
      </c>
      <c r="AV254" s="6">
        <v>0</v>
      </c>
      <c r="AW254" s="6">
        <v>0</v>
      </c>
      <c r="AX254" s="6">
        <v>0</v>
      </c>
      <c r="AY254" s="6">
        <v>0</v>
      </c>
      <c r="AZ254" s="6">
        <v>0</v>
      </c>
      <c r="BA254" s="6">
        <v>0</v>
      </c>
      <c r="BB254" s="6">
        <v>0</v>
      </c>
      <c r="BC254" s="6"/>
      <c r="BD254" s="3"/>
      <c r="BE254" s="3"/>
      <c r="BF254" s="7">
        <v>65129.278000487335</v>
      </c>
    </row>
    <row x14ac:dyDescent="0.25" r="255" customHeight="1" ht="12.75">
      <c r="A255" s="5" t="s">
        <v>20</v>
      </c>
      <c r="B255" s="3" t="s">
        <v>855</v>
      </c>
      <c r="C255" s="3" t="s">
        <v>866</v>
      </c>
      <c r="D255" s="3" t="s">
        <v>990</v>
      </c>
      <c r="E255" s="3"/>
      <c r="F255" s="6">
        <f>100*SUM(AM255:AO255)/AL255</f>
      </c>
      <c r="G255" s="6">
        <f>100*SUM(AP255)/AL255</f>
      </c>
      <c r="H255" s="6">
        <f>100*SUM(AQ255)/AL255</f>
      </c>
      <c r="I255" s="6">
        <f>100*SUM(AR255:BC255)/AL255</f>
      </c>
      <c r="J255" s="3"/>
      <c r="K255" s="5">
        <v>394</v>
      </c>
      <c r="L255" s="6">
        <v>1.6</v>
      </c>
      <c r="M255" s="6">
        <v>4.2</v>
      </c>
      <c r="N255" s="5">
        <v>36</v>
      </c>
      <c r="O255" s="6"/>
      <c r="P255" s="6"/>
      <c r="Q255" s="7"/>
      <c r="R255" s="6"/>
      <c r="S255" s="6"/>
      <c r="T255" s="6"/>
      <c r="U255" s="5"/>
      <c r="V255" s="6"/>
      <c r="W255" s="6"/>
      <c r="X255" s="6"/>
      <c r="Y255" s="15"/>
      <c r="Z255" s="6"/>
      <c r="AA255" s="6"/>
      <c r="AB255" s="5"/>
      <c r="AC255" s="3"/>
      <c r="AD255" s="6">
        <v>6.304000000000001</v>
      </c>
      <c r="AE255" s="6">
        <v>16.548000000000002</v>
      </c>
      <c r="AF255" s="7">
        <v>14184</v>
      </c>
      <c r="AG255" s="6">
        <v>0</v>
      </c>
      <c r="AH255" s="7">
        <v>0</v>
      </c>
      <c r="AI255" s="15">
        <v>22.852000000000004</v>
      </c>
      <c r="AJ255" s="6">
        <v>5.800000000000001</v>
      </c>
      <c r="AK255" s="3"/>
      <c r="AL255" s="6">
        <v>143.5678938199357</v>
      </c>
      <c r="AM255" s="6">
        <v>30.335296</v>
      </c>
      <c r="AN255" s="6">
        <v>91.204302</v>
      </c>
      <c r="AO255" s="6">
        <v>22.028295819935696</v>
      </c>
      <c r="AP255" s="6">
        <v>0</v>
      </c>
      <c r="AQ255" s="6">
        <v>0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/>
      <c r="BD255" s="3"/>
      <c r="BE255" s="3"/>
      <c r="BF255" s="7">
        <v>56565.75016505467</v>
      </c>
    </row>
    <row x14ac:dyDescent="0.25" r="256" customHeight="1" ht="12.75">
      <c r="A256" s="5" t="s">
        <v>29</v>
      </c>
      <c r="B256" s="3" t="s">
        <v>855</v>
      </c>
      <c r="C256" s="3" t="s">
        <v>866</v>
      </c>
      <c r="D256" s="3" t="s">
        <v>988</v>
      </c>
      <c r="E256" s="3"/>
      <c r="F256" s="6">
        <f>100*SUM(AM256:AO256)/AL256</f>
      </c>
      <c r="G256" s="6">
        <f>100*SUM(AP256)/AL256</f>
      </c>
      <c r="H256" s="6">
        <f>100*SUM(AQ256)/AL256</f>
      </c>
      <c r="I256" s="6">
        <f>100*SUM(AR256:BC256)/AL256</f>
      </c>
      <c r="J256" s="3"/>
      <c r="K256" s="6">
        <v>145.1</v>
      </c>
      <c r="L256" s="7">
        <v>3.9301585113714688</v>
      </c>
      <c r="M256" s="7">
        <v>8.34459682977257</v>
      </c>
      <c r="N256" s="31">
        <v>62.486836664369406</v>
      </c>
      <c r="O256" s="6"/>
      <c r="P256" s="6"/>
      <c r="Q256" s="7"/>
      <c r="R256" s="6"/>
      <c r="S256" s="6"/>
      <c r="T256" s="6"/>
      <c r="U256" s="5"/>
      <c r="V256" s="6"/>
      <c r="W256" s="6"/>
      <c r="X256" s="6"/>
      <c r="Y256" s="15"/>
      <c r="Z256" s="6"/>
      <c r="AA256" s="6"/>
      <c r="AB256" s="5"/>
      <c r="AC256" s="3"/>
      <c r="AD256" s="6">
        <v>5.702660000000001</v>
      </c>
      <c r="AE256" s="6">
        <v>12.10801</v>
      </c>
      <c r="AF256" s="7">
        <v>9066.84</v>
      </c>
      <c r="AG256" s="6">
        <v>0</v>
      </c>
      <c r="AH256" s="7">
        <v>0</v>
      </c>
      <c r="AI256" s="15">
        <v>17.810670000000002</v>
      </c>
      <c r="AJ256" s="6">
        <v>12.274755341144038</v>
      </c>
      <c r="AK256" s="3"/>
      <c r="AL256" s="6">
        <v>293.9550976142403</v>
      </c>
      <c r="AM256" s="6">
        <v>74.51407610585805</v>
      </c>
      <c r="AN256" s="6">
        <v>181.20550698352858</v>
      </c>
      <c r="AO256" s="6">
        <v>38.23551452485369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0</v>
      </c>
      <c r="AX256" s="6">
        <v>0</v>
      </c>
      <c r="AY256" s="6">
        <v>0</v>
      </c>
      <c r="AZ256" s="6">
        <v>0</v>
      </c>
      <c r="BA256" s="6">
        <v>0</v>
      </c>
      <c r="BB256" s="6">
        <v>0</v>
      </c>
      <c r="BC256" s="6"/>
      <c r="BD256" s="3"/>
      <c r="BE256" s="3"/>
      <c r="BF256" s="7">
        <v>42652.88466382626</v>
      </c>
    </row>
    <row x14ac:dyDescent="0.25" r="257" customHeight="1" ht="12.75">
      <c r="A257" s="5" t="s">
        <v>33</v>
      </c>
      <c r="B257" s="3" t="s">
        <v>855</v>
      </c>
      <c r="C257" s="3" t="s">
        <v>866</v>
      </c>
      <c r="D257" s="3" t="s">
        <v>988</v>
      </c>
      <c r="E257" s="3"/>
      <c r="F257" s="6">
        <f>100*SUM(AM257:AO257)/AL257</f>
      </c>
      <c r="G257" s="6">
        <f>100*SUM(AP257)/AL257</f>
      </c>
      <c r="H257" s="6">
        <f>100*SUM(AQ257)/AL257</f>
      </c>
      <c r="I257" s="6">
        <f>100*SUM(AR257:BC257)/AL257</f>
      </c>
      <c r="J257" s="3"/>
      <c r="K257" s="6">
        <v>109.4</v>
      </c>
      <c r="L257" s="7">
        <v>1.9972577696526508</v>
      </c>
      <c r="M257" s="7">
        <v>12.785648994515538</v>
      </c>
      <c r="N257" s="31">
        <v>59.11334552102376</v>
      </c>
      <c r="O257" s="6"/>
      <c r="P257" s="6"/>
      <c r="Q257" s="7"/>
      <c r="R257" s="6"/>
      <c r="S257" s="6"/>
      <c r="T257" s="6"/>
      <c r="U257" s="5"/>
      <c r="V257" s="6"/>
      <c r="W257" s="6"/>
      <c r="X257" s="6"/>
      <c r="Y257" s="15"/>
      <c r="Z257" s="6"/>
      <c r="AA257" s="6"/>
      <c r="AB257" s="5"/>
      <c r="AC257" s="3"/>
      <c r="AD257" s="6">
        <v>2.185</v>
      </c>
      <c r="AE257" s="6">
        <v>13.9875</v>
      </c>
      <c r="AF257" s="7">
        <v>6467</v>
      </c>
      <c r="AG257" s="6">
        <v>0</v>
      </c>
      <c r="AH257" s="7">
        <v>0</v>
      </c>
      <c r="AI257" s="15">
        <v>16.1725</v>
      </c>
      <c r="AJ257" s="6">
        <v>14.782906764168189</v>
      </c>
      <c r="AK257" s="3"/>
      <c r="AL257" s="6">
        <v>351.68274504304384</v>
      </c>
      <c r="AM257" s="6">
        <v>37.86712851919561</v>
      </c>
      <c r="AN257" s="6">
        <v>277.6443314670932</v>
      </c>
      <c r="AO257" s="6">
        <v>36.17128505675506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/>
      <c r="BD257" s="3"/>
      <c r="BE257" s="3"/>
      <c r="BF257" s="7">
        <v>38474.092307709</v>
      </c>
    </row>
    <row x14ac:dyDescent="0.25" r="258" customHeight="1" ht="12.75">
      <c r="A258" s="5" t="s">
        <v>36</v>
      </c>
      <c r="B258" s="3" t="s">
        <v>855</v>
      </c>
      <c r="C258" s="3" t="s">
        <v>866</v>
      </c>
      <c r="D258" s="3" t="s">
        <v>988</v>
      </c>
      <c r="E258" s="3"/>
      <c r="F258" s="6">
        <f>100*SUM(AM258:AO258)/AL258</f>
      </c>
      <c r="G258" s="6">
        <f>100*SUM(AP258)/AL258</f>
      </c>
      <c r="H258" s="6">
        <f>100*SUM(AQ258)/AL258</f>
      </c>
      <c r="I258" s="6">
        <f>100*SUM(AR258:BC258)/AL258</f>
      </c>
      <c r="J258" s="3"/>
      <c r="K258" s="6">
        <v>214.3</v>
      </c>
      <c r="L258" s="6">
        <v>0.44363975734951</v>
      </c>
      <c r="M258" s="6">
        <v>6.667372841810545</v>
      </c>
      <c r="N258" s="5"/>
      <c r="O258" s="6"/>
      <c r="P258" s="6"/>
      <c r="Q258" s="7"/>
      <c r="R258" s="6"/>
      <c r="S258" s="6"/>
      <c r="T258" s="6"/>
      <c r="U258" s="5"/>
      <c r="V258" s="6"/>
      <c r="W258" s="6"/>
      <c r="X258" s="6"/>
      <c r="Y258" s="15"/>
      <c r="Z258" s="6"/>
      <c r="AA258" s="6"/>
      <c r="AB258" s="5"/>
      <c r="AC258" s="3"/>
      <c r="AD258" s="6">
        <v>0.95072</v>
      </c>
      <c r="AE258" s="6">
        <v>14.28818</v>
      </c>
      <c r="AF258" s="7">
        <v>0</v>
      </c>
      <c r="AG258" s="6">
        <v>0</v>
      </c>
      <c r="AH258" s="7">
        <v>0</v>
      </c>
      <c r="AI258" s="15">
        <v>15.238900000000001</v>
      </c>
      <c r="AJ258" s="6">
        <v>7.1110125991600555</v>
      </c>
      <c r="AK258" s="3"/>
      <c r="AL258" s="6">
        <v>153.19528274335042</v>
      </c>
      <c r="AM258" s="6">
        <v>8.411214597853476</v>
      </c>
      <c r="AN258" s="6">
        <v>144.78406814549695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/>
      <c r="BD258" s="3"/>
      <c r="BE258" s="3"/>
      <c r="BF258" s="7">
        <v>32829.7490919</v>
      </c>
    </row>
    <row x14ac:dyDescent="0.25" r="259" customHeight="1" ht="12.75">
      <c r="A259" s="5" t="s">
        <v>48</v>
      </c>
      <c r="B259" s="3" t="s">
        <v>855</v>
      </c>
      <c r="C259" s="3" t="s">
        <v>866</v>
      </c>
      <c r="D259" s="3" t="s">
        <v>988</v>
      </c>
      <c r="E259" s="3"/>
      <c r="F259" s="6">
        <f>100*SUM(AM259:AO259)/AL259</f>
      </c>
      <c r="G259" s="6">
        <f>100*SUM(AP259)/AL259</f>
      </c>
      <c r="H259" s="6">
        <f>100*SUM(AQ259)/AL259</f>
      </c>
      <c r="I259" s="6">
        <f>100*SUM(AR259:BC259)/AL259</f>
      </c>
      <c r="J259" s="3"/>
      <c r="K259" s="6">
        <v>53.1</v>
      </c>
      <c r="L259" s="7">
        <v>4.492843691148775</v>
      </c>
      <c r="M259" s="7">
        <v>17.179096045197742</v>
      </c>
      <c r="N259" s="7">
        <v>81.68173258003765</v>
      </c>
      <c r="O259" s="6"/>
      <c r="P259" s="6"/>
      <c r="Q259" s="7"/>
      <c r="R259" s="6"/>
      <c r="S259" s="6"/>
      <c r="T259" s="6"/>
      <c r="U259" s="5"/>
      <c r="V259" s="6"/>
      <c r="W259" s="6"/>
      <c r="X259" s="6"/>
      <c r="Y259" s="15"/>
      <c r="Z259" s="6"/>
      <c r="AA259" s="6"/>
      <c r="AB259" s="5"/>
      <c r="AC259" s="3"/>
      <c r="AD259" s="6">
        <v>2.3856999999999995</v>
      </c>
      <c r="AE259" s="6">
        <v>9.122100000000001</v>
      </c>
      <c r="AF259" s="7">
        <v>4337.299999999999</v>
      </c>
      <c r="AG259" s="6">
        <v>0</v>
      </c>
      <c r="AH259" s="7">
        <v>0</v>
      </c>
      <c r="AI259" s="15">
        <v>11.507800000000001</v>
      </c>
      <c r="AJ259" s="6">
        <v>21.671939736346516</v>
      </c>
      <c r="AK259" s="3"/>
      <c r="AL259" s="6">
        <v>508.2125514619205</v>
      </c>
      <c r="AM259" s="6">
        <v>85.18233953295668</v>
      </c>
      <c r="AN259" s="6">
        <v>373.049396141243</v>
      </c>
      <c r="AO259" s="6">
        <v>49.980815787720786</v>
      </c>
      <c r="AP259" s="6">
        <v>0</v>
      </c>
      <c r="AQ259" s="6">
        <v>0</v>
      </c>
      <c r="AR259" s="6">
        <v>0</v>
      </c>
      <c r="AS259" s="6">
        <v>0</v>
      </c>
      <c r="AT259" s="6">
        <v>0</v>
      </c>
      <c r="AU259" s="6">
        <v>0</v>
      </c>
      <c r="AV259" s="6">
        <v>0</v>
      </c>
      <c r="AW259" s="6">
        <v>0</v>
      </c>
      <c r="AX259" s="6">
        <v>0</v>
      </c>
      <c r="AY259" s="6">
        <v>0</v>
      </c>
      <c r="AZ259" s="6">
        <v>0</v>
      </c>
      <c r="BA259" s="6">
        <v>0</v>
      </c>
      <c r="BB259" s="6">
        <v>0</v>
      </c>
      <c r="BC259" s="6"/>
      <c r="BD259" s="3"/>
      <c r="BE259" s="3"/>
      <c r="BF259" s="7">
        <v>26986.08648262798</v>
      </c>
    </row>
    <row x14ac:dyDescent="0.25" r="260" customHeight="1" ht="12.75">
      <c r="A260" s="5" t="s">
        <v>52</v>
      </c>
      <c r="B260" s="3" t="s">
        <v>855</v>
      </c>
      <c r="C260" s="3" t="s">
        <v>866</v>
      </c>
      <c r="D260" s="3" t="s">
        <v>988</v>
      </c>
      <c r="E260" s="3"/>
      <c r="F260" s="6">
        <f>100*SUM(AM260:AO260)/AL260</f>
      </c>
      <c r="G260" s="6">
        <f>100*SUM(AP260)/AL260</f>
      </c>
      <c r="H260" s="6">
        <f>100*SUM(AQ260)/AL260</f>
      </c>
      <c r="I260" s="6">
        <f>100*SUM(AR260:BC260)/AL260</f>
      </c>
      <c r="J260" s="3"/>
      <c r="K260" s="5">
        <v>274</v>
      </c>
      <c r="L260" s="7">
        <v>0.7613138686131387</v>
      </c>
      <c r="M260" s="7">
        <v>3.0919708029197084</v>
      </c>
      <c r="N260" s="5"/>
      <c r="O260" s="6"/>
      <c r="P260" s="6"/>
      <c r="Q260" s="7"/>
      <c r="R260" s="6"/>
      <c r="S260" s="6"/>
      <c r="T260" s="6"/>
      <c r="U260" s="5"/>
      <c r="V260" s="6"/>
      <c r="W260" s="6"/>
      <c r="X260" s="6"/>
      <c r="Y260" s="15"/>
      <c r="Z260" s="6"/>
      <c r="AA260" s="6"/>
      <c r="AB260" s="5"/>
      <c r="AC260" s="3"/>
      <c r="AD260" s="6">
        <v>2.086</v>
      </c>
      <c r="AE260" s="6">
        <v>8.472000000000001</v>
      </c>
      <c r="AF260" s="7">
        <v>0</v>
      </c>
      <c r="AG260" s="6">
        <v>0</v>
      </c>
      <c r="AH260" s="7">
        <v>0</v>
      </c>
      <c r="AI260" s="15">
        <v>10.558000000000002</v>
      </c>
      <c r="AJ260" s="6">
        <v>3.853284671532847</v>
      </c>
      <c r="AK260" s="3"/>
      <c r="AL260" s="6">
        <v>81.57728046715329</v>
      </c>
      <c r="AM260" s="6">
        <v>14.434175970802919</v>
      </c>
      <c r="AN260" s="6">
        <v>67.14310449635038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0</v>
      </c>
      <c r="BC260" s="6"/>
      <c r="BD260" s="3"/>
      <c r="BE260" s="3"/>
      <c r="BF260" s="7">
        <v>22352.174848000002</v>
      </c>
    </row>
    <row x14ac:dyDescent="0.25" r="261" customHeight="1" ht="12.75">
      <c r="A261" s="5" t="s">
        <v>63</v>
      </c>
      <c r="B261" s="3" t="s">
        <v>855</v>
      </c>
      <c r="C261" s="3" t="s">
        <v>866</v>
      </c>
      <c r="D261" s="3" t="s">
        <v>988</v>
      </c>
      <c r="E261" s="3"/>
      <c r="F261" s="6">
        <f>100*SUM(AM261:AO261)/AL261</f>
      </c>
      <c r="G261" s="6">
        <f>100*SUM(AP261)/AL261</f>
      </c>
      <c r="H261" s="6">
        <f>100*SUM(AQ261)/AL261</f>
      </c>
      <c r="I261" s="6">
        <f>100*SUM(AR261:BC261)/AL261</f>
      </c>
      <c r="J261" s="3"/>
      <c r="K261" s="23">
        <v>130.1617</v>
      </c>
      <c r="L261" s="6">
        <v>1.6859105712356246</v>
      </c>
      <c r="M261" s="6">
        <v>5.285875092289054</v>
      </c>
      <c r="N261" s="5"/>
      <c r="O261" s="6"/>
      <c r="P261" s="6"/>
      <c r="Q261" s="7"/>
      <c r="R261" s="6"/>
      <c r="S261" s="6"/>
      <c r="T261" s="6"/>
      <c r="U261" s="5"/>
      <c r="V261" s="6"/>
      <c r="W261" s="6"/>
      <c r="X261" s="6"/>
      <c r="Y261" s="15"/>
      <c r="Z261" s="6"/>
      <c r="AA261" s="6"/>
      <c r="AB261" s="5"/>
      <c r="AC261" s="3"/>
      <c r="AD261" s="6">
        <v>2.19440986</v>
      </c>
      <c r="AE261" s="6">
        <v>6.880184880000001</v>
      </c>
      <c r="AF261" s="7">
        <v>0</v>
      </c>
      <c r="AG261" s="6">
        <v>0</v>
      </c>
      <c r="AH261" s="7">
        <v>0</v>
      </c>
      <c r="AI261" s="15">
        <v>9.07459474</v>
      </c>
      <c r="AJ261" s="6">
        <v>6.971785663524678</v>
      </c>
      <c r="AK261" s="3"/>
      <c r="AL261" s="6">
        <v>146.74853888031151</v>
      </c>
      <c r="AM261" s="6">
        <v>31.964122629976096</v>
      </c>
      <c r="AN261" s="6">
        <v>114.78441625033541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6">
        <v>0</v>
      </c>
      <c r="AZ261" s="6">
        <v>0</v>
      </c>
      <c r="BA261" s="6">
        <v>0</v>
      </c>
      <c r="BB261" s="6">
        <v>0</v>
      </c>
      <c r="BC261" s="6"/>
      <c r="BD261" s="3"/>
      <c r="BE261" s="3"/>
      <c r="BF261" s="7">
        <v>19101.039293177444</v>
      </c>
    </row>
    <row x14ac:dyDescent="0.25" r="262" customHeight="1" ht="12.75">
      <c r="A262" s="5" t="s">
        <v>66</v>
      </c>
      <c r="B262" s="3" t="s">
        <v>855</v>
      </c>
      <c r="C262" s="3" t="s">
        <v>866</v>
      </c>
      <c r="D262" s="3" t="s">
        <v>988</v>
      </c>
      <c r="E262" s="3"/>
      <c r="F262" s="6">
        <f>100*SUM(AM262:AO262)/AL262</f>
      </c>
      <c r="G262" s="6">
        <f>100*SUM(AP262)/AL262</f>
      </c>
      <c r="H262" s="6">
        <f>100*SUM(AQ262)/AL262</f>
      </c>
      <c r="I262" s="6">
        <f>100*SUM(AR262:BC262)/AL262</f>
      </c>
      <c r="J262" s="3"/>
      <c r="K262" s="5">
        <v>63</v>
      </c>
      <c r="L262" s="7">
        <v>1.8079365079365077</v>
      </c>
      <c r="M262" s="7">
        <v>12.095238095238095</v>
      </c>
      <c r="N262" s="31">
        <v>31.523809523809526</v>
      </c>
      <c r="O262" s="6"/>
      <c r="P262" s="6"/>
      <c r="Q262" s="7"/>
      <c r="R262" s="6"/>
      <c r="S262" s="6"/>
      <c r="T262" s="6"/>
      <c r="U262" s="5"/>
      <c r="V262" s="6"/>
      <c r="W262" s="6"/>
      <c r="X262" s="6"/>
      <c r="Y262" s="15"/>
      <c r="Z262" s="6"/>
      <c r="AA262" s="6"/>
      <c r="AB262" s="5"/>
      <c r="AC262" s="3"/>
      <c r="AD262" s="6">
        <v>1.139</v>
      </c>
      <c r="AE262" s="6">
        <v>7.62</v>
      </c>
      <c r="AF262" s="7">
        <v>1986</v>
      </c>
      <c r="AG262" s="6">
        <v>0</v>
      </c>
      <c r="AH262" s="7">
        <v>0</v>
      </c>
      <c r="AI262" s="15">
        <v>8.759</v>
      </c>
      <c r="AJ262" s="6">
        <v>13.903174603174602</v>
      </c>
      <c r="AK262" s="3"/>
      <c r="AL262" s="6">
        <v>316.21885328147806</v>
      </c>
      <c r="AM262" s="6">
        <v>34.277680698412695</v>
      </c>
      <c r="AN262" s="6">
        <v>262.6518447619047</v>
      </c>
      <c r="AO262" s="6">
        <v>19.289327821160622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0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/>
      <c r="BD262" s="3"/>
      <c r="BE262" s="3"/>
      <c r="BF262" s="7">
        <v>19921.787756733116</v>
      </c>
    </row>
    <row x14ac:dyDescent="0.25" r="263" customHeight="1" ht="12.75">
      <c r="A263" s="5" t="s">
        <v>76</v>
      </c>
      <c r="B263" s="3" t="s">
        <v>855</v>
      </c>
      <c r="C263" s="3" t="s">
        <v>866</v>
      </c>
      <c r="D263" s="3" t="s">
        <v>988</v>
      </c>
      <c r="E263" s="3"/>
      <c r="F263" s="6">
        <f>100*SUM(AM263:AO263)/AL263</f>
      </c>
      <c r="G263" s="6">
        <f>100*SUM(AP263)/AL263</f>
      </c>
      <c r="H263" s="6">
        <f>100*SUM(AQ263)/AL263</f>
      </c>
      <c r="I263" s="6">
        <f>100*SUM(AR263:BC263)/AL263</f>
      </c>
      <c r="J263" s="3"/>
      <c r="K263" s="7">
        <v>96.3</v>
      </c>
      <c r="L263" s="6">
        <v>4.865659397715473</v>
      </c>
      <c r="M263" s="6">
        <v>2.9767912772585667</v>
      </c>
      <c r="N263" s="31">
        <v>163.6957424714434</v>
      </c>
      <c r="O263" s="6"/>
      <c r="P263" s="6"/>
      <c r="Q263" s="7"/>
      <c r="R263" s="6"/>
      <c r="S263" s="6"/>
      <c r="T263" s="6"/>
      <c r="U263" s="5"/>
      <c r="V263" s="6"/>
      <c r="W263" s="6"/>
      <c r="X263" s="6"/>
      <c r="Y263" s="15"/>
      <c r="Z263" s="6"/>
      <c r="AA263" s="6"/>
      <c r="AB263" s="5"/>
      <c r="AC263" s="3"/>
      <c r="AD263" s="6">
        <v>4.685630000000001</v>
      </c>
      <c r="AE263" s="6">
        <v>2.8666499999999995</v>
      </c>
      <c r="AF263" s="7">
        <v>15763.899999999998</v>
      </c>
      <c r="AG263" s="6">
        <v>0</v>
      </c>
      <c r="AH263" s="7">
        <v>0</v>
      </c>
      <c r="AI263" s="15">
        <v>7.55228</v>
      </c>
      <c r="AJ263" s="6">
        <v>7.84245067497404</v>
      </c>
      <c r="AK263" s="3"/>
      <c r="AL263" s="6">
        <v>257.0576577822096</v>
      </c>
      <c r="AM263" s="6">
        <v>92.25076129055037</v>
      </c>
      <c r="AN263" s="6">
        <v>64.64194539096572</v>
      </c>
      <c r="AO263" s="6">
        <v>100.16495110069351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/>
      <c r="BD263" s="3"/>
      <c r="BE263" s="3"/>
      <c r="BF263" s="7">
        <v>24754.652444426785</v>
      </c>
    </row>
    <row x14ac:dyDescent="0.25" r="264" customHeight="1" ht="12.75">
      <c r="A264" s="5" t="s">
        <v>83</v>
      </c>
      <c r="B264" s="3" t="s">
        <v>855</v>
      </c>
      <c r="C264" s="3" t="s">
        <v>866</v>
      </c>
      <c r="D264" s="3" t="s">
        <v>988</v>
      </c>
      <c r="E264" s="3"/>
      <c r="F264" s="6">
        <f>100*SUM(AM264:AO264)/AL264</f>
      </c>
      <c r="G264" s="6">
        <f>100*SUM(AP264)/AL264</f>
      </c>
      <c r="H264" s="6">
        <f>100*SUM(AQ264)/AL264</f>
      </c>
      <c r="I264" s="6">
        <f>100*SUM(AR264:BC264)/AL264</f>
      </c>
      <c r="J264" s="3"/>
      <c r="K264" s="5">
        <v>58</v>
      </c>
      <c r="L264" s="6">
        <v>1.6</v>
      </c>
      <c r="M264" s="6">
        <v>11.1</v>
      </c>
      <c r="N264" s="31"/>
      <c r="O264" s="6"/>
      <c r="P264" s="6"/>
      <c r="Q264" s="7"/>
      <c r="R264" s="6"/>
      <c r="S264" s="6"/>
      <c r="T264" s="6"/>
      <c r="U264" s="5"/>
      <c r="V264" s="6"/>
      <c r="W264" s="6"/>
      <c r="X264" s="6"/>
      <c r="Y264" s="15"/>
      <c r="Z264" s="6"/>
      <c r="AA264" s="6"/>
      <c r="AB264" s="5"/>
      <c r="AC264" s="3"/>
      <c r="AD264" s="6">
        <v>0.9280000000000002</v>
      </c>
      <c r="AE264" s="6">
        <v>6.438</v>
      </c>
      <c r="AF264" s="7">
        <v>0</v>
      </c>
      <c r="AG264" s="6">
        <v>0</v>
      </c>
      <c r="AH264" s="7">
        <v>0</v>
      </c>
      <c r="AI264" s="15">
        <v>7.366</v>
      </c>
      <c r="AJ264" s="6">
        <v>12.7</v>
      </c>
      <c r="AK264" s="3"/>
      <c r="AL264" s="6">
        <v>271.37523699999997</v>
      </c>
      <c r="AM264" s="6">
        <v>30.335296</v>
      </c>
      <c r="AN264" s="6">
        <v>241.039941</v>
      </c>
      <c r="AO264" s="6">
        <v>0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0</v>
      </c>
      <c r="AX264" s="6">
        <v>0</v>
      </c>
      <c r="AY264" s="6">
        <v>0</v>
      </c>
      <c r="AZ264" s="6">
        <v>0</v>
      </c>
      <c r="BA264" s="6">
        <v>0</v>
      </c>
      <c r="BB264" s="6">
        <v>0</v>
      </c>
      <c r="BC264" s="6"/>
      <c r="BD264" s="3"/>
      <c r="BE264" s="3"/>
      <c r="BF264" s="7">
        <v>15739.763745999999</v>
      </c>
    </row>
    <row x14ac:dyDescent="0.25" r="265" customHeight="1" ht="12.75">
      <c r="A265" s="5" t="s">
        <v>90</v>
      </c>
      <c r="B265" s="3" t="s">
        <v>855</v>
      </c>
      <c r="C265" s="3" t="s">
        <v>866</v>
      </c>
      <c r="D265" s="3" t="s">
        <v>988</v>
      </c>
      <c r="E265" s="3"/>
      <c r="F265" s="6">
        <f>100*SUM(AM265:AO265)/AL265</f>
      </c>
      <c r="G265" s="6">
        <f>100*SUM(AP265)/AL265</f>
      </c>
      <c r="H265" s="6">
        <f>100*SUM(AQ265)/AL265</f>
      </c>
      <c r="I265" s="6">
        <f>100*SUM(AR265:BC265)/AL265</f>
      </c>
      <c r="J265" s="3"/>
      <c r="K265" s="23">
        <v>109.3014</v>
      </c>
      <c r="L265" s="6">
        <v>1.8219353548993882</v>
      </c>
      <c r="M265" s="6">
        <v>4.798740327205325</v>
      </c>
      <c r="N265" s="5"/>
      <c r="O265" s="6"/>
      <c r="P265" s="6"/>
      <c r="Q265" s="7"/>
      <c r="R265" s="6"/>
      <c r="S265" s="6"/>
      <c r="T265" s="6"/>
      <c r="U265" s="5"/>
      <c r="V265" s="6"/>
      <c r="W265" s="6"/>
      <c r="X265" s="6"/>
      <c r="Y265" s="15"/>
      <c r="Z265" s="6"/>
      <c r="AA265" s="6"/>
      <c r="AB265" s="5"/>
      <c r="AC265" s="3"/>
      <c r="AD265" s="6">
        <v>1.99140085</v>
      </c>
      <c r="AE265" s="6">
        <v>5.245090360000001</v>
      </c>
      <c r="AF265" s="7">
        <v>0</v>
      </c>
      <c r="AG265" s="6">
        <v>0</v>
      </c>
      <c r="AH265" s="7">
        <v>0</v>
      </c>
      <c r="AI265" s="15">
        <v>7.2364912100000005</v>
      </c>
      <c r="AJ265" s="6">
        <v>6.620675682104713</v>
      </c>
      <c r="AK265" s="3"/>
      <c r="AL265" s="6">
        <v>138.7492264921013</v>
      </c>
      <c r="AM265" s="6">
        <v>34.54309267733624</v>
      </c>
      <c r="AN265" s="6">
        <v>104.20613381476505</v>
      </c>
      <c r="AO265" s="6">
        <v>0</v>
      </c>
      <c r="AP265" s="6">
        <v>0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0</v>
      </c>
      <c r="BA265" s="6">
        <v>0</v>
      </c>
      <c r="BB265" s="6">
        <v>0</v>
      </c>
      <c r="BC265" s="6"/>
      <c r="BD265" s="3"/>
      <c r="BE265" s="3"/>
      <c r="BF265" s="7">
        <v>15165.48470450376</v>
      </c>
    </row>
    <row x14ac:dyDescent="0.25" r="266" customHeight="1" ht="12.75">
      <c r="A266" s="5" t="s">
        <v>94</v>
      </c>
      <c r="B266" s="3" t="s">
        <v>855</v>
      </c>
      <c r="C266" s="3" t="s">
        <v>866</v>
      </c>
      <c r="D266" s="3" t="s">
        <v>988</v>
      </c>
      <c r="E266" s="3"/>
      <c r="F266" s="6">
        <f>100*SUM(AM266:AO266)/AL266</f>
      </c>
      <c r="G266" s="6">
        <f>100*SUM(AP266)/AL266</f>
      </c>
      <c r="H266" s="6">
        <f>100*SUM(AQ266)/AL266</f>
      </c>
      <c r="I266" s="6">
        <f>100*SUM(AR266:BC266)/AL266</f>
      </c>
      <c r="J266" s="3"/>
      <c r="K266" s="6">
        <v>99.1</v>
      </c>
      <c r="L266" s="7">
        <v>2.5931382441977804</v>
      </c>
      <c r="M266" s="7">
        <v>4.320383451059535</v>
      </c>
      <c r="N266" s="31">
        <v>134.32088799192735</v>
      </c>
      <c r="O266" s="6"/>
      <c r="P266" s="6"/>
      <c r="Q266" s="7"/>
      <c r="R266" s="6"/>
      <c r="S266" s="6"/>
      <c r="T266" s="6"/>
      <c r="U266" s="5"/>
      <c r="V266" s="6"/>
      <c r="W266" s="6"/>
      <c r="X266" s="6"/>
      <c r="Y266" s="15"/>
      <c r="Z266" s="6"/>
      <c r="AA266" s="6"/>
      <c r="AB266" s="5"/>
      <c r="AC266" s="3"/>
      <c r="AD266" s="6">
        <v>2.5698000000000003</v>
      </c>
      <c r="AE266" s="6">
        <v>4.281499999999999</v>
      </c>
      <c r="AF266" s="7">
        <v>13311.199999999999</v>
      </c>
      <c r="AG266" s="6">
        <v>0</v>
      </c>
      <c r="AH266" s="7">
        <v>0</v>
      </c>
      <c r="AI266" s="15">
        <v>6.8513</v>
      </c>
      <c r="AJ266" s="6">
        <v>6.913521695257316</v>
      </c>
      <c r="AK266" s="3"/>
      <c r="AL266" s="6">
        <v>225.17378874008523</v>
      </c>
      <c r="AM266" s="6">
        <v>49.16476012916247</v>
      </c>
      <c r="AN266" s="6">
        <v>93.81846595862764</v>
      </c>
      <c r="AO266" s="6">
        <v>82.19056265229511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0</v>
      </c>
      <c r="BA266" s="6">
        <v>0</v>
      </c>
      <c r="BB266" s="6">
        <v>0</v>
      </c>
      <c r="BC266" s="6"/>
      <c r="BD266" s="3"/>
      <c r="BE266" s="3"/>
      <c r="BF266" s="7">
        <v>22314.722464142444</v>
      </c>
    </row>
    <row x14ac:dyDescent="0.25" r="267" customHeight="1" ht="12.75">
      <c r="A267" s="5" t="s">
        <v>101</v>
      </c>
      <c r="B267" s="3" t="s">
        <v>855</v>
      </c>
      <c r="C267" s="3" t="s">
        <v>866</v>
      </c>
      <c r="D267" s="3" t="s">
        <v>988</v>
      </c>
      <c r="E267" s="3"/>
      <c r="F267" s="6">
        <f>100*SUM(AM267:AO267)/AL267</f>
      </c>
      <c r="G267" s="6">
        <f>100*SUM(AP267)/AL267</f>
      </c>
      <c r="H267" s="6">
        <f>100*SUM(AQ267)/AL267</f>
      </c>
      <c r="I267" s="6">
        <f>100*SUM(AR267:BC267)/AL267</f>
      </c>
      <c r="J267" s="3"/>
      <c r="K267" s="7">
        <v>132</v>
      </c>
      <c r="L267" s="6">
        <v>0.4</v>
      </c>
      <c r="M267" s="7">
        <v>4</v>
      </c>
      <c r="N267" s="5"/>
      <c r="O267" s="6"/>
      <c r="P267" s="6"/>
      <c r="Q267" s="7"/>
      <c r="R267" s="6"/>
      <c r="S267" s="6"/>
      <c r="T267" s="6"/>
      <c r="U267" s="5"/>
      <c r="V267" s="6"/>
      <c r="W267" s="6"/>
      <c r="X267" s="6"/>
      <c r="Y267" s="15"/>
      <c r="Z267" s="6"/>
      <c r="AA267" s="6"/>
      <c r="AB267" s="5"/>
      <c r="AC267" s="3"/>
      <c r="AD267" s="6">
        <v>0.528</v>
      </c>
      <c r="AE267" s="6">
        <v>5.28</v>
      </c>
      <c r="AF267" s="7">
        <v>0</v>
      </c>
      <c r="AG267" s="6">
        <v>0</v>
      </c>
      <c r="AH267" s="7">
        <v>0</v>
      </c>
      <c r="AI267" s="15">
        <v>5.808</v>
      </c>
      <c r="AJ267" s="6">
        <v>4.4</v>
      </c>
      <c r="AK267" s="3"/>
      <c r="AL267" s="6">
        <v>94.445064</v>
      </c>
      <c r="AM267" s="6">
        <v>7.583824</v>
      </c>
      <c r="AN267" s="6">
        <v>86.86124</v>
      </c>
      <c r="AO267" s="6">
        <v>0</v>
      </c>
      <c r="AP267" s="6">
        <v>0</v>
      </c>
      <c r="AQ267" s="6">
        <v>0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0</v>
      </c>
      <c r="AY267" s="6">
        <v>0</v>
      </c>
      <c r="AZ267" s="6">
        <v>0</v>
      </c>
      <c r="BA267" s="6">
        <v>0</v>
      </c>
      <c r="BB267" s="6">
        <v>0</v>
      </c>
      <c r="BC267" s="6"/>
      <c r="BD267" s="3"/>
      <c r="BE267" s="3"/>
      <c r="BF267" s="7">
        <v>12466.748448</v>
      </c>
    </row>
    <row x14ac:dyDescent="0.25" r="268" customHeight="1" ht="12.75">
      <c r="A268" s="5" t="s">
        <v>104</v>
      </c>
      <c r="B268" s="3" t="s">
        <v>855</v>
      </c>
      <c r="C268" s="3" t="s">
        <v>866</v>
      </c>
      <c r="D268" s="3" t="s">
        <v>988</v>
      </c>
      <c r="E268" s="3"/>
      <c r="F268" s="6">
        <f>100*SUM(AM268:AO268)/AL268</f>
      </c>
      <c r="G268" s="6">
        <f>100*SUM(AP268)/AL268</f>
      </c>
      <c r="H268" s="6">
        <f>100*SUM(AQ268)/AL268</f>
      </c>
      <c r="I268" s="6">
        <f>100*SUM(AR268:BC268)/AL268</f>
      </c>
      <c r="J268" s="3"/>
      <c r="K268" s="6">
        <v>97.94999999999999</v>
      </c>
      <c r="L268" s="6">
        <v>1.3554405308831037</v>
      </c>
      <c r="M268" s="6">
        <v>4.407036242981113</v>
      </c>
      <c r="N268" s="5"/>
      <c r="O268" s="6"/>
      <c r="P268" s="6"/>
      <c r="Q268" s="7"/>
      <c r="R268" s="6"/>
      <c r="S268" s="6"/>
      <c r="T268" s="6"/>
      <c r="U268" s="5"/>
      <c r="V268" s="6"/>
      <c r="W268" s="6"/>
      <c r="X268" s="6"/>
      <c r="Y268" s="15"/>
      <c r="Z268" s="6"/>
      <c r="AA268" s="6"/>
      <c r="AB268" s="5"/>
      <c r="AC268" s="3"/>
      <c r="AD268" s="6">
        <v>1.327654</v>
      </c>
      <c r="AE268" s="6">
        <v>4.316692</v>
      </c>
      <c r="AF268" s="7">
        <v>0</v>
      </c>
      <c r="AG268" s="6">
        <v>0</v>
      </c>
      <c r="AH268" s="7">
        <v>0</v>
      </c>
      <c r="AI268" s="15">
        <v>5.644346</v>
      </c>
      <c r="AJ268" s="6">
        <v>5.762476773864217</v>
      </c>
      <c r="AK268" s="3"/>
      <c r="AL268" s="6">
        <v>121.39871426928026</v>
      </c>
      <c r="AM268" s="6">
        <v>25.69855607171006</v>
      </c>
      <c r="AN268" s="6">
        <v>95.7001581975702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0</v>
      </c>
      <c r="BC268" s="6"/>
      <c r="BD268" s="3"/>
      <c r="BE268" s="3"/>
      <c r="BF268" s="7">
        <v>11891.004062676</v>
      </c>
    </row>
    <row x14ac:dyDescent="0.25" r="269" customHeight="1" ht="12.75">
      <c r="A269" s="5" t="s">
        <v>137</v>
      </c>
      <c r="B269" s="3" t="s">
        <v>855</v>
      </c>
      <c r="C269" s="3" t="s">
        <v>866</v>
      </c>
      <c r="D269" s="3" t="s">
        <v>988</v>
      </c>
      <c r="E269" s="3"/>
      <c r="F269" s="6">
        <f>100*SUM(AM269:AO269)/AL269</f>
      </c>
      <c r="G269" s="6">
        <f>100*SUM(AP269)/AL269</f>
      </c>
      <c r="H269" s="6">
        <f>100*SUM(AQ269)/AL269</f>
      </c>
      <c r="I269" s="6">
        <f>100*SUM(AR269:BC269)/AL269</f>
      </c>
      <c r="J269" s="3"/>
      <c r="K269" s="6">
        <v>68.19</v>
      </c>
      <c r="L269" s="6">
        <v>0.9714025516937966</v>
      </c>
      <c r="M269" s="6">
        <v>5.200339639243291</v>
      </c>
      <c r="N269" s="7">
        <v>9.013224813022438</v>
      </c>
      <c r="O269" s="6"/>
      <c r="P269" s="6"/>
      <c r="Q269" s="7"/>
      <c r="R269" s="6"/>
      <c r="S269" s="6"/>
      <c r="T269" s="6"/>
      <c r="U269" s="5"/>
      <c r="V269" s="6"/>
      <c r="W269" s="6"/>
      <c r="X269" s="6"/>
      <c r="Y269" s="15"/>
      <c r="Z269" s="6"/>
      <c r="AA269" s="6"/>
      <c r="AB269" s="5"/>
      <c r="AC269" s="3"/>
      <c r="AD269" s="6">
        <v>0.6623993999999999</v>
      </c>
      <c r="AE269" s="6">
        <v>3.5461115999999997</v>
      </c>
      <c r="AF269" s="7">
        <v>614.6118</v>
      </c>
      <c r="AG269" s="6">
        <v>0</v>
      </c>
      <c r="AH269" s="7">
        <v>0</v>
      </c>
      <c r="AI269" s="15">
        <v>4.208511</v>
      </c>
      <c r="AJ269" s="6">
        <v>6.1717421909370875</v>
      </c>
      <c r="AK269" s="3"/>
      <c r="AL269" s="6">
        <v>136.85951851424903</v>
      </c>
      <c r="AM269" s="6">
        <v>18.417364962991638</v>
      </c>
      <c r="AN269" s="6">
        <v>112.92698737145622</v>
      </c>
      <c r="AO269" s="6">
        <v>5.51516617980119</v>
      </c>
      <c r="AP269" s="6">
        <v>0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0</v>
      </c>
      <c r="BC269" s="6"/>
      <c r="BD269" s="3"/>
      <c r="BE269" s="3"/>
      <c r="BF269" s="7">
        <v>9332.450567486641</v>
      </c>
    </row>
    <row x14ac:dyDescent="0.25" r="270" customHeight="1" ht="12.75">
      <c r="A270" s="5" t="s">
        <v>112</v>
      </c>
      <c r="B270" s="3" t="s">
        <v>855</v>
      </c>
      <c r="C270" s="3" t="s">
        <v>866</v>
      </c>
      <c r="D270" s="3" t="s">
        <v>988</v>
      </c>
      <c r="E270" s="3"/>
      <c r="F270" s="6">
        <f>100*SUM(AM270:AO270)/AL270</f>
      </c>
      <c r="G270" s="6">
        <f>100*SUM(AP270)/AL270</f>
      </c>
      <c r="H270" s="6">
        <f>100*SUM(AQ270)/AL270</f>
      </c>
      <c r="I270" s="6">
        <f>100*SUM(AR270:BC270)/AL270</f>
      </c>
      <c r="J270" s="3"/>
      <c r="K270" s="6">
        <v>21.7</v>
      </c>
      <c r="L270" s="7">
        <v>7</v>
      </c>
      <c r="M270" s="6">
        <v>9.2</v>
      </c>
      <c r="N270" s="5">
        <v>89</v>
      </c>
      <c r="O270" s="6"/>
      <c r="P270" s="6"/>
      <c r="Q270" s="7"/>
      <c r="R270" s="6"/>
      <c r="S270" s="6"/>
      <c r="T270" s="6"/>
      <c r="U270" s="5"/>
      <c r="V270" s="6"/>
      <c r="W270" s="6"/>
      <c r="X270" s="6"/>
      <c r="Y270" s="15"/>
      <c r="Z270" s="6"/>
      <c r="AA270" s="6"/>
      <c r="AB270" s="5"/>
      <c r="AC270" s="3"/>
      <c r="AD270" s="6">
        <v>1.5190000000000001</v>
      </c>
      <c r="AE270" s="6">
        <v>1.9964</v>
      </c>
      <c r="AF270" s="7">
        <v>1931.3</v>
      </c>
      <c r="AG270" s="6">
        <v>0</v>
      </c>
      <c r="AH270" s="7">
        <v>0</v>
      </c>
      <c r="AI270" s="15">
        <v>3.5154</v>
      </c>
      <c r="AJ270" s="6">
        <v>16.2</v>
      </c>
      <c r="AK270" s="3"/>
      <c r="AL270" s="6">
        <v>386.9566144437299</v>
      </c>
      <c r="AM270" s="6">
        <v>132.71692000000002</v>
      </c>
      <c r="AN270" s="6">
        <v>199.78085199999998</v>
      </c>
      <c r="AO270" s="6">
        <v>54.45884244372991</v>
      </c>
      <c r="AP270" s="6">
        <v>0</v>
      </c>
      <c r="AQ270" s="6">
        <v>0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6">
        <v>0</v>
      </c>
      <c r="BA270" s="6">
        <v>0</v>
      </c>
      <c r="BB270" s="6">
        <v>0</v>
      </c>
      <c r="BC270" s="6"/>
      <c r="BD270" s="3"/>
      <c r="BE270" s="3"/>
      <c r="BF270" s="7">
        <v>8396.958533428939</v>
      </c>
    </row>
    <row x14ac:dyDescent="0.25" r="271" customHeight="1" ht="12.75">
      <c r="A271" s="5" t="s">
        <v>154</v>
      </c>
      <c r="B271" s="3" t="s">
        <v>855</v>
      </c>
      <c r="C271" s="3" t="s">
        <v>866</v>
      </c>
      <c r="D271" s="3" t="s">
        <v>988</v>
      </c>
      <c r="E271" s="3"/>
      <c r="F271" s="6">
        <f>100*SUM(AM271:AO271)/AL271</f>
      </c>
      <c r="G271" s="6">
        <f>100*SUM(AP271)/AL271</f>
      </c>
      <c r="H271" s="6">
        <f>100*SUM(AQ271)/AL271</f>
      </c>
      <c r="I271" s="6">
        <f>100*SUM(AR271:BC271)/AL271</f>
      </c>
      <c r="J271" s="3"/>
      <c r="K271" s="6">
        <v>57.87</v>
      </c>
      <c r="L271" s="6">
        <v>1.3148107827890099</v>
      </c>
      <c r="M271" s="6">
        <v>4.691866251944012</v>
      </c>
      <c r="N271" s="5"/>
      <c r="O271" s="6"/>
      <c r="P271" s="6"/>
      <c r="Q271" s="7"/>
      <c r="R271" s="6"/>
      <c r="S271" s="6"/>
      <c r="T271" s="6"/>
      <c r="U271" s="5"/>
      <c r="V271" s="6"/>
      <c r="W271" s="6"/>
      <c r="X271" s="6"/>
      <c r="Y271" s="15"/>
      <c r="Z271" s="6"/>
      <c r="AA271" s="6"/>
      <c r="AB271" s="5"/>
      <c r="AC271" s="3"/>
      <c r="AD271" s="6">
        <v>0.7608809999999999</v>
      </c>
      <c r="AE271" s="6">
        <v>2.715183</v>
      </c>
      <c r="AF271" s="7">
        <v>0</v>
      </c>
      <c r="AG271" s="6">
        <v>0</v>
      </c>
      <c r="AH271" s="7">
        <v>0</v>
      </c>
      <c r="AI271" s="15">
        <v>3.476064</v>
      </c>
      <c r="AJ271" s="6">
        <v>6.0066770347330225</v>
      </c>
      <c r="AK271" s="3"/>
      <c r="AL271" s="6">
        <v>126.81356406443753</v>
      </c>
      <c r="AM271" s="6">
        <v>24.9282339249352</v>
      </c>
      <c r="AN271" s="6">
        <v>101.88533013950233</v>
      </c>
      <c r="AO271" s="6">
        <v>0</v>
      </c>
      <c r="AP271" s="6">
        <v>0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0</v>
      </c>
      <c r="BC271" s="6"/>
      <c r="BD271" s="3"/>
      <c r="BE271" s="3"/>
      <c r="BF271" s="7">
        <v>7338.700952408999</v>
      </c>
    </row>
    <row x14ac:dyDescent="0.25" r="272" customHeight="1" ht="12.75">
      <c r="A272" s="5" t="s">
        <v>49</v>
      </c>
      <c r="B272" s="3" t="s">
        <v>855</v>
      </c>
      <c r="C272" s="3" t="s">
        <v>866</v>
      </c>
      <c r="D272" s="3" t="s">
        <v>988</v>
      </c>
      <c r="E272" s="3"/>
      <c r="F272" s="6">
        <f>100*SUM(AM272:AO272)/AL272</f>
      </c>
      <c r="G272" s="6">
        <f>100*SUM(AP272)/AL272</f>
      </c>
      <c r="H272" s="6">
        <f>100*SUM(AQ272)/AL272</f>
      </c>
      <c r="I272" s="6">
        <f>100*SUM(AR272:BC272)/AL272</f>
      </c>
      <c r="J272" s="3"/>
      <c r="K272" s="6">
        <v>14.27</v>
      </c>
      <c r="L272" s="7">
        <v>5.727512263489839</v>
      </c>
      <c r="M272" s="7">
        <v>16.0697967764541</v>
      </c>
      <c r="N272" s="31">
        <v>97.4989488437281</v>
      </c>
      <c r="O272" s="6"/>
      <c r="P272" s="6"/>
      <c r="Q272" s="7"/>
      <c r="R272" s="6"/>
      <c r="S272" s="6"/>
      <c r="T272" s="6"/>
      <c r="U272" s="5"/>
      <c r="V272" s="6"/>
      <c r="W272" s="6"/>
      <c r="X272" s="6"/>
      <c r="Y272" s="15"/>
      <c r="Z272" s="6"/>
      <c r="AA272" s="6"/>
      <c r="AB272" s="5"/>
      <c r="AC272" s="3"/>
      <c r="AD272" s="6">
        <v>0.817316</v>
      </c>
      <c r="AE272" s="6">
        <v>2.2931600000000003</v>
      </c>
      <c r="AF272" s="7">
        <v>1391.31</v>
      </c>
      <c r="AG272" s="6">
        <v>0</v>
      </c>
      <c r="AH272" s="7">
        <v>0</v>
      </c>
      <c r="AI272" s="15">
        <v>3.1104760000000002</v>
      </c>
      <c r="AJ272" s="6">
        <v>21.79730903994394</v>
      </c>
      <c r="AK272" s="3"/>
      <c r="AL272" s="6">
        <v>517.2110556942512</v>
      </c>
      <c r="AM272" s="6">
        <v>108.59111241037141</v>
      </c>
      <c r="AN272" s="6">
        <v>348.9606186377015</v>
      </c>
      <c r="AO272" s="6">
        <v>59.65932464617833</v>
      </c>
      <c r="AP272" s="6">
        <v>0</v>
      </c>
      <c r="AQ272" s="6">
        <v>0</v>
      </c>
      <c r="AR272" s="6">
        <v>0</v>
      </c>
      <c r="AS272" s="6">
        <v>0</v>
      </c>
      <c r="AT272" s="6">
        <v>0</v>
      </c>
      <c r="AU272" s="6">
        <v>0</v>
      </c>
      <c r="AV272" s="6">
        <v>0</v>
      </c>
      <c r="AW272" s="6">
        <v>0</v>
      </c>
      <c r="AX272" s="6">
        <v>0</v>
      </c>
      <c r="AY272" s="6">
        <v>0</v>
      </c>
      <c r="AZ272" s="6">
        <v>0</v>
      </c>
      <c r="BA272" s="6">
        <v>0</v>
      </c>
      <c r="BB272" s="6">
        <v>0</v>
      </c>
      <c r="BC272" s="6"/>
      <c r="BD272" s="3"/>
      <c r="BE272" s="3"/>
      <c r="BF272" s="7">
        <v>7380.601764756964</v>
      </c>
    </row>
    <row x14ac:dyDescent="0.25" r="273" customHeight="1" ht="12.75">
      <c r="A273" s="5" t="s">
        <v>201</v>
      </c>
      <c r="B273" s="3" t="s">
        <v>855</v>
      </c>
      <c r="C273" s="3" t="s">
        <v>866</v>
      </c>
      <c r="D273" s="3" t="s">
        <v>988</v>
      </c>
      <c r="E273" s="3"/>
      <c r="F273" s="6">
        <f>100*SUM(AM273:AO273)/AL273</f>
      </c>
      <c r="G273" s="6">
        <f>100*SUM(AP273)/AL273</f>
      </c>
      <c r="H273" s="6">
        <f>100*SUM(AQ273)/AL273</f>
      </c>
      <c r="I273" s="6">
        <f>100*SUM(AR273:BC273)/AL273</f>
      </c>
      <c r="J273" s="3"/>
      <c r="K273" s="6">
        <v>23.45</v>
      </c>
      <c r="L273" s="6">
        <v>2.713168443496802</v>
      </c>
      <c r="M273" s="6">
        <v>8.227522388059702</v>
      </c>
      <c r="N273" s="7">
        <v>47.421833688699365</v>
      </c>
      <c r="O273" s="6"/>
      <c r="P273" s="6"/>
      <c r="Q273" s="7"/>
      <c r="R273" s="6"/>
      <c r="S273" s="6"/>
      <c r="T273" s="6"/>
      <c r="U273" s="5"/>
      <c r="V273" s="6"/>
      <c r="W273" s="6"/>
      <c r="X273" s="6"/>
      <c r="Y273" s="15"/>
      <c r="Z273" s="6"/>
      <c r="AA273" s="6"/>
      <c r="AB273" s="5"/>
      <c r="AC273" s="3"/>
      <c r="AD273" s="6">
        <v>0.6362380000000001</v>
      </c>
      <c r="AE273" s="6">
        <v>1.9293540000000002</v>
      </c>
      <c r="AF273" s="7">
        <v>1112.0420000000001</v>
      </c>
      <c r="AG273" s="6">
        <v>0</v>
      </c>
      <c r="AH273" s="7">
        <v>0</v>
      </c>
      <c r="AI273" s="15">
        <v>2.5655920000000005</v>
      </c>
      <c r="AJ273" s="6">
        <v>10.940690831556504</v>
      </c>
      <c r="AK273" s="3"/>
      <c r="AL273" s="6">
        <v>259.1209618837538</v>
      </c>
      <c r="AM273" s="6">
        <v>51.44047989458422</v>
      </c>
      <c r="AN273" s="6">
        <v>178.66319918865673</v>
      </c>
      <c r="AO273" s="6">
        <v>29.01728280051283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0</v>
      </c>
      <c r="BB273" s="6">
        <v>0</v>
      </c>
      <c r="BC273" s="6"/>
      <c r="BD273" s="3"/>
      <c r="BE273" s="3"/>
      <c r="BF273" s="7">
        <v>6076.386556174027</v>
      </c>
    </row>
    <row x14ac:dyDescent="0.25" r="274" customHeight="1" ht="12.75">
      <c r="A274" s="5" t="s">
        <v>228</v>
      </c>
      <c r="B274" s="3" t="s">
        <v>855</v>
      </c>
      <c r="C274" s="3" t="s">
        <v>866</v>
      </c>
      <c r="D274" s="3" t="s">
        <v>989</v>
      </c>
      <c r="E274" s="3"/>
      <c r="F274" s="6">
        <f>100*SUM(AM274:AO274)/AL274</f>
      </c>
      <c r="G274" s="6">
        <f>100*SUM(AP274)/AL274</f>
      </c>
      <c r="H274" s="6">
        <f>100*SUM(AQ274)/AL274</f>
      </c>
      <c r="I274" s="6">
        <f>100*SUM(AR274:BC274)/AL274</f>
      </c>
      <c r="J274" s="3"/>
      <c r="K274" s="6">
        <v>26.4</v>
      </c>
      <c r="L274" s="7">
        <v>1.7617424242424242</v>
      </c>
      <c r="M274" s="7">
        <v>6.7659090909090915</v>
      </c>
      <c r="N274" s="5"/>
      <c r="O274" s="6"/>
      <c r="P274" s="6"/>
      <c r="Q274" s="7"/>
      <c r="R274" s="6"/>
      <c r="S274" s="6"/>
      <c r="T274" s="6"/>
      <c r="U274" s="5"/>
      <c r="V274" s="6"/>
      <c r="W274" s="6"/>
      <c r="X274" s="6"/>
      <c r="Y274" s="15"/>
      <c r="Z274" s="6"/>
      <c r="AA274" s="6"/>
      <c r="AB274" s="5"/>
      <c r="AC274" s="3"/>
      <c r="AD274" s="6">
        <v>0.46509999999999996</v>
      </c>
      <c r="AE274" s="6">
        <v>1.7862</v>
      </c>
      <c r="AF274" s="7">
        <v>0</v>
      </c>
      <c r="AG274" s="6">
        <v>0</v>
      </c>
      <c r="AH274" s="7">
        <v>0</v>
      </c>
      <c r="AI274" s="15">
        <v>2.2513</v>
      </c>
      <c r="AJ274" s="6">
        <v>8.527651515151515</v>
      </c>
      <c r="AK274" s="3"/>
      <c r="AL274" s="6">
        <v>180.3256745378788</v>
      </c>
      <c r="AM274" s="6">
        <v>33.4018611969697</v>
      </c>
      <c r="AN274" s="6">
        <v>146.9238133409091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0</v>
      </c>
      <c r="BC274" s="6"/>
      <c r="BD274" s="3"/>
      <c r="BE274" s="3"/>
      <c r="BF274" s="7">
        <v>4760.5978078</v>
      </c>
    </row>
    <row x14ac:dyDescent="0.25" r="275" customHeight="1" ht="12.75">
      <c r="A275" s="5" t="s">
        <v>247</v>
      </c>
      <c r="B275" s="3" t="s">
        <v>855</v>
      </c>
      <c r="C275" s="3" t="s">
        <v>866</v>
      </c>
      <c r="D275" s="3" t="s">
        <v>991</v>
      </c>
      <c r="E275" s="3"/>
      <c r="F275" s="6">
        <f>100*SUM(AM275:AO275)/AL275</f>
      </c>
      <c r="G275" s="6">
        <f>100*SUM(AP275)/AL275</f>
      </c>
      <c r="H275" s="6">
        <f>100*SUM(AQ275)/AL275</f>
      </c>
      <c r="I275" s="6">
        <f>100*SUM(AR275:BC275)/AL275</f>
      </c>
      <c r="J275" s="3"/>
      <c r="K275" s="6">
        <v>51.1</v>
      </c>
      <c r="L275" s="7">
        <v>4.314677103718198</v>
      </c>
      <c r="M275" s="6"/>
      <c r="N275" s="5"/>
      <c r="O275" s="6"/>
      <c r="P275" s="6"/>
      <c r="Q275" s="7"/>
      <c r="R275" s="6"/>
      <c r="S275" s="6"/>
      <c r="T275" s="6"/>
      <c r="U275" s="5"/>
      <c r="V275" s="6"/>
      <c r="W275" s="6"/>
      <c r="X275" s="6"/>
      <c r="Y275" s="15"/>
      <c r="Z275" s="6"/>
      <c r="AA275" s="6"/>
      <c r="AB275" s="5"/>
      <c r="AC275" s="3"/>
      <c r="AD275" s="6">
        <v>2.204799999999999</v>
      </c>
      <c r="AE275" s="6">
        <v>0</v>
      </c>
      <c r="AF275" s="7">
        <v>0</v>
      </c>
      <c r="AG275" s="6">
        <v>0</v>
      </c>
      <c r="AH275" s="7">
        <v>0</v>
      </c>
      <c r="AI275" s="15">
        <v>2.204799999999999</v>
      </c>
      <c r="AJ275" s="6">
        <v>4.314677103718198</v>
      </c>
      <c r="AK275" s="3"/>
      <c r="AL275" s="6">
        <v>81.8043794285714</v>
      </c>
      <c r="AM275" s="6">
        <v>81.8043794285714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0</v>
      </c>
      <c r="BA275" s="6">
        <v>0</v>
      </c>
      <c r="BB275" s="6">
        <v>0</v>
      </c>
      <c r="BC275" s="6"/>
      <c r="BD275" s="3"/>
      <c r="BE275" s="3"/>
      <c r="BF275" s="7">
        <v>4180.203788799999</v>
      </c>
    </row>
    <row x14ac:dyDescent="0.25" r="276" customHeight="1" ht="12.75">
      <c r="A276" s="5" t="s">
        <v>250</v>
      </c>
      <c r="B276" s="3" t="s">
        <v>855</v>
      </c>
      <c r="C276" s="3" t="s">
        <v>866</v>
      </c>
      <c r="D276" s="3" t="s">
        <v>988</v>
      </c>
      <c r="E276" s="3"/>
      <c r="F276" s="6">
        <f>100*SUM(AM276:AO276)/AL276</f>
      </c>
      <c r="G276" s="6">
        <f>100*SUM(AP276)/AL276</f>
      </c>
      <c r="H276" s="6">
        <f>100*SUM(AQ276)/AL276</f>
      </c>
      <c r="I276" s="6">
        <f>100*SUM(AR276:BC276)/AL276</f>
      </c>
      <c r="J276" s="3"/>
      <c r="K276" s="6">
        <v>43.6</v>
      </c>
      <c r="L276" s="6">
        <v>0.95</v>
      </c>
      <c r="M276" s="6">
        <v>4.09</v>
      </c>
      <c r="N276" s="5"/>
      <c r="O276" s="6"/>
      <c r="P276" s="6"/>
      <c r="Q276" s="7"/>
      <c r="R276" s="6"/>
      <c r="S276" s="6"/>
      <c r="T276" s="6"/>
      <c r="U276" s="5"/>
      <c r="V276" s="6"/>
      <c r="W276" s="6"/>
      <c r="X276" s="6"/>
      <c r="Y276" s="15"/>
      <c r="Z276" s="6"/>
      <c r="AA276" s="6"/>
      <c r="AB276" s="5"/>
      <c r="AC276" s="3"/>
      <c r="AD276" s="6">
        <v>0.4142</v>
      </c>
      <c r="AE276" s="6">
        <v>1.7832400000000002</v>
      </c>
      <c r="AF276" s="7">
        <v>0</v>
      </c>
      <c r="AG276" s="6">
        <v>0</v>
      </c>
      <c r="AH276" s="7">
        <v>0</v>
      </c>
      <c r="AI276" s="15">
        <v>2.1974400000000003</v>
      </c>
      <c r="AJ276" s="6">
        <v>5.04</v>
      </c>
      <c r="AK276" s="3"/>
      <c r="AL276" s="6">
        <v>106.82719989999998</v>
      </c>
      <c r="AM276" s="6">
        <v>18.011581999999997</v>
      </c>
      <c r="AN276" s="6">
        <v>88.81561789999999</v>
      </c>
      <c r="AO276" s="6">
        <v>0</v>
      </c>
      <c r="AP276" s="6">
        <v>0</v>
      </c>
      <c r="AQ276" s="6">
        <v>0</v>
      </c>
      <c r="AR276" s="6">
        <v>0</v>
      </c>
      <c r="AS276" s="6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0</v>
      </c>
      <c r="BB276" s="6">
        <v>0</v>
      </c>
      <c r="BC276" s="6"/>
      <c r="BD276" s="3"/>
      <c r="BE276" s="3"/>
      <c r="BF276" s="7">
        <v>4657.665915639999</v>
      </c>
    </row>
    <row x14ac:dyDescent="0.25" r="277" customHeight="1" ht="12.75">
      <c r="A277" s="5" t="s">
        <v>194</v>
      </c>
      <c r="B277" s="3" t="s">
        <v>855</v>
      </c>
      <c r="C277" s="3" t="s">
        <v>866</v>
      </c>
      <c r="D277" s="3" t="s">
        <v>988</v>
      </c>
      <c r="E277" s="3"/>
      <c r="F277" s="6">
        <f>100*SUM(AM277:AO277)/AL277</f>
      </c>
      <c r="G277" s="6">
        <f>100*SUM(AP277)/AL277</f>
      </c>
      <c r="H277" s="6">
        <f>100*SUM(AQ277)/AL277</f>
      </c>
      <c r="I277" s="6">
        <f>100*SUM(AR277:BC277)/AL277</f>
      </c>
      <c r="J277" s="3"/>
      <c r="K277" s="6">
        <v>16.18</v>
      </c>
      <c r="L277" s="6">
        <v>4.5</v>
      </c>
      <c r="M277" s="6">
        <v>8.2</v>
      </c>
      <c r="N277" s="5"/>
      <c r="O277" s="6"/>
      <c r="P277" s="6"/>
      <c r="Q277" s="7"/>
      <c r="R277" s="6"/>
      <c r="S277" s="6"/>
      <c r="T277" s="6"/>
      <c r="U277" s="5"/>
      <c r="V277" s="6"/>
      <c r="W277" s="6"/>
      <c r="X277" s="6"/>
      <c r="Y277" s="15"/>
      <c r="Z277" s="6"/>
      <c r="AA277" s="6"/>
      <c r="AB277" s="5"/>
      <c r="AC277" s="3"/>
      <c r="AD277" s="6">
        <v>0.7281</v>
      </c>
      <c r="AE277" s="6">
        <v>1.32676</v>
      </c>
      <c r="AF277" s="7">
        <v>0</v>
      </c>
      <c r="AG277" s="6">
        <v>0</v>
      </c>
      <c r="AH277" s="7">
        <v>0</v>
      </c>
      <c r="AI277" s="15">
        <v>2.0548599999999997</v>
      </c>
      <c r="AJ277" s="6">
        <v>12.7</v>
      </c>
      <c r="AK277" s="3"/>
      <c r="AL277" s="6">
        <v>263.383562</v>
      </c>
      <c r="AM277" s="6">
        <v>85.31801999999999</v>
      </c>
      <c r="AN277" s="6">
        <v>178.06554199999997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0</v>
      </c>
      <c r="BC277" s="6"/>
      <c r="BD277" s="3"/>
      <c r="BE277" s="3"/>
      <c r="BF277" s="7">
        <v>4261.54603316</v>
      </c>
    </row>
    <row x14ac:dyDescent="0.25" r="278" customHeight="1" ht="12.75">
      <c r="A278" s="5" t="s">
        <v>248</v>
      </c>
      <c r="B278" s="3" t="s">
        <v>855</v>
      </c>
      <c r="C278" s="3" t="s">
        <v>866</v>
      </c>
      <c r="D278" s="3" t="s">
        <v>988</v>
      </c>
      <c r="E278" s="3"/>
      <c r="F278" s="6">
        <f>100*SUM(AM278:AO278)/AL278</f>
      </c>
      <c r="G278" s="6">
        <f>100*SUM(AP278)/AL278</f>
      </c>
      <c r="H278" s="6">
        <f>100*SUM(AQ278)/AL278</f>
      </c>
      <c r="I278" s="6">
        <f>100*SUM(AR278:BC278)/AL278</f>
      </c>
      <c r="J278" s="3"/>
      <c r="K278" s="6">
        <v>17.6</v>
      </c>
      <c r="L278" s="7">
        <v>10.059090909090909</v>
      </c>
      <c r="M278" s="7">
        <v>1.4846590909090907</v>
      </c>
      <c r="N278" s="31">
        <v>37.28409090909091</v>
      </c>
      <c r="O278" s="6"/>
      <c r="P278" s="6"/>
      <c r="Q278" s="7"/>
      <c r="R278" s="6"/>
      <c r="S278" s="6"/>
      <c r="T278" s="6"/>
      <c r="U278" s="5"/>
      <c r="V278" s="6"/>
      <c r="W278" s="6"/>
      <c r="X278" s="6"/>
      <c r="Y278" s="15"/>
      <c r="Z278" s="6"/>
      <c r="AA278" s="6"/>
      <c r="AB278" s="5"/>
      <c r="AC278" s="3"/>
      <c r="AD278" s="6">
        <v>1.7704000000000002</v>
      </c>
      <c r="AE278" s="6">
        <v>0.2613</v>
      </c>
      <c r="AF278" s="7">
        <v>656.2</v>
      </c>
      <c r="AG278" s="6">
        <v>0</v>
      </c>
      <c r="AH278" s="7">
        <v>0</v>
      </c>
      <c r="AI278" s="15">
        <v>2.0317000000000003</v>
      </c>
      <c r="AJ278" s="6">
        <v>11.54375</v>
      </c>
      <c r="AK278" s="3"/>
      <c r="AL278" s="6">
        <v>245.76979737096244</v>
      </c>
      <c r="AM278" s="6">
        <v>190.71593763636363</v>
      </c>
      <c r="AN278" s="6">
        <v>32.23983240340908</v>
      </c>
      <c r="AO278" s="6">
        <v>22.814027331189713</v>
      </c>
      <c r="AP278" s="6">
        <v>0</v>
      </c>
      <c r="AQ278" s="6">
        <v>0</v>
      </c>
      <c r="AR278" s="6">
        <v>0</v>
      </c>
      <c r="AS278" s="6">
        <v>0</v>
      </c>
      <c r="AT278" s="6">
        <v>0</v>
      </c>
      <c r="AU278" s="6">
        <v>0</v>
      </c>
      <c r="AV278" s="6">
        <v>0</v>
      </c>
      <c r="AW278" s="6">
        <v>0</v>
      </c>
      <c r="AX278" s="6">
        <v>0</v>
      </c>
      <c r="AY278" s="6">
        <v>0</v>
      </c>
      <c r="AZ278" s="6">
        <v>0</v>
      </c>
      <c r="BA278" s="6">
        <v>0</v>
      </c>
      <c r="BB278" s="6">
        <v>0</v>
      </c>
      <c r="BC278" s="6"/>
      <c r="BD278" s="3"/>
      <c r="BE278" s="3"/>
      <c r="BF278" s="7">
        <v>4325.548433728939</v>
      </c>
    </row>
    <row x14ac:dyDescent="0.25" r="279" customHeight="1" ht="12.75">
      <c r="A279" s="5" t="s">
        <v>234</v>
      </c>
      <c r="B279" s="3" t="s">
        <v>855</v>
      </c>
      <c r="C279" s="3" t="s">
        <v>866</v>
      </c>
      <c r="D279" s="3" t="s">
        <v>988</v>
      </c>
      <c r="E279" s="3"/>
      <c r="F279" s="6">
        <f>100*SUM(AM279:AO279)/AL279</f>
      </c>
      <c r="G279" s="6">
        <f>100*SUM(AP279)/AL279</f>
      </c>
      <c r="H279" s="6">
        <f>100*SUM(AQ279)/AL279</f>
      </c>
      <c r="I279" s="6">
        <f>100*SUM(AR279:BC279)/AL279</f>
      </c>
      <c r="J279" s="3"/>
      <c r="K279" s="6">
        <v>16.503</v>
      </c>
      <c r="L279" s="7">
        <v>5.147355026358843</v>
      </c>
      <c r="M279" s="7">
        <v>6.60997394413137</v>
      </c>
      <c r="N279" s="31">
        <v>89.09580076349754</v>
      </c>
      <c r="O279" s="6"/>
      <c r="P279" s="6"/>
      <c r="Q279" s="7"/>
      <c r="R279" s="6"/>
      <c r="S279" s="6"/>
      <c r="T279" s="6"/>
      <c r="U279" s="5"/>
      <c r="V279" s="6"/>
      <c r="W279" s="6"/>
      <c r="X279" s="6"/>
      <c r="Y279" s="15"/>
      <c r="Z279" s="6"/>
      <c r="AA279" s="6"/>
      <c r="AB279" s="5"/>
      <c r="AC279" s="3"/>
      <c r="AD279" s="6">
        <v>0.849468</v>
      </c>
      <c r="AE279" s="6">
        <v>1.090844</v>
      </c>
      <c r="AF279" s="7">
        <v>1470.348</v>
      </c>
      <c r="AG279" s="6">
        <v>0</v>
      </c>
      <c r="AH279" s="7">
        <v>0</v>
      </c>
      <c r="AI279" s="15">
        <v>1.940312</v>
      </c>
      <c r="AJ279" s="6">
        <v>11.757328970490214</v>
      </c>
      <c r="AK279" s="3"/>
      <c r="AL279" s="6">
        <v>295.64668240596455</v>
      </c>
      <c r="AM279" s="6">
        <v>97.59158646355208</v>
      </c>
      <c r="AN279" s="6">
        <v>143.53763328873538</v>
      </c>
      <c r="AO279" s="6">
        <v>54.517462653677114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  <c r="AV279" s="6">
        <v>0</v>
      </c>
      <c r="AW279" s="6">
        <v>0</v>
      </c>
      <c r="AX279" s="6">
        <v>0</v>
      </c>
      <c r="AY279" s="6">
        <v>0</v>
      </c>
      <c r="AZ279" s="6">
        <v>0</v>
      </c>
      <c r="BA279" s="6">
        <v>0</v>
      </c>
      <c r="BB279" s="6">
        <v>0</v>
      </c>
      <c r="BC279" s="6"/>
      <c r="BD279" s="3"/>
      <c r="BE279" s="3"/>
      <c r="BF279" s="7">
        <v>4879.057199745633</v>
      </c>
    </row>
    <row x14ac:dyDescent="0.25" r="280" customHeight="1" ht="12.75">
      <c r="A280" s="5" t="s">
        <v>34</v>
      </c>
      <c r="B280" s="3" t="s">
        <v>855</v>
      </c>
      <c r="C280" s="3" t="s">
        <v>866</v>
      </c>
      <c r="D280" s="3" t="s">
        <v>988</v>
      </c>
      <c r="E280" s="3"/>
      <c r="F280" s="6">
        <f>100*SUM(AM280:AO280)/AL280</f>
      </c>
      <c r="G280" s="6">
        <f>100*SUM(AP280)/AL280</f>
      </c>
      <c r="H280" s="6">
        <f>100*SUM(AQ280)/AL280</f>
      </c>
      <c r="I280" s="6">
        <f>100*SUM(AR280:BC280)/AL280</f>
      </c>
      <c r="J280" s="3"/>
      <c r="K280" s="6">
        <v>8.11</v>
      </c>
      <c r="L280" s="6">
        <v>9.1</v>
      </c>
      <c r="M280" s="6">
        <v>14.6</v>
      </c>
      <c r="N280" s="5">
        <v>12</v>
      </c>
      <c r="O280" s="6"/>
      <c r="P280" s="6"/>
      <c r="Q280" s="7"/>
      <c r="R280" s="6"/>
      <c r="S280" s="6"/>
      <c r="T280" s="6"/>
      <c r="U280" s="5"/>
      <c r="V280" s="6"/>
      <c r="W280" s="6"/>
      <c r="X280" s="6"/>
      <c r="Y280" s="15"/>
      <c r="Z280" s="6"/>
      <c r="AA280" s="6"/>
      <c r="AB280" s="5"/>
      <c r="AC280" s="3"/>
      <c r="AD280" s="6">
        <v>0.7380099999999998</v>
      </c>
      <c r="AE280" s="6">
        <v>1.18406</v>
      </c>
      <c r="AF280" s="7">
        <v>97.32</v>
      </c>
      <c r="AG280" s="6">
        <v>0</v>
      </c>
      <c r="AH280" s="7">
        <v>0</v>
      </c>
      <c r="AI280" s="15">
        <v>1.9220699999999997</v>
      </c>
      <c r="AJ280" s="6">
        <v>23.7</v>
      </c>
      <c r="AK280" s="3"/>
      <c r="AL280" s="6">
        <v>496.9182872733119</v>
      </c>
      <c r="AM280" s="6">
        <v>172.531996</v>
      </c>
      <c r="AN280" s="6">
        <v>317.043526</v>
      </c>
      <c r="AO280" s="6">
        <v>7.342765273311898</v>
      </c>
      <c r="AP280" s="6">
        <v>0</v>
      </c>
      <c r="AQ280" s="6">
        <v>0</v>
      </c>
      <c r="AR280" s="6">
        <v>0</v>
      </c>
      <c r="AS280" s="6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6">
        <v>0</v>
      </c>
      <c r="BA280" s="6">
        <v>0</v>
      </c>
      <c r="BB280" s="6">
        <v>0</v>
      </c>
      <c r="BC280" s="6"/>
      <c r="BD280" s="3"/>
      <c r="BE280" s="3"/>
      <c r="BF280" s="7">
        <v>4030.007309786559</v>
      </c>
    </row>
    <row x14ac:dyDescent="0.25" r="281" customHeight="1" ht="12.75">
      <c r="A281" s="5" t="s">
        <v>276</v>
      </c>
      <c r="B281" s="3" t="s">
        <v>855</v>
      </c>
      <c r="C281" s="3" t="s">
        <v>866</v>
      </c>
      <c r="D281" s="3" t="s">
        <v>988</v>
      </c>
      <c r="E281" s="3"/>
      <c r="F281" s="6">
        <f>100*SUM(AM281:AO281)/AL281</f>
      </c>
      <c r="G281" s="6">
        <f>100*SUM(AP281)/AL281</f>
      </c>
      <c r="H281" s="6">
        <f>100*SUM(AQ281)/AL281</f>
      </c>
      <c r="I281" s="6">
        <f>100*SUM(AR281:BC281)/AL281</f>
      </c>
      <c r="J281" s="3"/>
      <c r="K281" s="6">
        <v>24.400000000000002</v>
      </c>
      <c r="L281" s="6">
        <v>3.1126229508196723</v>
      </c>
      <c r="M281" s="6">
        <v>4.597090163934427</v>
      </c>
      <c r="N281" s="7">
        <v>61.174180327868854</v>
      </c>
      <c r="O281" s="6"/>
      <c r="P281" s="6"/>
      <c r="Q281" s="7"/>
      <c r="R281" s="6"/>
      <c r="S281" s="6"/>
      <c r="T281" s="6"/>
      <c r="U281" s="5"/>
      <c r="V281" s="6"/>
      <c r="W281" s="6"/>
      <c r="X281" s="6"/>
      <c r="Y281" s="15"/>
      <c r="Z281" s="6"/>
      <c r="AA281" s="6"/>
      <c r="AB281" s="5"/>
      <c r="AC281" s="3"/>
      <c r="AD281" s="6">
        <v>0.75948</v>
      </c>
      <c r="AE281" s="6">
        <v>1.1216900000000003</v>
      </c>
      <c r="AF281" s="7">
        <v>1492.65</v>
      </c>
      <c r="AG281" s="6">
        <v>0</v>
      </c>
      <c r="AH281" s="7">
        <v>0</v>
      </c>
      <c r="AI281" s="15">
        <v>1.8811700000000005</v>
      </c>
      <c r="AJ281" s="6">
        <v>7.7097131147540985</v>
      </c>
      <c r="AK281" s="3"/>
      <c r="AL281" s="6">
        <v>196.27350351246244</v>
      </c>
      <c r="AM281" s="6">
        <v>59.01396159344262</v>
      </c>
      <c r="AN281" s="6">
        <v>99.82723800778689</v>
      </c>
      <c r="AO281" s="6">
        <v>37.43230391123294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0</v>
      </c>
      <c r="BC281" s="6"/>
      <c r="BD281" s="3"/>
      <c r="BE281" s="3"/>
      <c r="BF281" s="7">
        <v>4789.073485704084</v>
      </c>
    </row>
    <row x14ac:dyDescent="0.25" r="282" customHeight="1" ht="12.75">
      <c r="A282" s="5" t="s">
        <v>278</v>
      </c>
      <c r="B282" s="3" t="s">
        <v>855</v>
      </c>
      <c r="C282" s="3" t="s">
        <v>866</v>
      </c>
      <c r="D282" s="3" t="s">
        <v>988</v>
      </c>
      <c r="E282" s="3"/>
      <c r="F282" s="6">
        <f>100*SUM(AM282:AO282)/AL282</f>
      </c>
      <c r="G282" s="6">
        <f>100*SUM(AP282)/AL282</f>
      </c>
      <c r="H282" s="6">
        <f>100*SUM(AQ282)/AL282</f>
      </c>
      <c r="I282" s="6">
        <f>100*SUM(AR282:BC282)/AL282</f>
      </c>
      <c r="J282" s="3"/>
      <c r="K282" s="6">
        <v>18.53</v>
      </c>
      <c r="L282" s="6">
        <v>3.438629249865084</v>
      </c>
      <c r="M282" s="6">
        <v>6.669249865083647</v>
      </c>
      <c r="N282" s="6">
        <v>3.438629249865084</v>
      </c>
      <c r="O282" s="6"/>
      <c r="P282" s="6"/>
      <c r="Q282" s="7"/>
      <c r="R282" s="6"/>
      <c r="S282" s="6"/>
      <c r="T282" s="6"/>
      <c r="U282" s="5"/>
      <c r="V282" s="6"/>
      <c r="W282" s="6"/>
      <c r="X282" s="6"/>
      <c r="Y282" s="15"/>
      <c r="Z282" s="6"/>
      <c r="AA282" s="6"/>
      <c r="AB282" s="5"/>
      <c r="AC282" s="3"/>
      <c r="AD282" s="6">
        <v>0.6371780000000001</v>
      </c>
      <c r="AE282" s="6">
        <v>1.235812</v>
      </c>
      <c r="AF282" s="7">
        <v>63.71780000000001</v>
      </c>
      <c r="AG282" s="6">
        <v>0</v>
      </c>
      <c r="AH282" s="7">
        <v>0</v>
      </c>
      <c r="AI282" s="15">
        <v>1.8729900000000002</v>
      </c>
      <c r="AJ282" s="6">
        <v>10.10787911494873</v>
      </c>
      <c r="AK282" s="3"/>
      <c r="AL282" s="6">
        <v>212.12381315529694</v>
      </c>
      <c r="AM282" s="6">
        <v>65.19489758057205</v>
      </c>
      <c r="AN282" s="6">
        <v>144.82482828774957</v>
      </c>
      <c r="AO282" s="6">
        <v>2.1040872869753233</v>
      </c>
      <c r="AP282" s="6">
        <v>0</v>
      </c>
      <c r="AQ282" s="6">
        <v>0</v>
      </c>
      <c r="AR282" s="6">
        <v>0</v>
      </c>
      <c r="AS282" s="6">
        <v>0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0</v>
      </c>
      <c r="BC282" s="6"/>
      <c r="BD282" s="3"/>
      <c r="BE282" s="3"/>
      <c r="BF282" s="7">
        <v>3930.654257767653</v>
      </c>
    </row>
    <row x14ac:dyDescent="0.25" r="283" customHeight="1" ht="12.75">
      <c r="A283" s="5" t="s">
        <v>311</v>
      </c>
      <c r="B283" s="3" t="s">
        <v>855</v>
      </c>
      <c r="C283" s="3" t="s">
        <v>866</v>
      </c>
      <c r="D283" s="3" t="s">
        <v>989</v>
      </c>
      <c r="E283" s="3"/>
      <c r="F283" s="6">
        <f>100*SUM(AM283:AO283)/AL283</f>
      </c>
      <c r="G283" s="6">
        <f>100*SUM(AP283)/AL283</f>
      </c>
      <c r="H283" s="6">
        <f>100*SUM(AQ283)/AL283</f>
      </c>
      <c r="I283" s="6">
        <f>100*SUM(AR283:BC283)/AL283</f>
      </c>
      <c r="J283" s="3"/>
      <c r="K283" s="6">
        <v>347.767739</v>
      </c>
      <c r="L283" s="6">
        <v>0.09</v>
      </c>
      <c r="M283" s="6">
        <v>0.37</v>
      </c>
      <c r="N283" s="5"/>
      <c r="O283" s="6"/>
      <c r="P283" s="6"/>
      <c r="Q283" s="7"/>
      <c r="R283" s="6"/>
      <c r="S283" s="6"/>
      <c r="T283" s="6"/>
      <c r="U283" s="5"/>
      <c r="V283" s="6"/>
      <c r="W283" s="6"/>
      <c r="X283" s="6"/>
      <c r="Y283" s="15"/>
      <c r="Z283" s="6"/>
      <c r="AA283" s="6"/>
      <c r="AB283" s="5"/>
      <c r="AC283" s="3"/>
      <c r="AD283" s="6">
        <v>0.31299096509999996</v>
      </c>
      <c r="AE283" s="6">
        <v>1.2867406342999999</v>
      </c>
      <c r="AF283" s="7">
        <v>0</v>
      </c>
      <c r="AG283" s="6">
        <v>0</v>
      </c>
      <c r="AH283" s="7">
        <v>0</v>
      </c>
      <c r="AI283" s="15">
        <v>1.5997315993999999</v>
      </c>
      <c r="AJ283" s="6">
        <v>0.45999999999999996</v>
      </c>
      <c r="AK283" s="3"/>
      <c r="AL283" s="6">
        <v>9.7410251</v>
      </c>
      <c r="AM283" s="6">
        <v>1.7063603999999999</v>
      </c>
      <c r="AN283" s="6">
        <v>8.0346647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0</v>
      </c>
      <c r="BC283" s="6"/>
      <c r="BD283" s="3"/>
      <c r="BE283" s="3"/>
      <c r="BF283" s="7">
        <v>3387.614274569249</v>
      </c>
    </row>
    <row x14ac:dyDescent="0.25" r="284" customHeight="1" ht="12.75">
      <c r="A284" s="5" t="s">
        <v>312</v>
      </c>
      <c r="B284" s="3" t="s">
        <v>855</v>
      </c>
      <c r="C284" s="3" t="s">
        <v>866</v>
      </c>
      <c r="D284" s="3" t="s">
        <v>989</v>
      </c>
      <c r="E284" s="3"/>
      <c r="F284" s="6">
        <f>100*SUM(AM284:AO284)/AL284</f>
      </c>
      <c r="G284" s="6">
        <f>100*SUM(AP284)/AL284</f>
      </c>
      <c r="H284" s="6">
        <f>100*SUM(AQ284)/AL284</f>
      </c>
      <c r="I284" s="6">
        <f>100*SUM(AR284:BC284)/AL284</f>
      </c>
      <c r="J284" s="3"/>
      <c r="K284" s="6">
        <v>21.2</v>
      </c>
      <c r="L284" s="6">
        <v>1.54</v>
      </c>
      <c r="M284" s="6">
        <v>5.88</v>
      </c>
      <c r="N284" s="5"/>
      <c r="O284" s="6"/>
      <c r="P284" s="6"/>
      <c r="Q284" s="7"/>
      <c r="R284" s="6"/>
      <c r="S284" s="6"/>
      <c r="T284" s="6"/>
      <c r="U284" s="5"/>
      <c r="V284" s="6"/>
      <c r="W284" s="6"/>
      <c r="X284" s="6"/>
      <c r="Y284" s="15"/>
      <c r="Z284" s="6"/>
      <c r="AA284" s="6"/>
      <c r="AB284" s="5"/>
      <c r="AC284" s="3"/>
      <c r="AD284" s="6">
        <v>0.32647999999999994</v>
      </c>
      <c r="AE284" s="6">
        <v>1.24656</v>
      </c>
      <c r="AF284" s="7">
        <v>0</v>
      </c>
      <c r="AG284" s="6">
        <v>0</v>
      </c>
      <c r="AH284" s="7">
        <v>0</v>
      </c>
      <c r="AI284" s="15">
        <v>1.5730399999999998</v>
      </c>
      <c r="AJ284" s="6">
        <v>7.42</v>
      </c>
      <c r="AK284" s="3"/>
      <c r="AL284" s="6">
        <v>156.8837452</v>
      </c>
      <c r="AM284" s="6">
        <v>29.1977224</v>
      </c>
      <c r="AN284" s="6">
        <v>127.68602279999999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/>
      <c r="BD284" s="3"/>
      <c r="BE284" s="3"/>
      <c r="BF284" s="7">
        <v>3325.93539824</v>
      </c>
    </row>
    <row x14ac:dyDescent="0.25" r="285" customHeight="1" ht="12.75">
      <c r="A285" s="5" t="s">
        <v>196</v>
      </c>
      <c r="B285" s="3" t="s">
        <v>855</v>
      </c>
      <c r="C285" s="3" t="s">
        <v>866</v>
      </c>
      <c r="D285" s="3" t="s">
        <v>989</v>
      </c>
      <c r="E285" s="3"/>
      <c r="F285" s="6">
        <f>100*SUM(AM285:AO285)/AL285</f>
      </c>
      <c r="G285" s="6">
        <f>100*SUM(AP285)/AL285</f>
      </c>
      <c r="H285" s="6">
        <f>100*SUM(AQ285)/AL285</f>
      </c>
      <c r="I285" s="6">
        <f>100*SUM(AR285:BC285)/AL285</f>
      </c>
      <c r="J285" s="3"/>
      <c r="K285" s="6">
        <v>11.850000000000001</v>
      </c>
      <c r="L285" s="6">
        <v>1.3441940928270042</v>
      </c>
      <c r="M285" s="6">
        <v>11.31628691983122</v>
      </c>
      <c r="N285" s="7">
        <v>13.61502109704641</v>
      </c>
      <c r="O285" s="6"/>
      <c r="P285" s="6"/>
      <c r="Q285" s="7"/>
      <c r="R285" s="6"/>
      <c r="S285" s="6"/>
      <c r="T285" s="6"/>
      <c r="U285" s="5"/>
      <c r="V285" s="6"/>
      <c r="W285" s="6"/>
      <c r="X285" s="6"/>
      <c r="Y285" s="15"/>
      <c r="Z285" s="6"/>
      <c r="AA285" s="6"/>
      <c r="AB285" s="5"/>
      <c r="AC285" s="3"/>
      <c r="AD285" s="6">
        <v>0.159287</v>
      </c>
      <c r="AE285" s="6">
        <v>1.3409799999999998</v>
      </c>
      <c r="AF285" s="7">
        <v>161.338</v>
      </c>
      <c r="AG285" s="6">
        <v>0</v>
      </c>
      <c r="AH285" s="7">
        <v>0</v>
      </c>
      <c r="AI285" s="15">
        <v>1.5002669999999998</v>
      </c>
      <c r="AJ285" s="6">
        <v>12.660481012658225</v>
      </c>
      <c r="AK285" s="3"/>
      <c r="AL285" s="6">
        <v>279.5529990765794</v>
      </c>
      <c r="AM285" s="6">
        <v>25.485328554599153</v>
      </c>
      <c r="AN285" s="6">
        <v>245.7366785130801</v>
      </c>
      <c r="AO285" s="6">
        <v>8.330992008900104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/>
      <c r="BD285" s="3"/>
      <c r="BE285" s="3"/>
      <c r="BF285" s="7">
        <v>3312.7030390574664</v>
      </c>
    </row>
    <row x14ac:dyDescent="0.25" r="286" customHeight="1" ht="12.75">
      <c r="A286" s="5" t="s">
        <v>327</v>
      </c>
      <c r="B286" s="3" t="s">
        <v>855</v>
      </c>
      <c r="C286" s="3" t="s">
        <v>866</v>
      </c>
      <c r="D286" s="3"/>
      <c r="E286" s="3"/>
      <c r="F286" s="6">
        <f>100*SUM(AM286:AO286)/AL286</f>
      </c>
      <c r="G286" s="6">
        <f>100*SUM(AP286)/AL286</f>
      </c>
      <c r="H286" s="6">
        <f>100*SUM(AQ286)/AL286</f>
      </c>
      <c r="I286" s="6">
        <f>100*SUM(AR286:BC286)/AL286</f>
      </c>
      <c r="J286" s="3"/>
      <c r="K286" s="7">
        <v>46</v>
      </c>
      <c r="L286" s="6">
        <v>2.715478260869565</v>
      </c>
      <c r="M286" s="6">
        <v>0.5404347826086956</v>
      </c>
      <c r="N286" s="5"/>
      <c r="O286" s="6"/>
      <c r="P286" s="6"/>
      <c r="Q286" s="7"/>
      <c r="R286" s="6"/>
      <c r="S286" s="6"/>
      <c r="T286" s="6"/>
      <c r="U286" s="5"/>
      <c r="V286" s="6"/>
      <c r="W286" s="6"/>
      <c r="X286" s="6"/>
      <c r="Y286" s="15"/>
      <c r="Z286" s="6"/>
      <c r="AA286" s="6"/>
      <c r="AB286" s="5"/>
      <c r="AC286" s="3"/>
      <c r="AD286" s="6">
        <v>1.24912</v>
      </c>
      <c r="AE286" s="6">
        <v>0.24859999999999996</v>
      </c>
      <c r="AF286" s="7">
        <v>0</v>
      </c>
      <c r="AG286" s="6">
        <v>0</v>
      </c>
      <c r="AH286" s="7">
        <v>0</v>
      </c>
      <c r="AI286" s="15">
        <v>1.49772</v>
      </c>
      <c r="AJ286" s="6">
        <v>3.2559130434782606</v>
      </c>
      <c r="AK286" s="3"/>
      <c r="AL286" s="6">
        <v>63.2199818547826</v>
      </c>
      <c r="AM286" s="6">
        <v>51.48427301565217</v>
      </c>
      <c r="AN286" s="6">
        <v>11.735708839130433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/>
      <c r="BD286" s="3"/>
      <c r="BE286" s="3"/>
      <c r="BF286" s="7">
        <v>2908.11916532</v>
      </c>
    </row>
    <row x14ac:dyDescent="0.25" r="287" customHeight="1" ht="12.75">
      <c r="A287" s="5" t="s">
        <v>341</v>
      </c>
      <c r="B287" s="3" t="s">
        <v>855</v>
      </c>
      <c r="C287" s="3" t="s">
        <v>866</v>
      </c>
      <c r="D287" s="3" t="s">
        <v>988</v>
      </c>
      <c r="E287" s="3"/>
      <c r="F287" s="6">
        <f>100*SUM(AM287:AO287)/AL287</f>
      </c>
      <c r="G287" s="6">
        <f>100*SUM(AP287)/AL287</f>
      </c>
      <c r="H287" s="6">
        <f>100*SUM(AQ287)/AL287</f>
      </c>
      <c r="I287" s="6">
        <f>100*SUM(AR287:BC287)/AL287</f>
      </c>
      <c r="J287" s="3"/>
      <c r="K287" s="6">
        <v>25.9</v>
      </c>
      <c r="L287" s="6">
        <v>2.659073359073359</v>
      </c>
      <c r="M287" s="6">
        <v>2.6245173745173744</v>
      </c>
      <c r="N287" s="5"/>
      <c r="O287" s="6"/>
      <c r="P287" s="6"/>
      <c r="Q287" s="7"/>
      <c r="R287" s="6"/>
      <c r="S287" s="6"/>
      <c r="T287" s="6"/>
      <c r="U287" s="5"/>
      <c r="V287" s="6"/>
      <c r="W287" s="6"/>
      <c r="X287" s="6"/>
      <c r="Y287" s="15"/>
      <c r="Z287" s="6"/>
      <c r="AA287" s="6"/>
      <c r="AB287" s="5"/>
      <c r="AC287" s="3"/>
      <c r="AD287" s="6">
        <v>0.6886999999999999</v>
      </c>
      <c r="AE287" s="6">
        <v>0.67975</v>
      </c>
      <c r="AF287" s="7">
        <v>0</v>
      </c>
      <c r="AG287" s="6">
        <v>0</v>
      </c>
      <c r="AH287" s="7">
        <v>0</v>
      </c>
      <c r="AI287" s="15">
        <v>1.3684499999999997</v>
      </c>
      <c r="AJ287" s="6">
        <v>5.283590733590733</v>
      </c>
      <c r="AK287" s="3"/>
      <c r="AL287" s="6">
        <v>107.40706928378378</v>
      </c>
      <c r="AM287" s="6">
        <v>50.41486089575289</v>
      </c>
      <c r="AN287" s="6">
        <v>56.99220838803089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/>
      <c r="BD287" s="3"/>
      <c r="BE287" s="3"/>
      <c r="BF287" s="7">
        <v>2781.8430944499996</v>
      </c>
    </row>
    <row x14ac:dyDescent="0.25" r="288" customHeight="1" ht="12.75">
      <c r="A288" s="5" t="s">
        <v>284</v>
      </c>
      <c r="B288" s="3" t="s">
        <v>855</v>
      </c>
      <c r="C288" s="3" t="s">
        <v>866</v>
      </c>
      <c r="D288" s="3" t="s">
        <v>988</v>
      </c>
      <c r="E288" s="3"/>
      <c r="F288" s="6">
        <f>100*SUM(AM288:AO288)/AL288</f>
      </c>
      <c r="G288" s="6">
        <f>100*SUM(AP288)/AL288</f>
      </c>
      <c r="H288" s="6">
        <f>100*SUM(AQ288)/AL288</f>
      </c>
      <c r="I288" s="6">
        <f>100*SUM(AR288:BC288)/AL288</f>
      </c>
      <c r="J288" s="3"/>
      <c r="K288" s="6">
        <v>12.46</v>
      </c>
      <c r="L288" s="6">
        <v>4.365425361155698</v>
      </c>
      <c r="M288" s="6">
        <v>6.574237560192617</v>
      </c>
      <c r="N288" s="6">
        <v>4.365425361155698</v>
      </c>
      <c r="O288" s="6"/>
      <c r="P288" s="6"/>
      <c r="Q288" s="7"/>
      <c r="R288" s="6"/>
      <c r="S288" s="6"/>
      <c r="T288" s="6"/>
      <c r="U288" s="5"/>
      <c r="V288" s="6"/>
      <c r="W288" s="6"/>
      <c r="X288" s="6"/>
      <c r="Y288" s="15"/>
      <c r="Z288" s="6"/>
      <c r="AA288" s="6"/>
      <c r="AB288" s="5"/>
      <c r="AC288" s="3"/>
      <c r="AD288" s="6">
        <v>0.5439320000000001</v>
      </c>
      <c r="AE288" s="6">
        <v>0.81915</v>
      </c>
      <c r="AF288" s="7">
        <v>54.39320000000001</v>
      </c>
      <c r="AG288" s="6">
        <v>0</v>
      </c>
      <c r="AH288" s="7">
        <v>0</v>
      </c>
      <c r="AI288" s="15">
        <v>1.3630820000000001</v>
      </c>
      <c r="AJ288" s="6">
        <v>10.939662921348315</v>
      </c>
      <c r="AK288" s="3"/>
      <c r="AL288" s="6">
        <v>228.19934183900688</v>
      </c>
      <c r="AM288" s="6">
        <v>82.76654406035313</v>
      </c>
      <c r="AN288" s="6">
        <v>142.76160663322634</v>
      </c>
      <c r="AO288" s="6">
        <v>2.671191145427426</v>
      </c>
      <c r="AP288" s="6">
        <v>0</v>
      </c>
      <c r="AQ288" s="6">
        <v>0</v>
      </c>
      <c r="AR288" s="6">
        <v>0</v>
      </c>
      <c r="AS288" s="6">
        <v>0</v>
      </c>
      <c r="AT288" s="6">
        <v>0</v>
      </c>
      <c r="AU288" s="6">
        <v>0</v>
      </c>
      <c r="AV288" s="6">
        <v>0</v>
      </c>
      <c r="AW288" s="6">
        <v>0</v>
      </c>
      <c r="AX288" s="6">
        <v>0</v>
      </c>
      <c r="AY288" s="6">
        <v>0</v>
      </c>
      <c r="AZ288" s="6">
        <v>0</v>
      </c>
      <c r="BA288" s="6">
        <v>0</v>
      </c>
      <c r="BB288" s="6">
        <v>0</v>
      </c>
      <c r="BC288" s="6"/>
      <c r="BD288" s="3"/>
      <c r="BE288" s="3"/>
      <c r="BF288" s="7">
        <v>2843.363799314026</v>
      </c>
    </row>
    <row x14ac:dyDescent="0.25" r="289" customHeight="1" ht="12.75">
      <c r="A289" s="5" t="s">
        <v>350</v>
      </c>
      <c r="B289" s="3" t="s">
        <v>855</v>
      </c>
      <c r="C289" s="3" t="s">
        <v>866</v>
      </c>
      <c r="D289" s="3" t="s">
        <v>989</v>
      </c>
      <c r="E289" s="3"/>
      <c r="F289" s="6">
        <f>100*SUM(AM289:AO289)/AL289</f>
      </c>
      <c r="G289" s="6">
        <f>100*SUM(AP289)/AL289</f>
      </c>
      <c r="H289" s="6">
        <f>100*SUM(AQ289)/AL289</f>
      </c>
      <c r="I289" s="6">
        <f>100*SUM(AR289:BC289)/AL289</f>
      </c>
      <c r="J289" s="3"/>
      <c r="K289" s="6">
        <v>14.99</v>
      </c>
      <c r="L289" s="6">
        <v>4.28</v>
      </c>
      <c r="M289" s="6">
        <v>4.686</v>
      </c>
      <c r="N289" s="5">
        <v>16</v>
      </c>
      <c r="O289" s="6"/>
      <c r="P289" s="6"/>
      <c r="Q289" s="7"/>
      <c r="R289" s="6"/>
      <c r="S289" s="6"/>
      <c r="T289" s="6"/>
      <c r="U289" s="5"/>
      <c r="V289" s="6"/>
      <c r="W289" s="6"/>
      <c r="X289" s="6"/>
      <c r="Y289" s="15"/>
      <c r="Z289" s="6"/>
      <c r="AA289" s="6"/>
      <c r="AB289" s="5"/>
      <c r="AC289" s="3"/>
      <c r="AD289" s="6">
        <v>0.641572</v>
      </c>
      <c r="AE289" s="6">
        <v>0.7024313999999999</v>
      </c>
      <c r="AF289" s="7">
        <v>239.84</v>
      </c>
      <c r="AG289" s="6">
        <v>0</v>
      </c>
      <c r="AH289" s="7">
        <v>0</v>
      </c>
      <c r="AI289" s="15">
        <v>1.3440034</v>
      </c>
      <c r="AJ289" s="6">
        <v>8.966000000000001</v>
      </c>
      <c r="AK289" s="3"/>
      <c r="AL289" s="6">
        <v>192.6952131577492</v>
      </c>
      <c r="AM289" s="6">
        <v>81.1469168</v>
      </c>
      <c r="AN289" s="6">
        <v>101.75794266</v>
      </c>
      <c r="AO289" s="6">
        <v>9.790353697749197</v>
      </c>
      <c r="AP289" s="6">
        <v>0</v>
      </c>
      <c r="AQ289" s="6">
        <v>0</v>
      </c>
      <c r="AR289" s="6">
        <v>0</v>
      </c>
      <c r="AS289" s="6">
        <v>0</v>
      </c>
      <c r="AT289" s="6">
        <v>0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0</v>
      </c>
      <c r="BB289" s="6">
        <v>0</v>
      </c>
      <c r="BC289" s="6"/>
      <c r="BD289" s="3"/>
      <c r="BE289" s="3"/>
      <c r="BF289" s="7">
        <v>2888.5012452346605</v>
      </c>
    </row>
    <row x14ac:dyDescent="0.25" r="290" customHeight="1" ht="12.75">
      <c r="A290" s="5" t="s">
        <v>325</v>
      </c>
      <c r="B290" s="3" t="s">
        <v>855</v>
      </c>
      <c r="C290" s="3" t="s">
        <v>866</v>
      </c>
      <c r="D290" s="3" t="s">
        <v>992</v>
      </c>
      <c r="E290" s="3"/>
      <c r="F290" s="6">
        <f>100*SUM(AM290:AO290)/AL290</f>
      </c>
      <c r="G290" s="6">
        <f>100*SUM(AP290)/AL290</f>
      </c>
      <c r="H290" s="6">
        <f>100*SUM(AQ290)/AL290</f>
      </c>
      <c r="I290" s="6">
        <f>100*SUM(AR290:BC290)/AL290</f>
      </c>
      <c r="J290" s="3"/>
      <c r="K290" s="6">
        <v>12.6</v>
      </c>
      <c r="L290" s="6">
        <v>1.2</v>
      </c>
      <c r="M290" s="6">
        <v>8.9</v>
      </c>
      <c r="N290" s="5">
        <v>68</v>
      </c>
      <c r="O290" s="6"/>
      <c r="P290" s="6"/>
      <c r="Q290" s="7"/>
      <c r="R290" s="6"/>
      <c r="S290" s="6"/>
      <c r="T290" s="6"/>
      <c r="U290" s="5"/>
      <c r="V290" s="6"/>
      <c r="W290" s="6"/>
      <c r="X290" s="6"/>
      <c r="Y290" s="15"/>
      <c r="Z290" s="6"/>
      <c r="AA290" s="6"/>
      <c r="AB290" s="5"/>
      <c r="AC290" s="3"/>
      <c r="AD290" s="6">
        <v>0.1512</v>
      </c>
      <c r="AE290" s="6">
        <v>1.1214</v>
      </c>
      <c r="AF290" s="7">
        <v>856.8</v>
      </c>
      <c r="AG290" s="6">
        <v>0</v>
      </c>
      <c r="AH290" s="7">
        <v>0</v>
      </c>
      <c r="AI290" s="15">
        <v>1.2726</v>
      </c>
      <c r="AJ290" s="6">
        <v>10.1</v>
      </c>
      <c r="AK290" s="3"/>
      <c r="AL290" s="6">
        <v>257.6267342154341</v>
      </c>
      <c r="AM290" s="6">
        <v>22.751472</v>
      </c>
      <c r="AN290" s="6">
        <v>193.26625900000002</v>
      </c>
      <c r="AO290" s="6">
        <v>41.609003215434086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/>
      <c r="BD290" s="3"/>
      <c r="BE290" s="3"/>
      <c r="BF290" s="7">
        <v>3246.0968511144697</v>
      </c>
    </row>
    <row x14ac:dyDescent="0.25" r="291" customHeight="1" ht="12.75">
      <c r="A291" s="5" t="s">
        <v>297</v>
      </c>
      <c r="B291" s="3" t="s">
        <v>855</v>
      </c>
      <c r="C291" s="3" t="s">
        <v>866</v>
      </c>
      <c r="D291" s="3" t="s">
        <v>989</v>
      </c>
      <c r="E291" s="3"/>
      <c r="F291" s="6">
        <f>100*SUM(AM291:AO291)/AL291</f>
      </c>
      <c r="G291" s="6">
        <f>100*SUM(AP291)/AL291</f>
      </c>
      <c r="H291" s="6">
        <f>100*SUM(AQ291)/AL291</f>
      </c>
      <c r="I291" s="6">
        <f>100*SUM(AR291:BC291)/AL291</f>
      </c>
      <c r="J291" s="3"/>
      <c r="K291" s="6">
        <v>94.5</v>
      </c>
      <c r="L291" s="6"/>
      <c r="M291" s="6">
        <v>1.27</v>
      </c>
      <c r="N291" s="6">
        <v>58.7</v>
      </c>
      <c r="O291" s="6"/>
      <c r="P291" s="6"/>
      <c r="Q291" s="7"/>
      <c r="R291" s="6"/>
      <c r="S291" s="6"/>
      <c r="T291" s="6"/>
      <c r="U291" s="5"/>
      <c r="V291" s="6"/>
      <c r="W291" s="6"/>
      <c r="X291" s="6"/>
      <c r="Y291" s="15"/>
      <c r="Z291" s="6"/>
      <c r="AA291" s="6"/>
      <c r="AB291" s="5"/>
      <c r="AC291" s="3"/>
      <c r="AD291" s="6">
        <v>0</v>
      </c>
      <c r="AE291" s="6">
        <v>1.20015</v>
      </c>
      <c r="AF291" s="7">
        <v>5547.150000000001</v>
      </c>
      <c r="AG291" s="6">
        <v>0</v>
      </c>
      <c r="AH291" s="7">
        <v>0</v>
      </c>
      <c r="AI291" s="15">
        <v>1.20015</v>
      </c>
      <c r="AJ291" s="6">
        <v>1.27</v>
      </c>
      <c r="AK291" s="3"/>
      <c r="AL291" s="6">
        <v>63.496803828617374</v>
      </c>
      <c r="AM291" s="6">
        <v>0</v>
      </c>
      <c r="AN291" s="6">
        <v>27.578443699999998</v>
      </c>
      <c r="AO291" s="6">
        <v>35.91836012861737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/>
      <c r="BD291" s="3"/>
      <c r="BE291" s="3"/>
      <c r="BF291" s="7">
        <v>6000.4479618043415</v>
      </c>
    </row>
    <row x14ac:dyDescent="0.25" r="292" customHeight="1" ht="12.75">
      <c r="A292" s="5" t="s">
        <v>386</v>
      </c>
      <c r="B292" s="3" t="s">
        <v>855</v>
      </c>
      <c r="C292" s="3" t="s">
        <v>866</v>
      </c>
      <c r="D292" s="3" t="s">
        <v>989</v>
      </c>
      <c r="E292" s="3"/>
      <c r="F292" s="6">
        <f>100*SUM(AM292:AO292)/AL292</f>
      </c>
      <c r="G292" s="6">
        <f>100*SUM(AP292)/AL292</f>
      </c>
      <c r="H292" s="6">
        <f>100*SUM(AQ292)/AL292</f>
      </c>
      <c r="I292" s="6">
        <f>100*SUM(AR292:BC292)/AL292</f>
      </c>
      <c r="J292" s="3"/>
      <c r="K292" s="6">
        <v>19.6</v>
      </c>
      <c r="L292" s="6">
        <v>2.8</v>
      </c>
      <c r="M292" s="6">
        <v>3.04</v>
      </c>
      <c r="N292" s="7">
        <v>56</v>
      </c>
      <c r="O292" s="6"/>
      <c r="P292" s="6"/>
      <c r="Q292" s="7"/>
      <c r="R292" s="6"/>
      <c r="S292" s="6"/>
      <c r="T292" s="6"/>
      <c r="U292" s="5"/>
      <c r="V292" s="6"/>
      <c r="W292" s="6"/>
      <c r="X292" s="6"/>
      <c r="Y292" s="15"/>
      <c r="Z292" s="6"/>
      <c r="AA292" s="6"/>
      <c r="AB292" s="5"/>
      <c r="AC292" s="3"/>
      <c r="AD292" s="6">
        <v>0.5488000000000001</v>
      </c>
      <c r="AE292" s="6">
        <v>0.59584</v>
      </c>
      <c r="AF292" s="7">
        <v>1097.6000000000001</v>
      </c>
      <c r="AG292" s="6">
        <v>0</v>
      </c>
      <c r="AH292" s="7">
        <v>0</v>
      </c>
      <c r="AI292" s="15">
        <v>1.14464</v>
      </c>
      <c r="AJ292" s="6">
        <v>5.84</v>
      </c>
      <c r="AK292" s="3"/>
      <c r="AL292" s="6">
        <v>153.36754834212218</v>
      </c>
      <c r="AM292" s="6">
        <v>53.08676799999999</v>
      </c>
      <c r="AN292" s="6">
        <v>66.0145424</v>
      </c>
      <c r="AO292" s="6">
        <v>34.26623794212219</v>
      </c>
      <c r="AP292" s="6">
        <v>0</v>
      </c>
      <c r="AQ292" s="6">
        <v>0</v>
      </c>
      <c r="AR292" s="6">
        <v>0</v>
      </c>
      <c r="AS292" s="6">
        <v>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/>
      <c r="BD292" s="3"/>
      <c r="BE292" s="3"/>
      <c r="BF292" s="7">
        <v>3006.003947505595</v>
      </c>
    </row>
    <row x14ac:dyDescent="0.25" r="293" customHeight="1" ht="12.75">
      <c r="A293" s="5" t="s">
        <v>404</v>
      </c>
      <c r="B293" s="3" t="s">
        <v>855</v>
      </c>
      <c r="C293" s="3" t="s">
        <v>866</v>
      </c>
      <c r="D293" s="3" t="s">
        <v>988</v>
      </c>
      <c r="E293" s="3"/>
      <c r="F293" s="6">
        <f>100*SUM(AM293:AO293)/AL293</f>
      </c>
      <c r="G293" s="6">
        <f>100*SUM(AP293)/AL293</f>
      </c>
      <c r="H293" s="6">
        <f>100*SUM(AQ293)/AL293</f>
      </c>
      <c r="I293" s="6">
        <f>100*SUM(AR293:BC293)/AL293</f>
      </c>
      <c r="J293" s="3"/>
      <c r="K293" s="6">
        <v>15.131</v>
      </c>
      <c r="L293" s="6">
        <v>1.1595790099795122</v>
      </c>
      <c r="M293" s="6">
        <v>5.8944769017249365</v>
      </c>
      <c r="N293" s="5"/>
      <c r="O293" s="6"/>
      <c r="P293" s="6"/>
      <c r="Q293" s="7"/>
      <c r="R293" s="6"/>
      <c r="S293" s="6"/>
      <c r="T293" s="6"/>
      <c r="U293" s="5"/>
      <c r="V293" s="6"/>
      <c r="W293" s="6"/>
      <c r="X293" s="6"/>
      <c r="Y293" s="15"/>
      <c r="Z293" s="6"/>
      <c r="AA293" s="6"/>
      <c r="AB293" s="5"/>
      <c r="AC293" s="3"/>
      <c r="AD293" s="6">
        <v>0.1754559</v>
      </c>
      <c r="AE293" s="6">
        <v>0.8918933000000001</v>
      </c>
      <c r="AF293" s="7">
        <v>0</v>
      </c>
      <c r="AG293" s="6">
        <v>0</v>
      </c>
      <c r="AH293" s="7">
        <v>0</v>
      </c>
      <c r="AI293" s="15">
        <v>1.0673492000000002</v>
      </c>
      <c r="AJ293" s="6">
        <v>7.054055911704449</v>
      </c>
      <c r="AK293" s="3"/>
      <c r="AL293" s="6">
        <v>149.98550102324367</v>
      </c>
      <c r="AM293" s="6">
        <v>21.985107814447158</v>
      </c>
      <c r="AN293" s="6">
        <v>128.0003932087965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/>
      <c r="BD293" s="3"/>
      <c r="BE293" s="3"/>
      <c r="BF293" s="7">
        <v>2269.4306159827</v>
      </c>
    </row>
    <row x14ac:dyDescent="0.25" r="294" customHeight="1" ht="12.75">
      <c r="A294" s="5" t="s">
        <v>214</v>
      </c>
      <c r="B294" s="3" t="s">
        <v>855</v>
      </c>
      <c r="C294" s="3" t="s">
        <v>866</v>
      </c>
      <c r="D294" s="3" t="s">
        <v>988</v>
      </c>
      <c r="E294" s="3"/>
      <c r="F294" s="6">
        <f>100*SUM(AM294:AO294)/AL294</f>
      </c>
      <c r="G294" s="6">
        <f>100*SUM(AP294)/AL294</f>
      </c>
      <c r="H294" s="6">
        <f>100*SUM(AQ294)/AL294</f>
      </c>
      <c r="I294" s="6">
        <f>100*SUM(AR294:BC294)/AL294</f>
      </c>
      <c r="J294" s="3"/>
      <c r="K294" s="6">
        <v>7.7</v>
      </c>
      <c r="L294" s="7">
        <v>1.5454545454545454</v>
      </c>
      <c r="M294" s="7">
        <v>10.60909090909091</v>
      </c>
      <c r="N294" s="31">
        <v>31.584415584415584</v>
      </c>
      <c r="O294" s="6"/>
      <c r="P294" s="6"/>
      <c r="Q294" s="7"/>
      <c r="R294" s="6"/>
      <c r="S294" s="6"/>
      <c r="T294" s="6"/>
      <c r="U294" s="5"/>
      <c r="V294" s="6"/>
      <c r="W294" s="6"/>
      <c r="X294" s="6"/>
      <c r="Y294" s="15"/>
      <c r="Z294" s="6"/>
      <c r="AA294" s="6"/>
      <c r="AB294" s="5"/>
      <c r="AC294" s="3"/>
      <c r="AD294" s="6">
        <v>0.11900000000000001</v>
      </c>
      <c r="AE294" s="6">
        <v>0.8169</v>
      </c>
      <c r="AF294" s="7">
        <v>243.20000000000002</v>
      </c>
      <c r="AG294" s="6">
        <v>0</v>
      </c>
      <c r="AH294" s="7">
        <v>0</v>
      </c>
      <c r="AI294" s="15">
        <v>0.9359</v>
      </c>
      <c r="AJ294" s="6">
        <v>12.154545454545454</v>
      </c>
      <c r="AK294" s="3"/>
      <c r="AL294" s="6">
        <v>279.00724858516725</v>
      </c>
      <c r="AM294" s="6">
        <v>29.301138181818178</v>
      </c>
      <c r="AN294" s="6">
        <v>230.3796979090909</v>
      </c>
      <c r="AO294" s="6">
        <v>19.326412494258154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/>
      <c r="BD294" s="3"/>
      <c r="BE294" s="3"/>
      <c r="BF294" s="7">
        <v>2148.355814105788</v>
      </c>
    </row>
    <row x14ac:dyDescent="0.25" r="295" customHeight="1" ht="12.75">
      <c r="A295" s="5" t="s">
        <v>448</v>
      </c>
      <c r="B295" s="3" t="s">
        <v>855</v>
      </c>
      <c r="C295" s="3" t="s">
        <v>866</v>
      </c>
      <c r="D295" s="3" t="s">
        <v>988</v>
      </c>
      <c r="E295" s="3"/>
      <c r="F295" s="6">
        <f>100*SUM(AM295:AO295)/AL295</f>
      </c>
      <c r="G295" s="6">
        <f>100*SUM(AP295)/AL295</f>
      </c>
      <c r="H295" s="6">
        <f>100*SUM(AQ295)/AL295</f>
      </c>
      <c r="I295" s="6">
        <f>100*SUM(AR295:BC295)/AL295</f>
      </c>
      <c r="J295" s="3"/>
      <c r="K295" s="6">
        <v>16.3</v>
      </c>
      <c r="L295" s="7">
        <v>1.6668711656441717</v>
      </c>
      <c r="M295" s="7">
        <v>4.031901840490797</v>
      </c>
      <c r="N295" s="31">
        <v>58.64417177914111</v>
      </c>
      <c r="O295" s="6"/>
      <c r="P295" s="6"/>
      <c r="Q295" s="7"/>
      <c r="R295" s="6"/>
      <c r="S295" s="6"/>
      <c r="T295" s="6"/>
      <c r="U295" s="5"/>
      <c r="V295" s="6"/>
      <c r="W295" s="6"/>
      <c r="X295" s="6"/>
      <c r="Y295" s="15"/>
      <c r="Z295" s="6"/>
      <c r="AA295" s="6"/>
      <c r="AB295" s="5"/>
      <c r="AC295" s="3"/>
      <c r="AD295" s="6">
        <v>0.2717</v>
      </c>
      <c r="AE295" s="6">
        <v>0.6572</v>
      </c>
      <c r="AF295" s="7">
        <v>955.9000000000001</v>
      </c>
      <c r="AG295" s="6">
        <v>0</v>
      </c>
      <c r="AH295" s="7">
        <v>0</v>
      </c>
      <c r="AI295" s="15">
        <v>0.9289000000000001</v>
      </c>
      <c r="AJ295" s="6">
        <v>5.698773006134969</v>
      </c>
      <c r="AK295" s="3"/>
      <c r="AL295" s="6">
        <v>155.0413412349634</v>
      </c>
      <c r="AM295" s="6">
        <v>31.60314387730061</v>
      </c>
      <c r="AN295" s="6">
        <v>87.55399835582821</v>
      </c>
      <c r="AO295" s="6">
        <v>35.88419900183458</v>
      </c>
      <c r="AP295" s="6">
        <v>0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/>
      <c r="BD295" s="3"/>
      <c r="BE295" s="3"/>
      <c r="BF295" s="7">
        <v>2527.1738621299037</v>
      </c>
    </row>
    <row x14ac:dyDescent="0.25" r="296" customHeight="1" ht="12.75">
      <c r="A296" s="5" t="s">
        <v>459</v>
      </c>
      <c r="B296" s="3" t="s">
        <v>855</v>
      </c>
      <c r="C296" s="3" t="s">
        <v>866</v>
      </c>
      <c r="D296" s="3" t="s">
        <v>989</v>
      </c>
      <c r="E296" s="3"/>
      <c r="F296" s="6">
        <f>100*SUM(AM296:AO296)/AL296</f>
      </c>
      <c r="G296" s="6">
        <f>100*SUM(AP296)/AL296</f>
      </c>
      <c r="H296" s="6">
        <f>100*SUM(AQ296)/AL296</f>
      </c>
      <c r="I296" s="6">
        <f>100*SUM(AR296:BC296)/AL296</f>
      </c>
      <c r="J296" s="3"/>
      <c r="K296" s="6">
        <v>16.7</v>
      </c>
      <c r="L296" s="6">
        <v>4.5</v>
      </c>
      <c r="M296" s="6">
        <v>0.7</v>
      </c>
      <c r="N296" s="5">
        <v>52</v>
      </c>
      <c r="O296" s="6"/>
      <c r="P296" s="6"/>
      <c r="Q296" s="7"/>
      <c r="R296" s="6"/>
      <c r="S296" s="6"/>
      <c r="T296" s="6"/>
      <c r="U296" s="5"/>
      <c r="V296" s="6"/>
      <c r="W296" s="6"/>
      <c r="X296" s="6"/>
      <c r="Y296" s="15"/>
      <c r="Z296" s="6"/>
      <c r="AA296" s="6"/>
      <c r="AB296" s="5"/>
      <c r="AC296" s="3"/>
      <c r="AD296" s="6">
        <v>0.7515</v>
      </c>
      <c r="AE296" s="6">
        <v>0.11689999999999999</v>
      </c>
      <c r="AF296" s="7">
        <v>868.4</v>
      </c>
      <c r="AG296" s="6">
        <v>0</v>
      </c>
      <c r="AH296" s="7">
        <v>0</v>
      </c>
      <c r="AI296" s="15">
        <v>0.8684</v>
      </c>
      <c r="AJ296" s="6">
        <v>5.2</v>
      </c>
      <c r="AK296" s="3"/>
      <c r="AL296" s="6">
        <v>132.33738651768488</v>
      </c>
      <c r="AM296" s="6">
        <v>85.31801999999999</v>
      </c>
      <c r="AN296" s="6">
        <v>15.200716999999997</v>
      </c>
      <c r="AO296" s="6">
        <v>31.81864951768489</v>
      </c>
      <c r="AP296" s="6">
        <v>0</v>
      </c>
      <c r="AQ296" s="6">
        <v>0</v>
      </c>
      <c r="AR296" s="6">
        <v>0</v>
      </c>
      <c r="AS296" s="6">
        <v>0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0</v>
      </c>
      <c r="BC296" s="6"/>
      <c r="BD296" s="3"/>
      <c r="BE296" s="3"/>
      <c r="BF296" s="7">
        <v>2210.0343548453375</v>
      </c>
    </row>
    <row x14ac:dyDescent="0.25" r="297" customHeight="1" ht="12.75">
      <c r="A297" s="5" t="s">
        <v>389</v>
      </c>
      <c r="B297" s="3" t="s">
        <v>855</v>
      </c>
      <c r="C297" s="3" t="s">
        <v>866</v>
      </c>
      <c r="D297" s="3" t="s">
        <v>988</v>
      </c>
      <c r="E297" s="3"/>
      <c r="F297" s="6">
        <f>100*SUM(AM297:AO297)/AL297</f>
      </c>
      <c r="G297" s="6">
        <f>100*SUM(AP297)/AL297</f>
      </c>
      <c r="H297" s="6">
        <f>100*SUM(AQ297)/AL297</f>
      </c>
      <c r="I297" s="6">
        <f>100*SUM(AR297:BC297)/AL297</f>
      </c>
      <c r="J297" s="3"/>
      <c r="K297" s="6">
        <v>8.82</v>
      </c>
      <c r="L297" s="7">
        <v>4.455510204081633</v>
      </c>
      <c r="M297" s="7">
        <v>4.556394557823129</v>
      </c>
      <c r="N297" s="31">
        <v>98.34013605442176</v>
      </c>
      <c r="O297" s="6"/>
      <c r="P297" s="6"/>
      <c r="Q297" s="7"/>
      <c r="R297" s="6"/>
      <c r="S297" s="6"/>
      <c r="T297" s="6"/>
      <c r="U297" s="5"/>
      <c r="V297" s="6"/>
      <c r="W297" s="6"/>
      <c r="X297" s="6"/>
      <c r="Y297" s="15"/>
      <c r="Z297" s="6"/>
      <c r="AA297" s="6"/>
      <c r="AB297" s="5"/>
      <c r="AC297" s="3"/>
      <c r="AD297" s="6">
        <v>0.39297600000000005</v>
      </c>
      <c r="AE297" s="6">
        <v>0.40187399999999995</v>
      </c>
      <c r="AF297" s="7">
        <v>867.36</v>
      </c>
      <c r="AG297" s="6">
        <v>0</v>
      </c>
      <c r="AH297" s="7">
        <v>0</v>
      </c>
      <c r="AI297" s="15">
        <v>0.7948500000000001</v>
      </c>
      <c r="AJ297" s="6">
        <v>9.011904761904763</v>
      </c>
      <c r="AK297" s="3"/>
      <c r="AL297" s="6">
        <v>243.59207801643808</v>
      </c>
      <c r="AM297" s="6">
        <v>84.47451304489796</v>
      </c>
      <c r="AN297" s="6">
        <v>98.94352030544218</v>
      </c>
      <c r="AO297" s="6">
        <v>60.174044666097956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0</v>
      </c>
      <c r="BC297" s="6"/>
      <c r="BD297" s="3"/>
      <c r="BE297" s="3"/>
      <c r="BF297" s="7">
        <v>2148.482128104984</v>
      </c>
    </row>
    <row x14ac:dyDescent="0.25" r="298" customHeight="1" ht="12.75">
      <c r="A298" s="5" t="s">
        <v>474</v>
      </c>
      <c r="B298" s="3" t="s">
        <v>855</v>
      </c>
      <c r="C298" s="3" t="s">
        <v>866</v>
      </c>
      <c r="D298" s="3" t="s">
        <v>988</v>
      </c>
      <c r="E298" s="3"/>
      <c r="F298" s="6">
        <f>100*SUM(AM298:AO298)/AL298</f>
      </c>
      <c r="G298" s="6">
        <f>100*SUM(AP298)/AL298</f>
      </c>
      <c r="H298" s="6">
        <f>100*SUM(AQ298)/AL298</f>
      </c>
      <c r="I298" s="6">
        <f>100*SUM(AR298:BC298)/AL298</f>
      </c>
      <c r="J298" s="3"/>
      <c r="K298" s="6">
        <v>11.14</v>
      </c>
      <c r="L298" s="6">
        <v>2.3538608617594257</v>
      </c>
      <c r="M298" s="6">
        <v>4.7060242369838425</v>
      </c>
      <c r="N298" s="5"/>
      <c r="O298" s="6"/>
      <c r="P298" s="6"/>
      <c r="Q298" s="7"/>
      <c r="R298" s="6"/>
      <c r="S298" s="6"/>
      <c r="T298" s="6"/>
      <c r="U298" s="5"/>
      <c r="V298" s="6"/>
      <c r="W298" s="6"/>
      <c r="X298" s="6"/>
      <c r="Y298" s="15"/>
      <c r="Z298" s="6"/>
      <c r="AA298" s="6"/>
      <c r="AB298" s="5"/>
      <c r="AC298" s="3"/>
      <c r="AD298" s="6">
        <v>0.26222010000000007</v>
      </c>
      <c r="AE298" s="6">
        <v>0.5242511000000001</v>
      </c>
      <c r="AF298" s="7">
        <v>0</v>
      </c>
      <c r="AG298" s="6">
        <v>0</v>
      </c>
      <c r="AH298" s="7">
        <v>0</v>
      </c>
      <c r="AI298" s="15">
        <v>0.7864712000000001</v>
      </c>
      <c r="AJ298" s="6">
        <v>7.059885098743268</v>
      </c>
      <c r="AK298" s="3"/>
      <c r="AL298" s="6">
        <v>146.82094141379713</v>
      </c>
      <c r="AM298" s="6">
        <v>44.62816624017953</v>
      </c>
      <c r="AN298" s="6">
        <v>102.1927751736176</v>
      </c>
      <c r="AO298" s="6">
        <v>0</v>
      </c>
      <c r="AP298" s="6">
        <v>0</v>
      </c>
      <c r="AQ298" s="6">
        <v>0</v>
      </c>
      <c r="AR298" s="6">
        <v>0</v>
      </c>
      <c r="AS298" s="6">
        <v>0</v>
      </c>
      <c r="AT298" s="6">
        <v>0</v>
      </c>
      <c r="AU298" s="6">
        <v>0</v>
      </c>
      <c r="AV298" s="6">
        <v>0</v>
      </c>
      <c r="AW298" s="6">
        <v>0</v>
      </c>
      <c r="AX298" s="6">
        <v>0</v>
      </c>
      <c r="AY298" s="6">
        <v>0</v>
      </c>
      <c r="AZ298" s="6">
        <v>0</v>
      </c>
      <c r="BA298" s="6">
        <v>0</v>
      </c>
      <c r="BB298" s="6">
        <v>0</v>
      </c>
      <c r="BC298" s="6"/>
      <c r="BD298" s="3"/>
      <c r="BE298" s="3"/>
      <c r="BF298" s="7">
        <v>1635.5852873497001</v>
      </c>
    </row>
    <row x14ac:dyDescent="0.25" r="299" customHeight="1" ht="12.75">
      <c r="A299" s="5" t="s">
        <v>492</v>
      </c>
      <c r="B299" s="3" t="s">
        <v>855</v>
      </c>
      <c r="C299" s="3" t="s">
        <v>866</v>
      </c>
      <c r="D299" s="3" t="s">
        <v>989</v>
      </c>
      <c r="E299" s="3"/>
      <c r="F299" s="6">
        <f>100*SUM(AM299:AO299)/AL299</f>
      </c>
      <c r="G299" s="6">
        <f>100*SUM(AP299)/AL299</f>
      </c>
      <c r="H299" s="6">
        <f>100*SUM(AQ299)/AL299</f>
      </c>
      <c r="I299" s="6">
        <f>100*SUM(AR299:BC299)/AL299</f>
      </c>
      <c r="J299" s="3"/>
      <c r="K299" s="6">
        <v>20.1</v>
      </c>
      <c r="L299" s="6"/>
      <c r="M299" s="6">
        <v>3.696761194029851</v>
      </c>
      <c r="N299" s="5"/>
      <c r="O299" s="6"/>
      <c r="P299" s="6"/>
      <c r="Q299" s="7"/>
      <c r="R299" s="6"/>
      <c r="S299" s="6"/>
      <c r="T299" s="6"/>
      <c r="U299" s="5"/>
      <c r="V299" s="6"/>
      <c r="W299" s="6"/>
      <c r="X299" s="6"/>
      <c r="Y299" s="15"/>
      <c r="Z299" s="6"/>
      <c r="AA299" s="6"/>
      <c r="AB299" s="5"/>
      <c r="AC299" s="3"/>
      <c r="AD299" s="6">
        <v>0</v>
      </c>
      <c r="AE299" s="6">
        <v>0.7430490000000001</v>
      </c>
      <c r="AF299" s="7">
        <v>0</v>
      </c>
      <c r="AG299" s="6">
        <v>0</v>
      </c>
      <c r="AH299" s="7">
        <v>0</v>
      </c>
      <c r="AI299" s="15">
        <v>0.7430490000000001</v>
      </c>
      <c r="AJ299" s="6">
        <v>3.696761194029851</v>
      </c>
      <c r="AK299" s="3"/>
      <c r="AL299" s="6">
        <v>80.27631532432837</v>
      </c>
      <c r="AM299" s="6">
        <v>0</v>
      </c>
      <c r="AN299" s="6">
        <v>80.27631532432837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6">
        <v>0</v>
      </c>
      <c r="BA299" s="6">
        <v>0</v>
      </c>
      <c r="BB299" s="6">
        <v>0</v>
      </c>
      <c r="BC299" s="6"/>
      <c r="BD299" s="3"/>
      <c r="BE299" s="3"/>
      <c r="BF299" s="7">
        <v>1613.5539380190003</v>
      </c>
    </row>
    <row x14ac:dyDescent="0.25" r="300" customHeight="1" ht="12.75">
      <c r="A300" s="5" t="s">
        <v>503</v>
      </c>
      <c r="B300" s="3" t="s">
        <v>855</v>
      </c>
      <c r="C300" s="3" t="s">
        <v>866</v>
      </c>
      <c r="D300" s="3"/>
      <c r="E300" s="3"/>
      <c r="F300" s="6">
        <f>100*SUM(AM300:AO300)/AL300</f>
      </c>
      <c r="G300" s="6">
        <f>100*SUM(AP300)/AL300</f>
      </c>
      <c r="H300" s="6">
        <f>100*SUM(AQ300)/AL300</f>
      </c>
      <c r="I300" s="6">
        <f>100*SUM(AR300:BC300)/AL300</f>
      </c>
      <c r="J300" s="3"/>
      <c r="K300" s="6">
        <v>9.205</v>
      </c>
      <c r="L300" s="6">
        <v>0.97</v>
      </c>
      <c r="M300" s="6">
        <v>6.6</v>
      </c>
      <c r="N300" s="5">
        <v>19</v>
      </c>
      <c r="O300" s="6"/>
      <c r="P300" s="6"/>
      <c r="Q300" s="7"/>
      <c r="R300" s="6"/>
      <c r="S300" s="6"/>
      <c r="T300" s="6"/>
      <c r="U300" s="5"/>
      <c r="V300" s="6"/>
      <c r="W300" s="6"/>
      <c r="X300" s="6"/>
      <c r="Y300" s="15"/>
      <c r="Z300" s="6"/>
      <c r="AA300" s="6"/>
      <c r="AB300" s="5"/>
      <c r="AC300" s="3"/>
      <c r="AD300" s="6">
        <v>0.0892885</v>
      </c>
      <c r="AE300" s="6">
        <v>0.60753</v>
      </c>
      <c r="AF300" s="7">
        <v>174.895</v>
      </c>
      <c r="AG300" s="6">
        <v>0</v>
      </c>
      <c r="AH300" s="7">
        <v>0</v>
      </c>
      <c r="AI300" s="15">
        <v>0.6968185</v>
      </c>
      <c r="AJ300" s="6">
        <v>7.569999999999999</v>
      </c>
      <c r="AK300" s="3"/>
      <c r="AL300" s="6">
        <v>173.33786421607715</v>
      </c>
      <c r="AM300" s="6">
        <v>18.390773199999998</v>
      </c>
      <c r="AN300" s="6">
        <v>143.321046</v>
      </c>
      <c r="AO300" s="6">
        <v>11.626045016077173</v>
      </c>
      <c r="AP300" s="6">
        <v>0</v>
      </c>
      <c r="AQ300" s="6">
        <v>0</v>
      </c>
      <c r="AR300" s="6">
        <v>0</v>
      </c>
      <c r="AS300" s="6">
        <v>0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0</v>
      </c>
      <c r="BB300" s="6">
        <v>0</v>
      </c>
      <c r="BC300" s="6"/>
      <c r="BD300" s="3"/>
      <c r="BE300" s="3"/>
      <c r="BF300" s="7">
        <v>1595.5750401089902</v>
      </c>
    </row>
    <row x14ac:dyDescent="0.25" r="301" customHeight="1" ht="12.75">
      <c r="A301" s="5" t="s">
        <v>460</v>
      </c>
      <c r="B301" s="3" t="s">
        <v>855</v>
      </c>
      <c r="C301" s="3" t="s">
        <v>866</v>
      </c>
      <c r="D301" s="3" t="s">
        <v>988</v>
      </c>
      <c r="E301" s="3"/>
      <c r="F301" s="6">
        <f>100*SUM(AM301:AO301)/AL301</f>
      </c>
      <c r="G301" s="6">
        <f>100*SUM(AP301)/AL301</f>
      </c>
      <c r="H301" s="6">
        <f>100*SUM(AQ301)/AL301</f>
      </c>
      <c r="I301" s="6">
        <f>100*SUM(AR301:BC301)/AL301</f>
      </c>
      <c r="J301" s="3"/>
      <c r="K301" s="6">
        <v>8.27</v>
      </c>
      <c r="L301" s="7">
        <v>2.421064087061669</v>
      </c>
      <c r="M301" s="7">
        <v>5.698101571946796</v>
      </c>
      <c r="N301" s="31">
        <v>35.54268440145103</v>
      </c>
      <c r="O301" s="6"/>
      <c r="P301" s="6"/>
      <c r="Q301" s="7"/>
      <c r="R301" s="6"/>
      <c r="S301" s="6"/>
      <c r="T301" s="6"/>
      <c r="U301" s="5"/>
      <c r="V301" s="6"/>
      <c r="W301" s="6"/>
      <c r="X301" s="6"/>
      <c r="Y301" s="15"/>
      <c r="Z301" s="6"/>
      <c r="AA301" s="6"/>
      <c r="AB301" s="5"/>
      <c r="AC301" s="3"/>
      <c r="AD301" s="6">
        <v>0.200222</v>
      </c>
      <c r="AE301" s="6">
        <v>0.471233</v>
      </c>
      <c r="AF301" s="7">
        <v>293.938</v>
      </c>
      <c r="AG301" s="6">
        <v>0</v>
      </c>
      <c r="AH301" s="7">
        <v>0</v>
      </c>
      <c r="AI301" s="15">
        <v>0.671455</v>
      </c>
      <c r="AJ301" s="6">
        <v>8.119165659008464</v>
      </c>
      <c r="AK301" s="3"/>
      <c r="AL301" s="6">
        <v>191.38681759740783</v>
      </c>
      <c r="AM301" s="6">
        <v>45.902309822490935</v>
      </c>
      <c r="AN301" s="6">
        <v>123.73604204631198</v>
      </c>
      <c r="AO301" s="6">
        <v>21.748465728604923</v>
      </c>
      <c r="AP301" s="6">
        <v>0</v>
      </c>
      <c r="AQ301" s="6">
        <v>0</v>
      </c>
      <c r="AR301" s="6">
        <v>0</v>
      </c>
      <c r="AS301" s="6">
        <v>0</v>
      </c>
      <c r="AT301" s="6">
        <v>0</v>
      </c>
      <c r="AU301" s="6">
        <v>0</v>
      </c>
      <c r="AV301" s="6">
        <v>0</v>
      </c>
      <c r="AW301" s="6">
        <v>0</v>
      </c>
      <c r="AX301" s="6">
        <v>0</v>
      </c>
      <c r="AY301" s="6">
        <v>0</v>
      </c>
      <c r="AZ301" s="6">
        <v>0</v>
      </c>
      <c r="BA301" s="6">
        <v>0</v>
      </c>
      <c r="BB301" s="6">
        <v>0</v>
      </c>
      <c r="BC301" s="6"/>
      <c r="BD301" s="3"/>
      <c r="BE301" s="3"/>
      <c r="BF301" s="7">
        <v>1582.7689815305625</v>
      </c>
    </row>
    <row x14ac:dyDescent="0.25" r="302" customHeight="1" ht="12.75">
      <c r="A302" s="5" t="s">
        <v>523</v>
      </c>
      <c r="B302" s="3" t="s">
        <v>855</v>
      </c>
      <c r="C302" s="3" t="s">
        <v>866</v>
      </c>
      <c r="D302" s="3" t="s">
        <v>988</v>
      </c>
      <c r="E302" s="3"/>
      <c r="F302" s="6">
        <f>100*SUM(AM302:AO302)/AL302</f>
      </c>
      <c r="G302" s="6">
        <f>100*SUM(AP302)/AL302</f>
      </c>
      <c r="H302" s="6">
        <f>100*SUM(AQ302)/AL302</f>
      </c>
      <c r="I302" s="6">
        <f>100*SUM(AR302:BC302)/AL302</f>
      </c>
      <c r="J302" s="3"/>
      <c r="K302" s="6">
        <v>12.1</v>
      </c>
      <c r="L302" s="6">
        <v>1.16</v>
      </c>
      <c r="M302" s="6">
        <v>4.31</v>
      </c>
      <c r="N302" s="5"/>
      <c r="O302" s="6"/>
      <c r="P302" s="6"/>
      <c r="Q302" s="7"/>
      <c r="R302" s="6"/>
      <c r="S302" s="6"/>
      <c r="T302" s="6"/>
      <c r="U302" s="5"/>
      <c r="V302" s="6"/>
      <c r="W302" s="6"/>
      <c r="X302" s="6"/>
      <c r="Y302" s="15"/>
      <c r="Z302" s="6"/>
      <c r="AA302" s="6"/>
      <c r="AB302" s="5"/>
      <c r="AC302" s="3"/>
      <c r="AD302" s="6">
        <v>0.14035999999999998</v>
      </c>
      <c r="AE302" s="6">
        <v>0.5215099999999999</v>
      </c>
      <c r="AF302" s="7">
        <v>0</v>
      </c>
      <c r="AG302" s="6">
        <v>0</v>
      </c>
      <c r="AH302" s="7">
        <v>0</v>
      </c>
      <c r="AI302" s="15">
        <v>0.66187</v>
      </c>
      <c r="AJ302" s="6">
        <v>5.47</v>
      </c>
      <c r="AK302" s="3"/>
      <c r="AL302" s="6">
        <v>115.58607569999998</v>
      </c>
      <c r="AM302" s="6">
        <v>21.993089599999998</v>
      </c>
      <c r="AN302" s="6">
        <v>93.59298609999999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0</v>
      </c>
      <c r="BA302" s="6">
        <v>0</v>
      </c>
      <c r="BB302" s="6">
        <v>0</v>
      </c>
      <c r="BC302" s="6"/>
      <c r="BD302" s="3"/>
      <c r="BE302" s="3"/>
      <c r="BF302" s="7">
        <v>1398.5915159699998</v>
      </c>
    </row>
    <row x14ac:dyDescent="0.25" r="303" customHeight="1" ht="12.75">
      <c r="A303" s="5" t="s">
        <v>565</v>
      </c>
      <c r="B303" s="3" t="s">
        <v>855</v>
      </c>
      <c r="C303" s="3" t="s">
        <v>866</v>
      </c>
      <c r="D303" s="3" t="s">
        <v>989</v>
      </c>
      <c r="E303" s="3"/>
      <c r="F303" s="6">
        <f>100*SUM(AM303:AO303)/AL303</f>
      </c>
      <c r="G303" s="6">
        <f>100*SUM(AP303)/AL303</f>
      </c>
      <c r="H303" s="6">
        <f>100*SUM(AQ303)/AL303</f>
      </c>
      <c r="I303" s="6">
        <f>100*SUM(AR303:BC303)/AL303</f>
      </c>
      <c r="J303" s="3"/>
      <c r="K303" s="6">
        <v>10.824000000000002</v>
      </c>
      <c r="L303" s="6">
        <v>1.1653492239467846</v>
      </c>
      <c r="M303" s="6">
        <v>4.150274390243902</v>
      </c>
      <c r="N303" s="7">
        <v>7.554871581670362</v>
      </c>
      <c r="O303" s="6"/>
      <c r="P303" s="6"/>
      <c r="Q303" s="7"/>
      <c r="R303" s="6"/>
      <c r="S303" s="6"/>
      <c r="T303" s="6"/>
      <c r="U303" s="5"/>
      <c r="V303" s="6"/>
      <c r="W303" s="6"/>
      <c r="X303" s="6"/>
      <c r="Y303" s="15"/>
      <c r="Z303" s="6"/>
      <c r="AA303" s="6"/>
      <c r="AB303" s="5"/>
      <c r="AC303" s="3"/>
      <c r="AD303" s="6">
        <v>0.12613739999999998</v>
      </c>
      <c r="AE303" s="6">
        <v>0.4492257</v>
      </c>
      <c r="AF303" s="7">
        <v>81.77393000000001</v>
      </c>
      <c r="AG303" s="6">
        <v>0</v>
      </c>
      <c r="AH303" s="7">
        <v>0</v>
      </c>
      <c r="AI303" s="15">
        <v>0.5753631</v>
      </c>
      <c r="AJ303" s="6">
        <v>5.315623614190686</v>
      </c>
      <c r="AK303" s="3"/>
      <c r="AL303" s="6">
        <v>116.84180755943146</v>
      </c>
      <c r="AM303" s="6">
        <v>22.094508532372497</v>
      </c>
      <c r="AN303" s="6">
        <v>90.12449496920729</v>
      </c>
      <c r="AO303" s="6">
        <v>4.622804057851672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6">
        <v>0</v>
      </c>
      <c r="BA303" s="6">
        <v>0</v>
      </c>
      <c r="BB303" s="6">
        <v>0</v>
      </c>
      <c r="BC303" s="6"/>
      <c r="BD303" s="3"/>
      <c r="BE303" s="3"/>
      <c r="BF303" s="7">
        <v>1264.6957250232863</v>
      </c>
    </row>
    <row x14ac:dyDescent="0.25" r="304" customHeight="1" ht="12.75">
      <c r="A304" s="5" t="s">
        <v>156</v>
      </c>
      <c r="B304" s="3" t="s">
        <v>855</v>
      </c>
      <c r="C304" s="3" t="s">
        <v>866</v>
      </c>
      <c r="D304" s="3" t="s">
        <v>989</v>
      </c>
      <c r="E304" s="3"/>
      <c r="F304" s="6">
        <f>100*SUM(AM304:AO304)/AL304</f>
      </c>
      <c r="G304" s="6">
        <f>100*SUM(AP304)/AL304</f>
      </c>
      <c r="H304" s="6">
        <f>100*SUM(AQ304)/AL304</f>
      </c>
      <c r="I304" s="6">
        <f>100*SUM(AR304:BC304)/AL304</f>
      </c>
      <c r="J304" s="3"/>
      <c r="K304" s="6">
        <v>3.8</v>
      </c>
      <c r="L304" s="6">
        <v>2.096315789473684</v>
      </c>
      <c r="M304" s="6">
        <v>12.555000000000001</v>
      </c>
      <c r="N304" s="5"/>
      <c r="O304" s="6"/>
      <c r="P304" s="6"/>
      <c r="Q304" s="7"/>
      <c r="R304" s="6"/>
      <c r="S304" s="6"/>
      <c r="T304" s="6"/>
      <c r="U304" s="5"/>
      <c r="V304" s="6"/>
      <c r="W304" s="6"/>
      <c r="X304" s="6"/>
      <c r="Y304" s="15"/>
      <c r="Z304" s="6"/>
      <c r="AA304" s="6"/>
      <c r="AB304" s="5"/>
      <c r="AC304" s="3"/>
      <c r="AD304" s="6">
        <v>0.07965999999999998</v>
      </c>
      <c r="AE304" s="6">
        <v>0.47709</v>
      </c>
      <c r="AF304" s="7">
        <v>0</v>
      </c>
      <c r="AG304" s="6">
        <v>0</v>
      </c>
      <c r="AH304" s="7">
        <v>0</v>
      </c>
      <c r="AI304" s="15">
        <v>0.55675</v>
      </c>
      <c r="AJ304" s="6">
        <v>14.651315789473685</v>
      </c>
      <c r="AK304" s="3"/>
      <c r="AL304" s="6">
        <v>312.3809420394737</v>
      </c>
      <c r="AM304" s="6">
        <v>39.74522498947368</v>
      </c>
      <c r="AN304" s="6">
        <v>272.63571705000004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/>
      <c r="BD304" s="3"/>
      <c r="BE304" s="3"/>
      <c r="BF304" s="7">
        <v>1187.04757975</v>
      </c>
    </row>
    <row x14ac:dyDescent="0.25" r="305" customHeight="1" ht="12.75">
      <c r="A305" s="5" t="s">
        <v>572</v>
      </c>
      <c r="B305" s="3" t="s">
        <v>855</v>
      </c>
      <c r="C305" s="3" t="s">
        <v>866</v>
      </c>
      <c r="D305" s="3"/>
      <c r="E305" s="3"/>
      <c r="F305" s="6">
        <f>100*SUM(AM305:AO305)/AL305</f>
      </c>
      <c r="G305" s="6">
        <f>100*SUM(AP305)/AL305</f>
      </c>
      <c r="H305" s="6">
        <f>100*SUM(AQ305)/AL305</f>
      </c>
      <c r="I305" s="6">
        <f>100*SUM(AR305:BC305)/AL305</f>
      </c>
      <c r="J305" s="3"/>
      <c r="K305" s="6">
        <v>24.381</v>
      </c>
      <c r="L305" s="6">
        <v>0.45</v>
      </c>
      <c r="M305" s="6">
        <v>1.81</v>
      </c>
      <c r="N305" s="6">
        <v>4.57</v>
      </c>
      <c r="O305" s="6"/>
      <c r="P305" s="6"/>
      <c r="Q305" s="7"/>
      <c r="R305" s="6"/>
      <c r="S305" s="6"/>
      <c r="T305" s="6"/>
      <c r="U305" s="5"/>
      <c r="V305" s="6"/>
      <c r="W305" s="6"/>
      <c r="X305" s="6"/>
      <c r="Y305" s="15"/>
      <c r="Z305" s="6"/>
      <c r="AA305" s="6"/>
      <c r="AB305" s="5"/>
      <c r="AC305" s="3"/>
      <c r="AD305" s="6">
        <v>0.1097145</v>
      </c>
      <c r="AE305" s="6">
        <v>0.44129609999999997</v>
      </c>
      <c r="AF305" s="7">
        <v>111.42117</v>
      </c>
      <c r="AG305" s="6">
        <v>0</v>
      </c>
      <c r="AH305" s="7">
        <v>0</v>
      </c>
      <c r="AI305" s="15">
        <v>0.5510106</v>
      </c>
      <c r="AJ305" s="6">
        <v>2.2600000000000002</v>
      </c>
      <c r="AK305" s="3"/>
      <c r="AL305" s="6">
        <v>50.632882874919616</v>
      </c>
      <c r="AM305" s="6">
        <v>8.531802</v>
      </c>
      <c r="AN305" s="6">
        <v>39.304711100000006</v>
      </c>
      <c r="AO305" s="6">
        <v>2.7963697749196146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/>
      <c r="BD305" s="3"/>
      <c r="BE305" s="3"/>
      <c r="BF305" s="7">
        <v>1234.4803173734151</v>
      </c>
    </row>
    <row x14ac:dyDescent="0.25" r="306" customHeight="1" ht="12.75">
      <c r="A306" s="5" t="s">
        <v>581</v>
      </c>
      <c r="B306" s="3" t="s">
        <v>855</v>
      </c>
      <c r="C306" s="3" t="s">
        <v>866</v>
      </c>
      <c r="D306" s="3" t="s">
        <v>989</v>
      </c>
      <c r="E306" s="3"/>
      <c r="F306" s="6">
        <f>100*SUM(AM306:AO306)/AL306</f>
      </c>
      <c r="G306" s="6">
        <f>100*SUM(AP306)/AL306</f>
      </c>
      <c r="H306" s="6">
        <f>100*SUM(AQ306)/AL306</f>
      </c>
      <c r="I306" s="6">
        <f>100*SUM(AR306:BC306)/AL306</f>
      </c>
      <c r="J306" s="3"/>
      <c r="K306" s="6">
        <v>11.522</v>
      </c>
      <c r="L306" s="6">
        <v>1.6307559451484115</v>
      </c>
      <c r="M306" s="6">
        <v>2.9680133657351155</v>
      </c>
      <c r="N306" s="5"/>
      <c r="O306" s="6"/>
      <c r="P306" s="6"/>
      <c r="Q306" s="7"/>
      <c r="R306" s="6"/>
      <c r="S306" s="6"/>
      <c r="T306" s="6"/>
      <c r="U306" s="5"/>
      <c r="V306" s="6"/>
      <c r="W306" s="6"/>
      <c r="X306" s="6"/>
      <c r="Y306" s="15"/>
      <c r="Z306" s="6"/>
      <c r="AA306" s="6"/>
      <c r="AB306" s="5"/>
      <c r="AC306" s="3"/>
      <c r="AD306" s="6">
        <v>0.18789569999999997</v>
      </c>
      <c r="AE306" s="6">
        <v>0.3419745</v>
      </c>
      <c r="AF306" s="7">
        <v>0</v>
      </c>
      <c r="AG306" s="6">
        <v>0</v>
      </c>
      <c r="AH306" s="7">
        <v>0</v>
      </c>
      <c r="AI306" s="15">
        <v>0.5298702</v>
      </c>
      <c r="AJ306" s="6">
        <v>4.598769310883527</v>
      </c>
      <c r="AK306" s="3"/>
      <c r="AL306" s="6">
        <v>95.36974550847943</v>
      </c>
      <c r="AM306" s="6">
        <v>30.91841518739801</v>
      </c>
      <c r="AN306" s="6">
        <v>64.45133032108141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/>
      <c r="BD306" s="3"/>
      <c r="BE306" s="3"/>
      <c r="BF306" s="7">
        <v>1098.8502077486999</v>
      </c>
    </row>
    <row x14ac:dyDescent="0.25" r="307" customHeight="1" ht="12.75">
      <c r="A307" s="5" t="s">
        <v>240</v>
      </c>
      <c r="B307" s="3" t="s">
        <v>855</v>
      </c>
      <c r="C307" s="3" t="s">
        <v>866</v>
      </c>
      <c r="D307" s="3" t="s">
        <v>988</v>
      </c>
      <c r="E307" s="3"/>
      <c r="F307" s="6">
        <f>100*SUM(AM307:AO307)/AL307</f>
      </c>
      <c r="G307" s="6">
        <f>100*SUM(AP307)/AL307</f>
      </c>
      <c r="H307" s="6">
        <f>100*SUM(AQ307)/AL307</f>
      </c>
      <c r="I307" s="6">
        <f>100*SUM(AR307:BC307)/AL307</f>
      </c>
      <c r="J307" s="3"/>
      <c r="K307" s="6">
        <v>4.425</v>
      </c>
      <c r="L307" s="7">
        <v>3</v>
      </c>
      <c r="M307" s="6">
        <v>8.6</v>
      </c>
      <c r="N307" s="6">
        <v>17.9</v>
      </c>
      <c r="O307" s="6"/>
      <c r="P307" s="6"/>
      <c r="Q307" s="7"/>
      <c r="R307" s="6"/>
      <c r="S307" s="6"/>
      <c r="T307" s="6"/>
      <c r="U307" s="5"/>
      <c r="V307" s="6"/>
      <c r="W307" s="6"/>
      <c r="X307" s="6"/>
      <c r="Y307" s="15"/>
      <c r="Z307" s="6"/>
      <c r="AA307" s="6"/>
      <c r="AB307" s="5"/>
      <c r="AC307" s="3"/>
      <c r="AD307" s="6">
        <v>0.13274999999999998</v>
      </c>
      <c r="AE307" s="6">
        <v>0.38055</v>
      </c>
      <c r="AF307" s="7">
        <v>79.2075</v>
      </c>
      <c r="AG307" s="6">
        <v>0</v>
      </c>
      <c r="AH307" s="7">
        <v>0</v>
      </c>
      <c r="AI307" s="15">
        <v>0.5133</v>
      </c>
      <c r="AJ307" s="6">
        <v>11.6</v>
      </c>
      <c r="AK307" s="3"/>
      <c r="AL307" s="6">
        <v>254.5833041993569</v>
      </c>
      <c r="AM307" s="6">
        <v>56.878679999999996</v>
      </c>
      <c r="AN307" s="6">
        <v>186.75166599999997</v>
      </c>
      <c r="AO307" s="6">
        <v>10.952958199356914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/>
      <c r="BD307" s="3"/>
      <c r="BE307" s="3"/>
      <c r="BF307" s="7">
        <v>1126.5311210821542</v>
      </c>
    </row>
    <row x14ac:dyDescent="0.25" r="308" customHeight="1" ht="12.75">
      <c r="A308" s="5" t="s">
        <v>498</v>
      </c>
      <c r="B308" s="3" t="s">
        <v>855</v>
      </c>
      <c r="C308" s="3" t="s">
        <v>866</v>
      </c>
      <c r="D308" s="3" t="s">
        <v>989</v>
      </c>
      <c r="E308" s="3"/>
      <c r="F308" s="6">
        <f>100*SUM(AM308:AO308)/AL308</f>
      </c>
      <c r="G308" s="6">
        <f>100*SUM(AP308)/AL308</f>
      </c>
      <c r="H308" s="6">
        <f>100*SUM(AQ308)/AL308</f>
      </c>
      <c r="I308" s="6">
        <f>100*SUM(AR308:BC308)/AL308</f>
      </c>
      <c r="J308" s="3"/>
      <c r="K308" s="6">
        <v>6.6</v>
      </c>
      <c r="L308" s="7">
        <v>1.187878787878788</v>
      </c>
      <c r="M308" s="7">
        <v>6.436363636363637</v>
      </c>
      <c r="N308" s="5"/>
      <c r="O308" s="6"/>
      <c r="P308" s="6"/>
      <c r="Q308" s="7"/>
      <c r="R308" s="6"/>
      <c r="S308" s="6"/>
      <c r="T308" s="6"/>
      <c r="U308" s="5"/>
      <c r="V308" s="6"/>
      <c r="W308" s="6"/>
      <c r="X308" s="6"/>
      <c r="Y308" s="15"/>
      <c r="Z308" s="6"/>
      <c r="AA308" s="6"/>
      <c r="AB308" s="5"/>
      <c r="AC308" s="3"/>
      <c r="AD308" s="6">
        <v>0.0784</v>
      </c>
      <c r="AE308" s="6">
        <v>0.42480000000000007</v>
      </c>
      <c r="AF308" s="7">
        <v>0</v>
      </c>
      <c r="AG308" s="6">
        <v>0</v>
      </c>
      <c r="AH308" s="7">
        <v>0</v>
      </c>
      <c r="AI308" s="15">
        <v>0.5032000000000001</v>
      </c>
      <c r="AJ308" s="6">
        <v>7.624242424242425</v>
      </c>
      <c r="AK308" s="3"/>
      <c r="AL308" s="6">
        <v>162.28929078787883</v>
      </c>
      <c r="AM308" s="6">
        <v>22.521659151515152</v>
      </c>
      <c r="AN308" s="6">
        <v>139.76763163636366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/>
      <c r="BD308" s="3"/>
      <c r="BE308" s="3"/>
      <c r="BF308" s="7">
        <v>1071.1093192000003</v>
      </c>
    </row>
    <row x14ac:dyDescent="0.25" r="309" customHeight="1" ht="12.75">
      <c r="A309" s="5" t="s">
        <v>623</v>
      </c>
      <c r="B309" s="3" t="s">
        <v>855</v>
      </c>
      <c r="C309" s="3" t="s">
        <v>866</v>
      </c>
      <c r="D309" s="3" t="s">
        <v>988</v>
      </c>
      <c r="E309" s="3"/>
      <c r="F309" s="6">
        <f>100*SUM(AM309:AO309)/AL309</f>
      </c>
      <c r="G309" s="6">
        <f>100*SUM(AP309)/AL309</f>
      </c>
      <c r="H309" s="6">
        <f>100*SUM(AQ309)/AL309</f>
      </c>
      <c r="I309" s="6">
        <f>100*SUM(AR309:BC309)/AL309</f>
      </c>
      <c r="J309" s="3"/>
      <c r="K309" s="6">
        <v>7.7</v>
      </c>
      <c r="L309" s="6">
        <v>2.6</v>
      </c>
      <c r="M309" s="6">
        <v>3.1</v>
      </c>
      <c r="N309" s="5">
        <v>27</v>
      </c>
      <c r="O309" s="6"/>
      <c r="P309" s="6"/>
      <c r="Q309" s="7"/>
      <c r="R309" s="6"/>
      <c r="S309" s="6"/>
      <c r="T309" s="6"/>
      <c r="U309" s="5"/>
      <c r="V309" s="6"/>
      <c r="W309" s="6"/>
      <c r="X309" s="6"/>
      <c r="Y309" s="15"/>
      <c r="Z309" s="6"/>
      <c r="AA309" s="6"/>
      <c r="AB309" s="5"/>
      <c r="AC309" s="3"/>
      <c r="AD309" s="6">
        <v>0.2002</v>
      </c>
      <c r="AE309" s="6">
        <v>0.23870000000000002</v>
      </c>
      <c r="AF309" s="7">
        <v>207.9</v>
      </c>
      <c r="AG309" s="6">
        <v>0</v>
      </c>
      <c r="AH309" s="7">
        <v>0</v>
      </c>
      <c r="AI309" s="15">
        <v>0.4389</v>
      </c>
      <c r="AJ309" s="6">
        <v>5.7</v>
      </c>
      <c r="AK309" s="3"/>
      <c r="AL309" s="6">
        <v>133.13353886495176</v>
      </c>
      <c r="AM309" s="6">
        <v>49.294856</v>
      </c>
      <c r="AN309" s="6">
        <v>67.317461</v>
      </c>
      <c r="AO309" s="6">
        <v>16.52122186495177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0</v>
      </c>
      <c r="BA309" s="6">
        <v>0</v>
      </c>
      <c r="BB309" s="6">
        <v>0</v>
      </c>
      <c r="BC309" s="6"/>
      <c r="BD309" s="3"/>
      <c r="BE309" s="3"/>
      <c r="BF309" s="7">
        <v>1025.1282492601285</v>
      </c>
    </row>
    <row x14ac:dyDescent="0.25" r="310" customHeight="1" ht="12.75">
      <c r="A310" s="5" t="s">
        <v>625</v>
      </c>
      <c r="B310" s="3" t="s">
        <v>855</v>
      </c>
      <c r="C310" s="3" t="s">
        <v>866</v>
      </c>
      <c r="D310" s="3" t="s">
        <v>988</v>
      </c>
      <c r="E310" s="3"/>
      <c r="F310" s="6">
        <f>100*SUM(AM310:AO310)/AL310</f>
      </c>
      <c r="G310" s="6">
        <f>100*SUM(AP310)/AL310</f>
      </c>
      <c r="H310" s="6">
        <f>100*SUM(AQ310)/AL310</f>
      </c>
      <c r="I310" s="6">
        <f>100*SUM(AR310:BC310)/AL310</f>
      </c>
      <c r="J310" s="3"/>
      <c r="K310" s="23">
        <v>8.852</v>
      </c>
      <c r="L310" s="6">
        <v>3.4649062358788973</v>
      </c>
      <c r="M310" s="6">
        <v>1.4796825576140984</v>
      </c>
      <c r="N310" s="5"/>
      <c r="O310" s="6"/>
      <c r="P310" s="6"/>
      <c r="Q310" s="7"/>
      <c r="R310" s="6"/>
      <c r="S310" s="6"/>
      <c r="T310" s="6"/>
      <c r="U310" s="5"/>
      <c r="V310" s="6"/>
      <c r="W310" s="6"/>
      <c r="X310" s="6"/>
      <c r="Y310" s="15"/>
      <c r="Z310" s="6"/>
      <c r="AA310" s="6"/>
      <c r="AB310" s="5"/>
      <c r="AC310" s="3"/>
      <c r="AD310" s="6">
        <v>0.30671350000000003</v>
      </c>
      <c r="AE310" s="6">
        <v>0.13098149999999997</v>
      </c>
      <c r="AF310" s="7">
        <v>0</v>
      </c>
      <c r="AG310" s="6">
        <v>0</v>
      </c>
      <c r="AH310" s="7">
        <v>0</v>
      </c>
      <c r="AI310" s="15">
        <v>0.437695</v>
      </c>
      <c r="AJ310" s="6">
        <v>4.944588793492995</v>
      </c>
      <c r="AK310" s="3"/>
      <c r="AL310" s="6">
        <v>97.8248631137031</v>
      </c>
      <c r="AM310" s="6">
        <v>65.6930976735201</v>
      </c>
      <c r="AN310" s="6">
        <v>32.131765440183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/>
      <c r="BD310" s="3"/>
      <c r="BE310" s="3"/>
      <c r="BF310" s="7">
        <v>865.9456882824999</v>
      </c>
    </row>
    <row x14ac:dyDescent="0.25" r="311" customHeight="1" ht="12.75">
      <c r="A311" s="5" t="s">
        <v>633</v>
      </c>
      <c r="B311" s="3" t="s">
        <v>855</v>
      </c>
      <c r="C311" s="3" t="s">
        <v>866</v>
      </c>
      <c r="D311" s="3" t="s">
        <v>988</v>
      </c>
      <c r="E311" s="3"/>
      <c r="F311" s="6">
        <f>100*SUM(AM311:AO311)/AL311</f>
      </c>
      <c r="G311" s="6">
        <f>100*SUM(AP311)/AL311</f>
      </c>
      <c r="H311" s="6">
        <f>100*SUM(AQ311)/AL311</f>
      </c>
      <c r="I311" s="6">
        <f>100*SUM(AR311:BC311)/AL311</f>
      </c>
      <c r="J311" s="3"/>
      <c r="K311" s="6">
        <v>7.8</v>
      </c>
      <c r="L311" s="7">
        <v>1</v>
      </c>
      <c r="M311" s="6">
        <v>4.2</v>
      </c>
      <c r="N311" s="5"/>
      <c r="O311" s="6"/>
      <c r="P311" s="6"/>
      <c r="Q311" s="7"/>
      <c r="R311" s="6"/>
      <c r="S311" s="6"/>
      <c r="T311" s="6"/>
      <c r="U311" s="5"/>
      <c r="V311" s="6"/>
      <c r="W311" s="6"/>
      <c r="X311" s="6"/>
      <c r="Y311" s="15"/>
      <c r="Z311" s="6"/>
      <c r="AA311" s="6"/>
      <c r="AB311" s="5"/>
      <c r="AC311" s="3"/>
      <c r="AD311" s="6">
        <v>0.078</v>
      </c>
      <c r="AE311" s="6">
        <v>0.3276</v>
      </c>
      <c r="AF311" s="7">
        <v>0</v>
      </c>
      <c r="AG311" s="6">
        <v>0</v>
      </c>
      <c r="AH311" s="7">
        <v>0</v>
      </c>
      <c r="AI311" s="15">
        <v>0.4056</v>
      </c>
      <c r="AJ311" s="6">
        <v>5.2</v>
      </c>
      <c r="AK311" s="3"/>
      <c r="AL311" s="6">
        <v>110.163862</v>
      </c>
      <c r="AM311" s="6">
        <v>18.95956</v>
      </c>
      <c r="AN311" s="6">
        <v>91.204302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/>
      <c r="BD311" s="3"/>
      <c r="BE311" s="3"/>
      <c r="BF311" s="7">
        <v>859.2781236</v>
      </c>
    </row>
    <row x14ac:dyDescent="0.25" r="312" customHeight="1" ht="12.75">
      <c r="A312" s="5" t="s">
        <v>456</v>
      </c>
      <c r="B312" s="3" t="s">
        <v>855</v>
      </c>
      <c r="C312" s="3" t="s">
        <v>866</v>
      </c>
      <c r="D312" s="3" t="s">
        <v>989</v>
      </c>
      <c r="E312" s="3"/>
      <c r="F312" s="6">
        <f>100*SUM(AM312:AO312)/AL312</f>
      </c>
      <c r="G312" s="6">
        <f>100*SUM(AP312)/AL312</f>
      </c>
      <c r="H312" s="6">
        <f>100*SUM(AQ312)/AL312</f>
      </c>
      <c r="I312" s="6">
        <f>100*SUM(AR312:BC312)/AL312</f>
      </c>
      <c r="J312" s="3"/>
      <c r="K312" s="6">
        <v>25.278000000000002</v>
      </c>
      <c r="L312" s="6">
        <v>0.879223039797452</v>
      </c>
      <c r="M312" s="6">
        <v>2.572462220112351</v>
      </c>
      <c r="N312" s="5"/>
      <c r="O312" s="6"/>
      <c r="P312" s="6"/>
      <c r="Q312" s="7"/>
      <c r="R312" s="6"/>
      <c r="S312" s="6"/>
      <c r="T312" s="6"/>
      <c r="U312" s="5"/>
      <c r="V312" s="6"/>
      <c r="W312" s="6"/>
      <c r="X312" s="6"/>
      <c r="Y312" s="15"/>
      <c r="Z312" s="6"/>
      <c r="AA312" s="6"/>
      <c r="AB312" s="5"/>
      <c r="AC312" s="3"/>
      <c r="AD312" s="6">
        <v>0.22224999999999995</v>
      </c>
      <c r="AE312" s="6">
        <v>0.650267</v>
      </c>
      <c r="AF312" s="7">
        <v>0</v>
      </c>
      <c r="AG312" s="6">
        <v>0</v>
      </c>
      <c r="AH312" s="7">
        <v>0</v>
      </c>
      <c r="AI312" s="15">
        <v>0.872517</v>
      </c>
      <c r="AJ312" s="6">
        <v>3.451685259909803</v>
      </c>
      <c r="AK312" s="3"/>
      <c r="AL312" s="6">
        <v>72.53149654945011</v>
      </c>
      <c r="AM312" s="6">
        <v>16.669681976422176</v>
      </c>
      <c r="AN312" s="6">
        <v>55.861814573027935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/>
      <c r="BD312" s="3"/>
      <c r="BE312" s="3"/>
      <c r="BF312" s="7">
        <v>1833.4511697770001</v>
      </c>
    </row>
    <row x14ac:dyDescent="0.25" r="313" customHeight="1" ht="12.75">
      <c r="A313" s="5" t="s">
        <v>589</v>
      </c>
      <c r="B313" s="3" t="s">
        <v>855</v>
      </c>
      <c r="C313" s="3" t="s">
        <v>866</v>
      </c>
      <c r="D313" s="3" t="s">
        <v>989</v>
      </c>
      <c r="E313" s="3"/>
      <c r="F313" s="6">
        <f>100*SUM(AM313:AO313)/AL313</f>
      </c>
      <c r="G313" s="6">
        <f>100*SUM(AP313)/AL313</f>
      </c>
      <c r="H313" s="6">
        <f>100*SUM(AQ313)/AL313</f>
      </c>
      <c r="I313" s="6">
        <f>100*SUM(AR313:BC313)/AL313</f>
      </c>
      <c r="J313" s="3"/>
      <c r="K313" s="23">
        <v>9.587897</v>
      </c>
      <c r="L313" s="7">
        <v>1.6194422927154934</v>
      </c>
      <c r="M313" s="7">
        <v>2.4419130493370966</v>
      </c>
      <c r="N313" s="31">
        <v>204.15895331374543</v>
      </c>
      <c r="O313" s="6"/>
      <c r="P313" s="6"/>
      <c r="Q313" s="7"/>
      <c r="R313" s="6"/>
      <c r="S313" s="6"/>
      <c r="T313" s="6"/>
      <c r="U313" s="5"/>
      <c r="V313" s="6"/>
      <c r="W313" s="6"/>
      <c r="X313" s="6"/>
      <c r="Y313" s="15"/>
      <c r="Z313" s="6"/>
      <c r="AA313" s="6"/>
      <c r="AB313" s="5"/>
      <c r="AC313" s="3"/>
      <c r="AD313" s="6">
        <v>0.155270459</v>
      </c>
      <c r="AE313" s="6">
        <v>0.234128108</v>
      </c>
      <c r="AF313" s="7">
        <v>1957.455016</v>
      </c>
      <c r="AG313" s="6">
        <v>0</v>
      </c>
      <c r="AH313" s="7">
        <v>0</v>
      </c>
      <c r="AI313" s="15">
        <v>0.389398567</v>
      </c>
      <c r="AJ313" s="6">
        <v>4.06135534205259</v>
      </c>
      <c r="AK313" s="3"/>
      <c r="AL313" s="6">
        <v>208.6550848936669</v>
      </c>
      <c r="AM313" s="6">
        <v>30.703913315276964</v>
      </c>
      <c r="AN313" s="6">
        <v>53.02689885940035</v>
      </c>
      <c r="AO313" s="6">
        <v>124.92427271898958</v>
      </c>
      <c r="AP313" s="6">
        <v>0</v>
      </c>
      <c r="AQ313" s="6">
        <v>0</v>
      </c>
      <c r="AR313" s="6">
        <v>0</v>
      </c>
      <c r="AS313" s="6">
        <v>0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6">
        <v>0</v>
      </c>
      <c r="BA313" s="6">
        <v>0</v>
      </c>
      <c r="BB313" s="6">
        <v>0</v>
      </c>
      <c r="BC313" s="6"/>
      <c r="BD313" s="3"/>
      <c r="BE313" s="3"/>
      <c r="BF313" s="7">
        <v>2000.5634624867341</v>
      </c>
    </row>
    <row x14ac:dyDescent="0.25" r="314" customHeight="1" ht="12.75">
      <c r="A314" s="5" t="s">
        <v>659</v>
      </c>
      <c r="B314" s="3" t="s">
        <v>855</v>
      </c>
      <c r="C314" s="3" t="s">
        <v>866</v>
      </c>
      <c r="D314" s="3" t="s">
        <v>988</v>
      </c>
      <c r="E314" s="3"/>
      <c r="F314" s="6">
        <f>100*SUM(AM314:AO314)/AL314</f>
      </c>
      <c r="G314" s="6">
        <f>100*SUM(AP314)/AL314</f>
      </c>
      <c r="H314" s="6">
        <f>100*SUM(AQ314)/AL314</f>
      </c>
      <c r="I314" s="6">
        <f>100*SUM(AR314:BC314)/AL314</f>
      </c>
      <c r="J314" s="3"/>
      <c r="K314" s="6">
        <v>6.18</v>
      </c>
      <c r="L314" s="6">
        <v>1.23</v>
      </c>
      <c r="M314" s="6">
        <v>4.55</v>
      </c>
      <c r="N314" s="5"/>
      <c r="O314" s="6"/>
      <c r="P314" s="6"/>
      <c r="Q314" s="7"/>
      <c r="R314" s="6"/>
      <c r="S314" s="6"/>
      <c r="T314" s="6"/>
      <c r="U314" s="5"/>
      <c r="V314" s="6"/>
      <c r="W314" s="6"/>
      <c r="X314" s="6"/>
      <c r="Y314" s="15"/>
      <c r="Z314" s="6"/>
      <c r="AA314" s="6"/>
      <c r="AB314" s="5"/>
      <c r="AC314" s="3"/>
      <c r="AD314" s="6">
        <v>0.076014</v>
      </c>
      <c r="AE314" s="6">
        <v>0.28118999999999994</v>
      </c>
      <c r="AF314" s="7">
        <v>0</v>
      </c>
      <c r="AG314" s="6">
        <v>0</v>
      </c>
      <c r="AH314" s="7">
        <v>0</v>
      </c>
      <c r="AI314" s="15">
        <v>0.35720399999999997</v>
      </c>
      <c r="AJ314" s="6">
        <v>5.779999999999999</v>
      </c>
      <c r="AK314" s="3"/>
      <c r="AL314" s="6">
        <v>122.12491929999999</v>
      </c>
      <c r="AM314" s="6">
        <v>23.320258799999998</v>
      </c>
      <c r="AN314" s="6">
        <v>98.8046605</v>
      </c>
      <c r="AO314" s="6">
        <v>0</v>
      </c>
      <c r="AP314" s="6">
        <v>0</v>
      </c>
      <c r="AQ314" s="6">
        <v>0</v>
      </c>
      <c r="AR314" s="6">
        <v>0</v>
      </c>
      <c r="AS314" s="6">
        <v>0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6">
        <v>0</v>
      </c>
      <c r="BA314" s="6">
        <v>0</v>
      </c>
      <c r="BB314" s="6">
        <v>0</v>
      </c>
      <c r="BC314" s="6"/>
      <c r="BD314" s="3"/>
      <c r="BE314" s="3"/>
      <c r="BF314" s="7">
        <v>754.7320012739999</v>
      </c>
    </row>
    <row x14ac:dyDescent="0.25" r="315" customHeight="1" ht="12.75">
      <c r="A315" s="5" t="s">
        <v>661</v>
      </c>
      <c r="B315" s="3" t="s">
        <v>855</v>
      </c>
      <c r="C315" s="3" t="s">
        <v>866</v>
      </c>
      <c r="D315" s="3" t="s">
        <v>993</v>
      </c>
      <c r="E315" s="3"/>
      <c r="F315" s="6">
        <f>100*SUM(AM315:AO315)/AL315</f>
      </c>
      <c r="G315" s="6">
        <f>100*SUM(AP315)/AL315</f>
      </c>
      <c r="H315" s="6">
        <f>100*SUM(AQ315)/AL315</f>
      </c>
      <c r="I315" s="6">
        <f>100*SUM(AR315:BC315)/AL315</f>
      </c>
      <c r="J315" s="3"/>
      <c r="K315" s="5">
        <v>8</v>
      </c>
      <c r="L315" s="6"/>
      <c r="M315" s="6">
        <v>4.42</v>
      </c>
      <c r="N315" s="7">
        <v>19.593</v>
      </c>
      <c r="O315" s="6"/>
      <c r="P315" s="6"/>
      <c r="Q315" s="7"/>
      <c r="R315" s="6"/>
      <c r="S315" s="6"/>
      <c r="T315" s="6"/>
      <c r="U315" s="5"/>
      <c r="V315" s="6"/>
      <c r="W315" s="6"/>
      <c r="X315" s="6"/>
      <c r="Y315" s="15"/>
      <c r="Z315" s="6"/>
      <c r="AA315" s="6"/>
      <c r="AB315" s="5"/>
      <c r="AC315" s="3"/>
      <c r="AD315" s="6">
        <v>0</v>
      </c>
      <c r="AE315" s="6">
        <v>0.35359999999999997</v>
      </c>
      <c r="AF315" s="7">
        <v>156.744</v>
      </c>
      <c r="AG315" s="6">
        <v>0</v>
      </c>
      <c r="AH315" s="7">
        <v>0</v>
      </c>
      <c r="AI315" s="15">
        <v>0.35359999999999997</v>
      </c>
      <c r="AJ315" s="6">
        <v>4.42</v>
      </c>
      <c r="AK315" s="3"/>
      <c r="AL315" s="6">
        <v>107.9705702</v>
      </c>
      <c r="AM315" s="6">
        <v>0</v>
      </c>
      <c r="AN315" s="6">
        <v>95.9816702</v>
      </c>
      <c r="AO315" s="6">
        <v>11.988900000000001</v>
      </c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/>
      <c r="BD315" s="3"/>
      <c r="BE315" s="3"/>
      <c r="BF315" s="7">
        <v>863.7645616</v>
      </c>
    </row>
    <row x14ac:dyDescent="0.25" r="316" customHeight="1" ht="12.75">
      <c r="A316" s="5" t="s">
        <v>663</v>
      </c>
      <c r="B316" s="3" t="s">
        <v>855</v>
      </c>
      <c r="C316" s="3" t="s">
        <v>866</v>
      </c>
      <c r="D316" s="3"/>
      <c r="E316" s="3"/>
      <c r="F316" s="6">
        <f>100*SUM(AM316:AO316)/AL316</f>
      </c>
      <c r="G316" s="6">
        <f>100*SUM(AP316)/AL316</f>
      </c>
      <c r="H316" s="6">
        <f>100*SUM(AQ316)/AL316</f>
      </c>
      <c r="I316" s="6">
        <f>100*SUM(AR316:BC316)/AL316</f>
      </c>
      <c r="J316" s="3"/>
      <c r="K316" s="6">
        <v>10.9</v>
      </c>
      <c r="L316" s="6">
        <v>1.4</v>
      </c>
      <c r="M316" s="6">
        <v>1.8</v>
      </c>
      <c r="N316" s="5"/>
      <c r="O316" s="6"/>
      <c r="P316" s="6"/>
      <c r="Q316" s="7"/>
      <c r="R316" s="6"/>
      <c r="S316" s="6"/>
      <c r="T316" s="6"/>
      <c r="U316" s="5"/>
      <c r="V316" s="6"/>
      <c r="W316" s="6"/>
      <c r="X316" s="6"/>
      <c r="Y316" s="15"/>
      <c r="Z316" s="6"/>
      <c r="AA316" s="6"/>
      <c r="AB316" s="5"/>
      <c r="AC316" s="3"/>
      <c r="AD316" s="6">
        <v>0.15259999999999999</v>
      </c>
      <c r="AE316" s="6">
        <v>0.1962</v>
      </c>
      <c r="AF316" s="7">
        <v>0</v>
      </c>
      <c r="AG316" s="6">
        <v>0</v>
      </c>
      <c r="AH316" s="7">
        <v>0</v>
      </c>
      <c r="AI316" s="15">
        <v>0.3488</v>
      </c>
      <c r="AJ316" s="6">
        <v>3.2</v>
      </c>
      <c r="AK316" s="3"/>
      <c r="AL316" s="6">
        <v>65.630942</v>
      </c>
      <c r="AM316" s="6">
        <v>26.543383999999996</v>
      </c>
      <c r="AN316" s="6">
        <v>39.087558</v>
      </c>
      <c r="AO316" s="6">
        <v>0</v>
      </c>
      <c r="AP316" s="6">
        <v>0</v>
      </c>
      <c r="AQ316" s="6">
        <v>0</v>
      </c>
      <c r="AR316" s="6">
        <v>0</v>
      </c>
      <c r="AS316" s="6">
        <v>0</v>
      </c>
      <c r="AT316" s="6">
        <v>0</v>
      </c>
      <c r="AU316" s="6">
        <v>0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0</v>
      </c>
      <c r="BC316" s="6"/>
      <c r="BD316" s="3"/>
      <c r="BE316" s="3"/>
      <c r="BF316" s="7">
        <v>715.3772678</v>
      </c>
    </row>
    <row x14ac:dyDescent="0.25" r="317" customHeight="1" ht="12.75">
      <c r="A317" s="5" t="s">
        <v>73</v>
      </c>
      <c r="B317" s="3" t="s">
        <v>855</v>
      </c>
      <c r="C317" s="3" t="s">
        <v>866</v>
      </c>
      <c r="D317" s="3" t="s">
        <v>988</v>
      </c>
      <c r="E317" s="3"/>
      <c r="F317" s="6">
        <f>100*SUM(AM317:AO317)/AL317</f>
      </c>
      <c r="G317" s="6">
        <f>100*SUM(AP317)/AL317</f>
      </c>
      <c r="H317" s="6">
        <f>100*SUM(AQ317)/AL317</f>
      </c>
      <c r="I317" s="6">
        <f>100*SUM(AR317:BC317)/AL317</f>
      </c>
      <c r="J317" s="3"/>
      <c r="K317" s="6">
        <v>1.6</v>
      </c>
      <c r="L317" s="6">
        <v>13.9</v>
      </c>
      <c r="M317" s="6">
        <v>5.1</v>
      </c>
      <c r="N317" s="5">
        <v>157</v>
      </c>
      <c r="O317" s="6"/>
      <c r="P317" s="6"/>
      <c r="Q317" s="7"/>
      <c r="R317" s="6"/>
      <c r="S317" s="6"/>
      <c r="T317" s="6"/>
      <c r="U317" s="5"/>
      <c r="V317" s="6"/>
      <c r="W317" s="6"/>
      <c r="X317" s="6"/>
      <c r="Y317" s="15"/>
      <c r="Z317" s="6"/>
      <c r="AA317" s="6"/>
      <c r="AB317" s="5"/>
      <c r="AC317" s="3"/>
      <c r="AD317" s="6">
        <v>0.22240000000000001</v>
      </c>
      <c r="AE317" s="6">
        <v>0.0816</v>
      </c>
      <c r="AF317" s="7">
        <v>251.20000000000002</v>
      </c>
      <c r="AG317" s="6">
        <v>0</v>
      </c>
      <c r="AH317" s="7">
        <v>0</v>
      </c>
      <c r="AI317" s="15">
        <v>0.30400000000000005</v>
      </c>
      <c r="AJ317" s="6">
        <v>19</v>
      </c>
      <c r="AK317" s="3"/>
      <c r="AL317" s="6">
        <v>470.353810659164</v>
      </c>
      <c r="AM317" s="6">
        <v>263.537884</v>
      </c>
      <c r="AN317" s="6">
        <v>110.74808099999998</v>
      </c>
      <c r="AO317" s="6">
        <v>96.06784565916399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/>
      <c r="BD317" s="3"/>
      <c r="BE317" s="3"/>
      <c r="BF317" s="7">
        <v>752.5660970546625</v>
      </c>
    </row>
    <row x14ac:dyDescent="0.25" r="318" customHeight="1" ht="12.75">
      <c r="A318" s="5" t="s">
        <v>681</v>
      </c>
      <c r="B318" s="3" t="s">
        <v>855</v>
      </c>
      <c r="C318" s="3" t="s">
        <v>866</v>
      </c>
      <c r="D318" s="3" t="s">
        <v>989</v>
      </c>
      <c r="E318" s="3"/>
      <c r="F318" s="6">
        <f>100*SUM(AM318:AO318)/AL318</f>
      </c>
      <c r="G318" s="6">
        <f>100*SUM(AP318)/AL318</f>
      </c>
      <c r="H318" s="6">
        <f>100*SUM(AQ318)/AL318</f>
      </c>
      <c r="I318" s="6">
        <f>100*SUM(AR318:BC318)/AL318</f>
      </c>
      <c r="J318" s="3"/>
      <c r="K318" s="6">
        <v>10.4</v>
      </c>
      <c r="L318" s="6">
        <v>0.2</v>
      </c>
      <c r="M318" s="6">
        <v>2.7</v>
      </c>
      <c r="N318" s="5">
        <v>1</v>
      </c>
      <c r="O318" s="6"/>
      <c r="P318" s="6"/>
      <c r="Q318" s="7"/>
      <c r="R318" s="6"/>
      <c r="S318" s="6"/>
      <c r="T318" s="6"/>
      <c r="U318" s="5"/>
      <c r="V318" s="6"/>
      <c r="W318" s="6"/>
      <c r="X318" s="6"/>
      <c r="Y318" s="15"/>
      <c r="Z318" s="6"/>
      <c r="AA318" s="6"/>
      <c r="AB318" s="5"/>
      <c r="AC318" s="3"/>
      <c r="AD318" s="6">
        <v>0.0208</v>
      </c>
      <c r="AE318" s="6">
        <v>0.2808</v>
      </c>
      <c r="AF318" s="7">
        <v>10.4</v>
      </c>
      <c r="AG318" s="6">
        <v>0</v>
      </c>
      <c r="AH318" s="7">
        <v>0</v>
      </c>
      <c r="AI318" s="15">
        <v>0.3016</v>
      </c>
      <c r="AJ318" s="6">
        <v>2.9000000000000004</v>
      </c>
      <c r="AK318" s="3"/>
      <c r="AL318" s="6">
        <v>63.03514610610932</v>
      </c>
      <c r="AM318" s="6">
        <v>3.791912</v>
      </c>
      <c r="AN318" s="6">
        <v>58.631337</v>
      </c>
      <c r="AO318" s="6">
        <v>0.6118971061093248</v>
      </c>
      <c r="AP318" s="6">
        <v>0</v>
      </c>
      <c r="AQ318" s="6">
        <v>0</v>
      </c>
      <c r="AR318" s="6">
        <v>0</v>
      </c>
      <c r="AS318" s="6">
        <v>0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0</v>
      </c>
      <c r="BC318" s="6"/>
      <c r="BD318" s="3"/>
      <c r="BE318" s="3"/>
      <c r="BF318" s="7">
        <v>655.565519503537</v>
      </c>
    </row>
    <row x14ac:dyDescent="0.25" r="319" customHeight="1" ht="12.75">
      <c r="A319" s="5" t="s">
        <v>691</v>
      </c>
      <c r="B319" s="3" t="s">
        <v>855</v>
      </c>
      <c r="C319" s="3" t="s">
        <v>866</v>
      </c>
      <c r="D319" s="3" t="s">
        <v>988</v>
      </c>
      <c r="E319" s="3"/>
      <c r="F319" s="6">
        <f>100*SUM(AM319:AO319)/AL319</f>
      </c>
      <c r="G319" s="6">
        <f>100*SUM(AP319)/AL319</f>
      </c>
      <c r="H319" s="6">
        <f>100*SUM(AQ319)/AL319</f>
      </c>
      <c r="I319" s="6">
        <f>100*SUM(AR319:BC319)/AL319</f>
      </c>
      <c r="J319" s="3"/>
      <c r="K319" s="6">
        <v>6.85</v>
      </c>
      <c r="L319" s="6">
        <v>0.9</v>
      </c>
      <c r="M319" s="6">
        <v>3.2</v>
      </c>
      <c r="N319" s="5"/>
      <c r="O319" s="6"/>
      <c r="P319" s="6"/>
      <c r="Q319" s="7"/>
      <c r="R319" s="6"/>
      <c r="S319" s="6"/>
      <c r="T319" s="6"/>
      <c r="U319" s="5"/>
      <c r="V319" s="6"/>
      <c r="W319" s="6"/>
      <c r="X319" s="6"/>
      <c r="Y319" s="15"/>
      <c r="Z319" s="6"/>
      <c r="AA319" s="6"/>
      <c r="AB319" s="5"/>
      <c r="AC319" s="3"/>
      <c r="AD319" s="6">
        <v>0.06165</v>
      </c>
      <c r="AE319" s="6">
        <v>0.2192</v>
      </c>
      <c r="AF319" s="7">
        <v>0</v>
      </c>
      <c r="AG319" s="6">
        <v>0</v>
      </c>
      <c r="AH319" s="7">
        <v>0</v>
      </c>
      <c r="AI319" s="15">
        <v>0.28085</v>
      </c>
      <c r="AJ319" s="6">
        <v>4.1000000000000005</v>
      </c>
      <c r="AK319" s="3"/>
      <c r="AL319" s="6">
        <v>86.552596</v>
      </c>
      <c r="AM319" s="6">
        <v>17.063604</v>
      </c>
      <c r="AN319" s="6">
        <v>69.488992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/>
      <c r="BD319" s="3"/>
      <c r="BE319" s="3"/>
      <c r="BF319" s="7">
        <v>592.8852826</v>
      </c>
    </row>
    <row x14ac:dyDescent="0.25" r="320" customHeight="1" ht="12.75">
      <c r="A320" s="5" t="s">
        <v>275</v>
      </c>
      <c r="B320" s="3" t="s">
        <v>855</v>
      </c>
      <c r="C320" s="3" t="s">
        <v>866</v>
      </c>
      <c r="D320" s="3" t="s">
        <v>989</v>
      </c>
      <c r="E320" s="3"/>
      <c r="F320" s="6">
        <f>100*SUM(AM320:AO320)/AL320</f>
      </c>
      <c r="G320" s="6">
        <f>100*SUM(AP320)/AL320</f>
      </c>
      <c r="H320" s="6">
        <f>100*SUM(AQ320)/AL320</f>
      </c>
      <c r="I320" s="6">
        <f>100*SUM(AR320:BC320)/AL320</f>
      </c>
      <c r="J320" s="3"/>
      <c r="K320" s="23">
        <v>2.494758</v>
      </c>
      <c r="L320" s="6"/>
      <c r="M320" s="5">
        <v>11</v>
      </c>
      <c r="N320" s="5"/>
      <c r="O320" s="6"/>
      <c r="P320" s="6"/>
      <c r="Q320" s="7"/>
      <c r="R320" s="6"/>
      <c r="S320" s="6"/>
      <c r="T320" s="6"/>
      <c r="U320" s="5"/>
      <c r="V320" s="6"/>
      <c r="W320" s="6"/>
      <c r="X320" s="6"/>
      <c r="Y320" s="15"/>
      <c r="Z320" s="6"/>
      <c r="AA320" s="6"/>
      <c r="AB320" s="5"/>
      <c r="AC320" s="3"/>
      <c r="AD320" s="6">
        <v>0</v>
      </c>
      <c r="AE320" s="6">
        <v>0.27442338</v>
      </c>
      <c r="AF320" s="7">
        <v>0</v>
      </c>
      <c r="AG320" s="6">
        <v>0</v>
      </c>
      <c r="AH320" s="7">
        <v>0</v>
      </c>
      <c r="AI320" s="15">
        <v>0.27442338</v>
      </c>
      <c r="AJ320" s="6">
        <v>11</v>
      </c>
      <c r="AK320" s="3"/>
      <c r="AL320" s="6">
        <v>238.86840999999998</v>
      </c>
      <c r="AM320" s="6">
        <v>0</v>
      </c>
      <c r="AN320" s="6">
        <v>238.86840999999998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  <c r="AV320" s="6">
        <v>0</v>
      </c>
      <c r="AW320" s="6">
        <v>0</v>
      </c>
      <c r="AX320" s="6">
        <v>0</v>
      </c>
      <c r="AY320" s="6">
        <v>0</v>
      </c>
      <c r="AZ320" s="6">
        <v>0</v>
      </c>
      <c r="BA320" s="6">
        <v>0</v>
      </c>
      <c r="BB320" s="6">
        <v>0</v>
      </c>
      <c r="BC320" s="6"/>
      <c r="BD320" s="3"/>
      <c r="BE320" s="3"/>
      <c r="BF320" s="7">
        <v>595.91887679478</v>
      </c>
    </row>
    <row x14ac:dyDescent="0.25" r="321" customHeight="1" ht="12.75">
      <c r="A321" s="5" t="s">
        <v>699</v>
      </c>
      <c r="B321" s="3" t="s">
        <v>855</v>
      </c>
      <c r="C321" s="3" t="s">
        <v>866</v>
      </c>
      <c r="D321" s="3" t="s">
        <v>988</v>
      </c>
      <c r="E321" s="3"/>
      <c r="F321" s="6">
        <f>100*SUM(AM321:AO321)/AL321</f>
      </c>
      <c r="G321" s="6">
        <f>100*SUM(AP321)/AL321</f>
      </c>
      <c r="H321" s="6">
        <f>100*SUM(AQ321)/AL321</f>
      </c>
      <c r="I321" s="6">
        <f>100*SUM(AR321:BC321)/AL321</f>
      </c>
      <c r="J321" s="3"/>
      <c r="K321" s="6">
        <v>5.8</v>
      </c>
      <c r="L321" s="7">
        <v>4</v>
      </c>
      <c r="M321" s="6">
        <v>0.5</v>
      </c>
      <c r="N321" s="5">
        <v>40</v>
      </c>
      <c r="O321" s="6"/>
      <c r="P321" s="6"/>
      <c r="Q321" s="7"/>
      <c r="R321" s="6"/>
      <c r="S321" s="6"/>
      <c r="T321" s="6"/>
      <c r="U321" s="5"/>
      <c r="V321" s="6"/>
      <c r="W321" s="6"/>
      <c r="X321" s="6"/>
      <c r="Y321" s="15"/>
      <c r="Z321" s="6"/>
      <c r="AA321" s="6"/>
      <c r="AB321" s="5"/>
      <c r="AC321" s="3"/>
      <c r="AD321" s="6">
        <v>0.23199999999999998</v>
      </c>
      <c r="AE321" s="6">
        <v>0.028999999999999998</v>
      </c>
      <c r="AF321" s="7">
        <v>232</v>
      </c>
      <c r="AG321" s="6">
        <v>0</v>
      </c>
      <c r="AH321" s="7">
        <v>0</v>
      </c>
      <c r="AI321" s="15">
        <v>0.261</v>
      </c>
      <c r="AJ321" s="6">
        <v>4.5</v>
      </c>
      <c r="AK321" s="3"/>
      <c r="AL321" s="6">
        <v>111.17177924437298</v>
      </c>
      <c r="AM321" s="6">
        <v>75.83824</v>
      </c>
      <c r="AN321" s="6">
        <v>10.857655</v>
      </c>
      <c r="AO321" s="6">
        <v>24.475884244372995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0</v>
      </c>
      <c r="BB321" s="6">
        <v>0</v>
      </c>
      <c r="BC321" s="6"/>
      <c r="BD321" s="3"/>
      <c r="BE321" s="3"/>
      <c r="BF321" s="7">
        <v>644.7963196173633</v>
      </c>
    </row>
    <row x14ac:dyDescent="0.25" r="322" customHeight="1" ht="12.75">
      <c r="A322" s="5" t="s">
        <v>15</v>
      </c>
      <c r="B322" s="3" t="s">
        <v>855</v>
      </c>
      <c r="C322" s="3" t="s">
        <v>866</v>
      </c>
      <c r="D322" s="3" t="s">
        <v>989</v>
      </c>
      <c r="E322" s="3"/>
      <c r="F322" s="6">
        <f>100*SUM(AM322:AO322)/AL322</f>
      </c>
      <c r="G322" s="6">
        <f>100*SUM(AP322)/AL322</f>
      </c>
      <c r="H322" s="6">
        <f>100*SUM(AQ322)/AL322</f>
      </c>
      <c r="I322" s="6">
        <f>100*SUM(AR322:BC322)/AL322</f>
      </c>
      <c r="J322" s="3"/>
      <c r="K322" s="6">
        <v>0.694</v>
      </c>
      <c r="L322" s="6">
        <v>1.4</v>
      </c>
      <c r="M322" s="6">
        <v>30.2</v>
      </c>
      <c r="N322" s="5"/>
      <c r="O322" s="6"/>
      <c r="P322" s="6"/>
      <c r="Q322" s="7"/>
      <c r="R322" s="6"/>
      <c r="S322" s="6"/>
      <c r="T322" s="6"/>
      <c r="U322" s="5"/>
      <c r="V322" s="6"/>
      <c r="W322" s="6"/>
      <c r="X322" s="6"/>
      <c r="Y322" s="15"/>
      <c r="Z322" s="6"/>
      <c r="AA322" s="6"/>
      <c r="AB322" s="5"/>
      <c r="AC322" s="3"/>
      <c r="AD322" s="6">
        <v>0.009715999999999999</v>
      </c>
      <c r="AE322" s="6">
        <v>0.20958799999999997</v>
      </c>
      <c r="AF322" s="7">
        <v>0</v>
      </c>
      <c r="AG322" s="6">
        <v>0</v>
      </c>
      <c r="AH322" s="7">
        <v>0</v>
      </c>
      <c r="AI322" s="15">
        <v>0.21930399999999997</v>
      </c>
      <c r="AJ322" s="6">
        <v>31.599999999999998</v>
      </c>
      <c r="AK322" s="3"/>
      <c r="AL322" s="6">
        <v>682.345746</v>
      </c>
      <c r="AM322" s="6">
        <v>26.543383999999996</v>
      </c>
      <c r="AN322" s="6">
        <v>655.802362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/>
      <c r="BD322" s="3"/>
      <c r="BE322" s="3"/>
      <c r="BF322" s="7">
        <v>473.5479477239999</v>
      </c>
    </row>
    <row x14ac:dyDescent="0.25" r="323" customHeight="1" ht="12.75">
      <c r="A323" s="5" t="s">
        <v>638</v>
      </c>
      <c r="B323" s="3" t="s">
        <v>855</v>
      </c>
      <c r="C323" s="3" t="s">
        <v>866</v>
      </c>
      <c r="D323" s="3" t="s">
        <v>994</v>
      </c>
      <c r="E323" s="3"/>
      <c r="F323" s="6">
        <f>100*SUM(AM323:AO323)/AL323</f>
      </c>
      <c r="G323" s="6">
        <f>100*SUM(AP323)/AL323</f>
      </c>
      <c r="H323" s="6">
        <f>100*SUM(AQ323)/AL323</f>
      </c>
      <c r="I323" s="6">
        <f>100*SUM(AR323:BC323)/AL323</f>
      </c>
      <c r="J323" s="3"/>
      <c r="K323" s="7">
        <v>41.5</v>
      </c>
      <c r="L323" s="6">
        <v>0.5</v>
      </c>
      <c r="M323" s="6"/>
      <c r="N323" s="5">
        <v>45</v>
      </c>
      <c r="O323" s="6"/>
      <c r="P323" s="6"/>
      <c r="Q323" s="7"/>
      <c r="R323" s="6"/>
      <c r="S323" s="6"/>
      <c r="T323" s="6"/>
      <c r="U323" s="5"/>
      <c r="V323" s="6"/>
      <c r="W323" s="6"/>
      <c r="X323" s="6"/>
      <c r="Y323" s="15"/>
      <c r="Z323" s="6"/>
      <c r="AA323" s="6"/>
      <c r="AB323" s="5"/>
      <c r="AC323" s="3"/>
      <c r="AD323" s="6">
        <v>0.2075</v>
      </c>
      <c r="AE323" s="6">
        <v>0</v>
      </c>
      <c r="AF323" s="7">
        <v>1867.5</v>
      </c>
      <c r="AG323" s="6">
        <v>0</v>
      </c>
      <c r="AH323" s="7">
        <v>0</v>
      </c>
      <c r="AI323" s="15">
        <v>0.2075</v>
      </c>
      <c r="AJ323" s="6">
        <v>0.5</v>
      </c>
      <c r="AK323" s="3"/>
      <c r="AL323" s="6">
        <v>37.01514977491962</v>
      </c>
      <c r="AM323" s="6">
        <v>9.47978</v>
      </c>
      <c r="AN323" s="6">
        <v>0</v>
      </c>
      <c r="AO323" s="6">
        <v>27.53536977491962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0</v>
      </c>
      <c r="BB323" s="6">
        <v>0</v>
      </c>
      <c r="BC323" s="6"/>
      <c r="BD323" s="3"/>
      <c r="BE323" s="3"/>
      <c r="BF323" s="7">
        <v>1536.1287156591643</v>
      </c>
    </row>
    <row x14ac:dyDescent="0.25" r="324" customHeight="1" ht="12.75">
      <c r="A324" s="5" t="s">
        <v>732</v>
      </c>
      <c r="B324" s="3" t="s">
        <v>855</v>
      </c>
      <c r="C324" s="3" t="s">
        <v>866</v>
      </c>
      <c r="D324" s="3"/>
      <c r="E324" s="3"/>
      <c r="F324" s="6">
        <f>100*SUM(AM324:AO324)/AL324</f>
      </c>
      <c r="G324" s="6">
        <f>100*SUM(AP324)/AL324</f>
      </c>
      <c r="H324" s="6">
        <f>100*SUM(AQ324)/AL324</f>
      </c>
      <c r="I324" s="6">
        <f>100*SUM(AR324:BC324)/AL324</f>
      </c>
      <c r="J324" s="3"/>
      <c r="K324" s="5">
        <v>17</v>
      </c>
      <c r="L324" s="6">
        <v>1.2</v>
      </c>
      <c r="M324" s="6"/>
      <c r="N324" s="5">
        <v>10</v>
      </c>
      <c r="O324" s="6"/>
      <c r="P324" s="6"/>
      <c r="Q324" s="7"/>
      <c r="R324" s="6"/>
      <c r="S324" s="6"/>
      <c r="T324" s="6"/>
      <c r="U324" s="5"/>
      <c r="V324" s="6"/>
      <c r="W324" s="6"/>
      <c r="X324" s="6"/>
      <c r="Y324" s="15"/>
      <c r="Z324" s="6"/>
      <c r="AA324" s="6"/>
      <c r="AB324" s="5"/>
      <c r="AC324" s="3"/>
      <c r="AD324" s="6">
        <v>0.204</v>
      </c>
      <c r="AE324" s="6">
        <v>0</v>
      </c>
      <c r="AF324" s="7">
        <v>170</v>
      </c>
      <c r="AG324" s="6">
        <v>0</v>
      </c>
      <c r="AH324" s="7">
        <v>0</v>
      </c>
      <c r="AI324" s="15">
        <v>0.204</v>
      </c>
      <c r="AJ324" s="6">
        <v>1.2</v>
      </c>
      <c r="AK324" s="3"/>
      <c r="AL324" s="6">
        <v>28.870443061093248</v>
      </c>
      <c r="AM324" s="6">
        <v>22.751472</v>
      </c>
      <c r="AN324" s="6">
        <v>0</v>
      </c>
      <c r="AO324" s="6">
        <v>6.118971061093249</v>
      </c>
      <c r="AP324" s="6">
        <v>0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  <c r="AV324" s="6">
        <v>0</v>
      </c>
      <c r="AW324" s="6">
        <v>0</v>
      </c>
      <c r="AX324" s="6">
        <v>0</v>
      </c>
      <c r="AY324" s="6">
        <v>0</v>
      </c>
      <c r="AZ324" s="6">
        <v>0</v>
      </c>
      <c r="BA324" s="6">
        <v>0</v>
      </c>
      <c r="BB324" s="6">
        <v>0</v>
      </c>
      <c r="BC324" s="6"/>
      <c r="BD324" s="3"/>
      <c r="BE324" s="3"/>
      <c r="BF324" s="7">
        <v>490.7975320385852</v>
      </c>
    </row>
    <row x14ac:dyDescent="0.25" r="325" customHeight="1" ht="12.75">
      <c r="A325" s="5" t="s">
        <v>46</v>
      </c>
      <c r="B325" s="3" t="s">
        <v>855</v>
      </c>
      <c r="C325" s="3" t="s">
        <v>866</v>
      </c>
      <c r="D325" s="3" t="s">
        <v>989</v>
      </c>
      <c r="E325" s="3"/>
      <c r="F325" s="6">
        <f>100*SUM(AM325:AO325)/AL325</f>
      </c>
      <c r="G325" s="6">
        <f>100*SUM(AP325)/AL325</f>
      </c>
      <c r="H325" s="6">
        <f>100*SUM(AQ325)/AL325</f>
      </c>
      <c r="I325" s="6">
        <f>100*SUM(AR325:BC325)/AL325</f>
      </c>
      <c r="J325" s="3"/>
      <c r="K325" s="23">
        <v>0.87498</v>
      </c>
      <c r="L325" s="6">
        <v>13.5</v>
      </c>
      <c r="M325" s="6">
        <v>8.5</v>
      </c>
      <c r="N325" s="5">
        <v>123</v>
      </c>
      <c r="O325" s="6"/>
      <c r="P325" s="6"/>
      <c r="Q325" s="7"/>
      <c r="R325" s="6"/>
      <c r="S325" s="6"/>
      <c r="T325" s="6"/>
      <c r="U325" s="5"/>
      <c r="V325" s="6"/>
      <c r="W325" s="6"/>
      <c r="X325" s="6"/>
      <c r="Y325" s="15"/>
      <c r="Z325" s="6"/>
      <c r="AA325" s="6"/>
      <c r="AB325" s="5"/>
      <c r="AC325" s="3"/>
      <c r="AD325" s="6">
        <v>0.1181223</v>
      </c>
      <c r="AE325" s="6">
        <v>0.0743733</v>
      </c>
      <c r="AF325" s="7">
        <v>107.62254</v>
      </c>
      <c r="AG325" s="6">
        <v>0</v>
      </c>
      <c r="AH325" s="7">
        <v>0</v>
      </c>
      <c r="AI325" s="15">
        <v>0.1924956</v>
      </c>
      <c r="AJ325" s="6">
        <v>22</v>
      </c>
      <c r="AK325" s="3"/>
      <c r="AL325" s="6">
        <v>515.797539051447</v>
      </c>
      <c r="AM325" s="6">
        <v>255.95406</v>
      </c>
      <c r="AN325" s="6">
        <v>184.580135</v>
      </c>
      <c r="AO325" s="6">
        <v>75.26334405144696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/>
      <c r="BD325" s="3"/>
      <c r="BE325" s="3"/>
      <c r="BF325" s="7">
        <v>451.31253071923504</v>
      </c>
    </row>
    <row x14ac:dyDescent="0.25" r="326" customHeight="1" ht="12.75">
      <c r="A326" s="5" t="s">
        <v>751</v>
      </c>
      <c r="B326" s="3" t="s">
        <v>855</v>
      </c>
      <c r="C326" s="3" t="s">
        <v>866</v>
      </c>
      <c r="D326" s="3" t="s">
        <v>989</v>
      </c>
      <c r="E326" s="3"/>
      <c r="F326" s="6">
        <f>100*SUM(AM326:AO326)/AL326</f>
      </c>
      <c r="G326" s="6">
        <f>100*SUM(AP326)/AL326</f>
      </c>
      <c r="H326" s="6">
        <f>100*SUM(AQ326)/AL326</f>
      </c>
      <c r="I326" s="6">
        <f>100*SUM(AR326:BC326)/AL326</f>
      </c>
      <c r="J326" s="3"/>
      <c r="K326" s="6">
        <v>5.32</v>
      </c>
      <c r="L326" s="6">
        <v>1.4699812030075188</v>
      </c>
      <c r="M326" s="6">
        <v>1.8474624060150375</v>
      </c>
      <c r="N326" s="5"/>
      <c r="O326" s="6"/>
      <c r="P326" s="6"/>
      <c r="Q326" s="7"/>
      <c r="R326" s="6"/>
      <c r="S326" s="6"/>
      <c r="T326" s="6"/>
      <c r="U326" s="5"/>
      <c r="V326" s="6"/>
      <c r="W326" s="6"/>
      <c r="X326" s="6"/>
      <c r="Y326" s="15"/>
      <c r="Z326" s="6"/>
      <c r="AA326" s="6"/>
      <c r="AB326" s="5"/>
      <c r="AC326" s="3"/>
      <c r="AD326" s="6">
        <v>0.07820300000000001</v>
      </c>
      <c r="AE326" s="6">
        <v>0.098285</v>
      </c>
      <c r="AF326" s="7">
        <v>0</v>
      </c>
      <c r="AG326" s="6">
        <v>0</v>
      </c>
      <c r="AH326" s="7">
        <v>0</v>
      </c>
      <c r="AI326" s="15">
        <v>0.176488</v>
      </c>
      <c r="AJ326" s="6">
        <v>3.3174436090225563</v>
      </c>
      <c r="AK326" s="3"/>
      <c r="AL326" s="6">
        <v>67.98841567725563</v>
      </c>
      <c r="AM326" s="6">
        <v>27.870196817293234</v>
      </c>
      <c r="AN326" s="6">
        <v>40.118218859962404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/>
      <c r="BD326" s="3"/>
      <c r="BE326" s="3"/>
      <c r="BF326" s="7">
        <v>361.69837140299995</v>
      </c>
    </row>
    <row x14ac:dyDescent="0.25" r="327" customHeight="1" ht="12.75">
      <c r="A327" s="5" t="s">
        <v>97</v>
      </c>
      <c r="B327" s="3" t="s">
        <v>855</v>
      </c>
      <c r="C327" s="3" t="s">
        <v>866</v>
      </c>
      <c r="D327" s="3" t="s">
        <v>988</v>
      </c>
      <c r="E327" s="3"/>
      <c r="F327" s="6">
        <f>100*SUM(AM327:AO327)/AL327</f>
      </c>
      <c r="G327" s="6">
        <f>100*SUM(AP327)/AL327</f>
      </c>
      <c r="H327" s="6">
        <f>100*SUM(AQ327)/AL327</f>
      </c>
      <c r="I327" s="6">
        <f>100*SUM(AR327:BC327)/AL327</f>
      </c>
      <c r="J327" s="3"/>
      <c r="K327" s="7">
        <v>1</v>
      </c>
      <c r="L327" s="6">
        <v>6.5</v>
      </c>
      <c r="M327" s="7">
        <v>11</v>
      </c>
      <c r="N327" s="5"/>
      <c r="O327" s="6"/>
      <c r="P327" s="6"/>
      <c r="Q327" s="7"/>
      <c r="R327" s="6"/>
      <c r="S327" s="6"/>
      <c r="T327" s="6"/>
      <c r="U327" s="5"/>
      <c r="V327" s="6"/>
      <c r="W327" s="6"/>
      <c r="X327" s="6"/>
      <c r="Y327" s="15"/>
      <c r="Z327" s="6"/>
      <c r="AA327" s="6"/>
      <c r="AB327" s="5"/>
      <c r="AC327" s="3"/>
      <c r="AD327" s="6">
        <v>0.065</v>
      </c>
      <c r="AE327" s="6">
        <v>0.11</v>
      </c>
      <c r="AF327" s="7">
        <v>0</v>
      </c>
      <c r="AG327" s="6">
        <v>0</v>
      </c>
      <c r="AH327" s="7">
        <v>0</v>
      </c>
      <c r="AI327" s="15">
        <v>0.175</v>
      </c>
      <c r="AJ327" s="6">
        <v>17.5</v>
      </c>
      <c r="AK327" s="3"/>
      <c r="AL327" s="6">
        <v>362.10555</v>
      </c>
      <c r="AM327" s="6">
        <v>123.23714</v>
      </c>
      <c r="AN327" s="6">
        <v>238.86840999999998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/>
      <c r="BD327" s="3"/>
      <c r="BE327" s="3"/>
      <c r="BF327" s="7">
        <v>362.10555</v>
      </c>
    </row>
    <row x14ac:dyDescent="0.25" r="328" customHeight="1" ht="12.75">
      <c r="A328" s="5" t="s">
        <v>307</v>
      </c>
      <c r="B328" s="3" t="s">
        <v>855</v>
      </c>
      <c r="C328" s="3" t="s">
        <v>866</v>
      </c>
      <c r="D328" s="3" t="s">
        <v>989</v>
      </c>
      <c r="E328" s="3"/>
      <c r="F328" s="6">
        <f>100*SUM(AM328:AO328)/AL328</f>
      </c>
      <c r="G328" s="6">
        <f>100*SUM(AP328)/AL328</f>
      </c>
      <c r="H328" s="6">
        <f>100*SUM(AQ328)/AL328</f>
      </c>
      <c r="I328" s="6">
        <f>100*SUM(AR328:BC328)/AL328</f>
      </c>
      <c r="J328" s="3"/>
      <c r="K328" s="6">
        <v>1.609</v>
      </c>
      <c r="L328" s="6"/>
      <c r="M328" s="6">
        <v>10.3</v>
      </c>
      <c r="N328" s="5"/>
      <c r="O328" s="6"/>
      <c r="P328" s="6"/>
      <c r="Q328" s="7"/>
      <c r="R328" s="6"/>
      <c r="S328" s="6"/>
      <c r="T328" s="6"/>
      <c r="U328" s="5"/>
      <c r="V328" s="6"/>
      <c r="W328" s="6"/>
      <c r="X328" s="6"/>
      <c r="Y328" s="15"/>
      <c r="Z328" s="6"/>
      <c r="AA328" s="6"/>
      <c r="AB328" s="5"/>
      <c r="AC328" s="3"/>
      <c r="AD328" s="6">
        <v>0</v>
      </c>
      <c r="AE328" s="6">
        <v>0.165727</v>
      </c>
      <c r="AF328" s="7">
        <v>0</v>
      </c>
      <c r="AG328" s="6">
        <v>0</v>
      </c>
      <c r="AH328" s="7">
        <v>0</v>
      </c>
      <c r="AI328" s="15">
        <v>0.165727</v>
      </c>
      <c r="AJ328" s="6">
        <v>10.3</v>
      </c>
      <c r="AK328" s="3"/>
      <c r="AL328" s="6">
        <v>223.667693</v>
      </c>
      <c r="AM328" s="6">
        <v>0</v>
      </c>
      <c r="AN328" s="6">
        <v>223.667693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/>
      <c r="BD328" s="3"/>
      <c r="BE328" s="3"/>
      <c r="BF328" s="7">
        <v>359.881318037</v>
      </c>
    </row>
    <row x14ac:dyDescent="0.25" r="329" customHeight="1" ht="12.75">
      <c r="A329" s="5" t="s">
        <v>378</v>
      </c>
      <c r="B329" s="3" t="s">
        <v>855</v>
      </c>
      <c r="C329" s="3" t="s">
        <v>866</v>
      </c>
      <c r="D329" s="3" t="s">
        <v>988</v>
      </c>
      <c r="E329" s="3"/>
      <c r="F329" s="6">
        <f>100*SUM(AM329:AO329)/AL329</f>
      </c>
      <c r="G329" s="6">
        <f>100*SUM(AP329)/AL329</f>
      </c>
      <c r="H329" s="6">
        <f>100*SUM(AQ329)/AL329</f>
      </c>
      <c r="I329" s="6">
        <f>100*SUM(AR329:BC329)/AL329</f>
      </c>
      <c r="J329" s="3"/>
      <c r="K329" s="6">
        <v>1.7</v>
      </c>
      <c r="L329" s="6">
        <v>2.5</v>
      </c>
      <c r="M329" s="6">
        <v>6.9</v>
      </c>
      <c r="N329" s="5"/>
      <c r="O329" s="6"/>
      <c r="P329" s="6"/>
      <c r="Q329" s="7"/>
      <c r="R329" s="6"/>
      <c r="S329" s="6"/>
      <c r="T329" s="6"/>
      <c r="U329" s="5"/>
      <c r="V329" s="6"/>
      <c r="W329" s="6"/>
      <c r="X329" s="6"/>
      <c r="Y329" s="15"/>
      <c r="Z329" s="6"/>
      <c r="AA329" s="6"/>
      <c r="AB329" s="5"/>
      <c r="AC329" s="3"/>
      <c r="AD329" s="6">
        <v>0.0425</v>
      </c>
      <c r="AE329" s="6">
        <v>0.1173</v>
      </c>
      <c r="AF329" s="7">
        <v>0</v>
      </c>
      <c r="AG329" s="6">
        <v>0</v>
      </c>
      <c r="AH329" s="7">
        <v>0</v>
      </c>
      <c r="AI329" s="15">
        <v>0.1598</v>
      </c>
      <c r="AJ329" s="6">
        <v>9.4</v>
      </c>
      <c r="AK329" s="3"/>
      <c r="AL329" s="6">
        <v>197.234539</v>
      </c>
      <c r="AM329" s="6">
        <v>47.3989</v>
      </c>
      <c r="AN329" s="6">
        <v>149.83563900000001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/>
      <c r="BD329" s="3"/>
      <c r="BE329" s="3"/>
      <c r="BF329" s="7">
        <v>335.2987163</v>
      </c>
    </row>
    <row x14ac:dyDescent="0.25" r="330" customHeight="1" ht="12.75">
      <c r="A330" s="5" t="s">
        <v>758</v>
      </c>
      <c r="B330" s="3" t="s">
        <v>855</v>
      </c>
      <c r="C330" s="3" t="s">
        <v>866</v>
      </c>
      <c r="D330" s="3" t="s">
        <v>989</v>
      </c>
      <c r="E330" s="3"/>
      <c r="F330" s="6">
        <f>100*SUM(AM330:AO330)/AL330</f>
      </c>
      <c r="G330" s="6">
        <f>100*SUM(AP330)/AL330</f>
      </c>
      <c r="H330" s="6">
        <f>100*SUM(AQ330)/AL330</f>
      </c>
      <c r="I330" s="6">
        <f>100*SUM(AR330:BC330)/AL330</f>
      </c>
      <c r="J330" s="3"/>
      <c r="K330" s="23">
        <v>3.464892</v>
      </c>
      <c r="L330" s="6">
        <v>0.86</v>
      </c>
      <c r="M330" s="6">
        <v>3.62</v>
      </c>
      <c r="N330" s="5"/>
      <c r="O330" s="6"/>
      <c r="P330" s="6"/>
      <c r="Q330" s="7"/>
      <c r="R330" s="6"/>
      <c r="S330" s="6"/>
      <c r="T330" s="6"/>
      <c r="U330" s="5"/>
      <c r="V330" s="6"/>
      <c r="W330" s="6"/>
      <c r="X330" s="6"/>
      <c r="Y330" s="15"/>
      <c r="Z330" s="6"/>
      <c r="AA330" s="6"/>
      <c r="AB330" s="5"/>
      <c r="AC330" s="3"/>
      <c r="AD330" s="6">
        <v>0.029798071199999998</v>
      </c>
      <c r="AE330" s="6">
        <v>0.1254290904</v>
      </c>
      <c r="AF330" s="7">
        <v>0</v>
      </c>
      <c r="AG330" s="6">
        <v>0</v>
      </c>
      <c r="AH330" s="7">
        <v>0</v>
      </c>
      <c r="AI330" s="15">
        <v>0.1552271616</v>
      </c>
      <c r="AJ330" s="6">
        <v>4.48</v>
      </c>
      <c r="AK330" s="3"/>
      <c r="AL330" s="6">
        <v>94.91464380000001</v>
      </c>
      <c r="AM330" s="6">
        <v>16.3052216</v>
      </c>
      <c r="AN330" s="6">
        <v>78.60942220000001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6">
        <v>0</v>
      </c>
      <c r="BA330" s="6">
        <v>0</v>
      </c>
      <c r="BB330" s="6">
        <v>0</v>
      </c>
      <c r="BC330" s="6"/>
      <c r="BD330" s="3"/>
      <c r="BE330" s="3"/>
      <c r="BF330" s="7">
        <v>328.8689899854696</v>
      </c>
    </row>
    <row x14ac:dyDescent="0.25" r="331" customHeight="1" ht="12.75">
      <c r="A331" s="5" t="s">
        <v>744</v>
      </c>
      <c r="B331" s="3" t="s">
        <v>855</v>
      </c>
      <c r="C331" s="3" t="s">
        <v>866</v>
      </c>
      <c r="D331" s="3" t="s">
        <v>988</v>
      </c>
      <c r="E331" s="3"/>
      <c r="F331" s="6">
        <f>100*SUM(AM331:AO331)/AL331</f>
      </c>
      <c r="G331" s="6">
        <f>100*SUM(AP331)/AL331</f>
      </c>
      <c r="H331" s="6">
        <f>100*SUM(AQ331)/AL331</f>
      </c>
      <c r="I331" s="6">
        <f>100*SUM(AR331:BC331)/AL331</f>
      </c>
      <c r="J331" s="3"/>
      <c r="K331" s="6">
        <v>3.15</v>
      </c>
      <c r="L331" s="6">
        <v>1.1016190476190477</v>
      </c>
      <c r="M331" s="6">
        <v>3.51847619047619</v>
      </c>
      <c r="N331" s="5"/>
      <c r="O331" s="6"/>
      <c r="P331" s="6"/>
      <c r="Q331" s="7"/>
      <c r="R331" s="6"/>
      <c r="S331" s="6"/>
      <c r="T331" s="6"/>
      <c r="U331" s="5"/>
      <c r="V331" s="6"/>
      <c r="W331" s="6"/>
      <c r="X331" s="6"/>
      <c r="Y331" s="15"/>
      <c r="Z331" s="6"/>
      <c r="AA331" s="6"/>
      <c r="AB331" s="5"/>
      <c r="AC331" s="3"/>
      <c r="AD331" s="6">
        <v>0.034701</v>
      </c>
      <c r="AE331" s="6">
        <v>0.11083199999999999</v>
      </c>
      <c r="AF331" s="7">
        <v>0</v>
      </c>
      <c r="AG331" s="6">
        <v>0</v>
      </c>
      <c r="AH331" s="7">
        <v>0</v>
      </c>
      <c r="AI331" s="15">
        <v>0.145533</v>
      </c>
      <c r="AJ331" s="6">
        <v>4.620095238095238</v>
      </c>
      <c r="AK331" s="3"/>
      <c r="AL331" s="6">
        <v>97.2910136342857</v>
      </c>
      <c r="AM331" s="6">
        <v>20.886212430476192</v>
      </c>
      <c r="AN331" s="6">
        <v>76.40480120380951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0</v>
      </c>
      <c r="BC331" s="6"/>
      <c r="BD331" s="3"/>
      <c r="BE331" s="3"/>
      <c r="BF331" s="7">
        <v>306.46669294799995</v>
      </c>
    </row>
    <row x14ac:dyDescent="0.25" r="332" customHeight="1" ht="12.75">
      <c r="A332" s="5" t="s">
        <v>243</v>
      </c>
      <c r="B332" s="3" t="s">
        <v>855</v>
      </c>
      <c r="C332" s="3" t="s">
        <v>866</v>
      </c>
      <c r="D332" s="3" t="s">
        <v>989</v>
      </c>
      <c r="E332" s="3"/>
      <c r="F332" s="6">
        <f>100*SUM(AM332:AO332)/AL332</f>
      </c>
      <c r="G332" s="6">
        <f>100*SUM(AP332)/AL332</f>
      </c>
      <c r="H332" s="6">
        <f>100*SUM(AQ332)/AL332</f>
      </c>
      <c r="I332" s="6">
        <f>100*SUM(AR332:BC332)/AL332</f>
      </c>
      <c r="J332" s="3"/>
      <c r="K332" s="6">
        <v>1.2</v>
      </c>
      <c r="L332" s="6">
        <v>5.6</v>
      </c>
      <c r="M332" s="7">
        <v>6</v>
      </c>
      <c r="N332" s="5"/>
      <c r="O332" s="6"/>
      <c r="P332" s="6"/>
      <c r="Q332" s="7"/>
      <c r="R332" s="6"/>
      <c r="S332" s="6"/>
      <c r="T332" s="6"/>
      <c r="U332" s="5"/>
      <c r="V332" s="6"/>
      <c r="W332" s="6"/>
      <c r="X332" s="6"/>
      <c r="Y332" s="15"/>
      <c r="Z332" s="6"/>
      <c r="AA332" s="6"/>
      <c r="AB332" s="5"/>
      <c r="AC332" s="3"/>
      <c r="AD332" s="6">
        <v>0.0672</v>
      </c>
      <c r="AE332" s="6">
        <v>0.072</v>
      </c>
      <c r="AF332" s="7">
        <v>0</v>
      </c>
      <c r="AG332" s="6">
        <v>0</v>
      </c>
      <c r="AH332" s="7">
        <v>0</v>
      </c>
      <c r="AI332" s="15">
        <v>0.1392</v>
      </c>
      <c r="AJ332" s="6">
        <v>11.6</v>
      </c>
      <c r="AK332" s="3"/>
      <c r="AL332" s="6">
        <v>236.46539599999997</v>
      </c>
      <c r="AM332" s="6">
        <v>106.17353599999998</v>
      </c>
      <c r="AN332" s="6">
        <v>130.29185999999999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0</v>
      </c>
      <c r="AZ332" s="6">
        <v>0</v>
      </c>
      <c r="BA332" s="6">
        <v>0</v>
      </c>
      <c r="BB332" s="6">
        <v>0</v>
      </c>
      <c r="BC332" s="6"/>
      <c r="BD332" s="3"/>
      <c r="BE332" s="3"/>
      <c r="BF332" s="7">
        <v>283.75847519999996</v>
      </c>
    </row>
    <row x14ac:dyDescent="0.25" r="333" customHeight="1" ht="12.75">
      <c r="A333" s="5" t="s">
        <v>679</v>
      </c>
      <c r="B333" s="3" t="s">
        <v>855</v>
      </c>
      <c r="C333" s="3" t="s">
        <v>866</v>
      </c>
      <c r="D333" s="3" t="s">
        <v>989</v>
      </c>
      <c r="E333" s="3"/>
      <c r="F333" s="6">
        <f>100*SUM(AM333:AO333)/AL333</f>
      </c>
      <c r="G333" s="6">
        <f>100*SUM(AP333)/AL333</f>
      </c>
      <c r="H333" s="6">
        <f>100*SUM(AQ333)/AL333</f>
      </c>
      <c r="I333" s="6">
        <f>100*SUM(AR333:BC333)/AL333</f>
      </c>
      <c r="J333" s="3"/>
      <c r="K333" s="23">
        <v>2.1450389999999997</v>
      </c>
      <c r="L333" s="6">
        <v>1.22</v>
      </c>
      <c r="M333" s="6">
        <v>4.41</v>
      </c>
      <c r="N333" s="6">
        <v>32.7</v>
      </c>
      <c r="O333" s="6"/>
      <c r="P333" s="6"/>
      <c r="Q333" s="7"/>
      <c r="R333" s="6"/>
      <c r="S333" s="6"/>
      <c r="T333" s="6"/>
      <c r="U333" s="5"/>
      <c r="V333" s="6"/>
      <c r="W333" s="6"/>
      <c r="X333" s="6"/>
      <c r="Y333" s="15"/>
      <c r="Z333" s="6"/>
      <c r="AA333" s="6"/>
      <c r="AB333" s="5"/>
      <c r="AC333" s="3"/>
      <c r="AD333" s="6">
        <v>0.026169475799999998</v>
      </c>
      <c r="AE333" s="6">
        <v>0.09459621989999999</v>
      </c>
      <c r="AF333" s="7">
        <v>70.1427753</v>
      </c>
      <c r="AG333" s="6">
        <v>0</v>
      </c>
      <c r="AH333" s="7">
        <v>0</v>
      </c>
      <c r="AI333" s="15">
        <v>0.12076569569999998</v>
      </c>
      <c r="AJ333" s="6">
        <v>5.63</v>
      </c>
      <c r="AK333" s="3"/>
      <c r="AL333" s="6">
        <v>138.9042156697749</v>
      </c>
      <c r="AM333" s="6">
        <v>23.130663199999997</v>
      </c>
      <c r="AN333" s="6">
        <v>95.76451709999999</v>
      </c>
      <c r="AO333" s="6">
        <v>20.009035369774924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0</v>
      </c>
      <c r="AZ333" s="6">
        <v>0</v>
      </c>
      <c r="BA333" s="6">
        <v>0</v>
      </c>
      <c r="BB333" s="6">
        <v>0</v>
      </c>
      <c r="BC333" s="6"/>
      <c r="BD333" s="3"/>
      <c r="BE333" s="3"/>
      <c r="BF333" s="7">
        <v>297.95495987607825</v>
      </c>
    </row>
    <row x14ac:dyDescent="0.25" r="334" customHeight="1" ht="12.75">
      <c r="A334" s="5" t="s">
        <v>801</v>
      </c>
      <c r="B334" s="3" t="s">
        <v>855</v>
      </c>
      <c r="C334" s="3" t="s">
        <v>866</v>
      </c>
      <c r="D334" s="3" t="s">
        <v>989</v>
      </c>
      <c r="E334" s="3"/>
      <c r="F334" s="6">
        <f>100*SUM(AM334:AO334)/AL334</f>
      </c>
      <c r="G334" s="6">
        <f>100*SUM(AP334)/AL334</f>
      </c>
      <c r="H334" s="6">
        <f>100*SUM(AQ334)/AL334</f>
      </c>
      <c r="I334" s="6">
        <f>100*SUM(AR334:BC334)/AL334</f>
      </c>
      <c r="J334" s="3"/>
      <c r="K334" s="6">
        <v>6.25</v>
      </c>
      <c r="L334" s="6">
        <v>0.005</v>
      </c>
      <c r="M334" s="6">
        <v>1.68</v>
      </c>
      <c r="N334" s="6">
        <v>1.53</v>
      </c>
      <c r="O334" s="6"/>
      <c r="P334" s="6"/>
      <c r="Q334" s="7"/>
      <c r="R334" s="6"/>
      <c r="S334" s="6"/>
      <c r="T334" s="6"/>
      <c r="U334" s="5"/>
      <c r="V334" s="6"/>
      <c r="W334" s="6"/>
      <c r="X334" s="6"/>
      <c r="Y334" s="15"/>
      <c r="Z334" s="6"/>
      <c r="AA334" s="6"/>
      <c r="AB334" s="5"/>
      <c r="AC334" s="3"/>
      <c r="AD334" s="6">
        <v>0.0003125</v>
      </c>
      <c r="AE334" s="6">
        <v>0.105</v>
      </c>
      <c r="AF334" s="7">
        <v>9.5625</v>
      </c>
      <c r="AG334" s="6">
        <v>0</v>
      </c>
      <c r="AH334" s="7">
        <v>0</v>
      </c>
      <c r="AI334" s="15">
        <v>0.10531249999999999</v>
      </c>
      <c r="AJ334" s="6">
        <v>1.6849999999999998</v>
      </c>
      <c r="AK334" s="3"/>
      <c r="AL334" s="6">
        <v>37.51272117234727</v>
      </c>
      <c r="AM334" s="6">
        <v>0.0947978</v>
      </c>
      <c r="AN334" s="6">
        <v>36.4817208</v>
      </c>
      <c r="AO334" s="6">
        <v>0.936202572347267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0</v>
      </c>
      <c r="BC334" s="6"/>
      <c r="BD334" s="3"/>
      <c r="BE334" s="3"/>
      <c r="BF334" s="7">
        <v>234.45450732717043</v>
      </c>
    </row>
    <row x14ac:dyDescent="0.25" r="335" customHeight="1" ht="12.75">
      <c r="A335" s="5" t="s">
        <v>342</v>
      </c>
      <c r="B335" s="3" t="s">
        <v>855</v>
      </c>
      <c r="C335" s="3" t="s">
        <v>866</v>
      </c>
      <c r="D335" s="3" t="s">
        <v>988</v>
      </c>
      <c r="E335" s="3"/>
      <c r="F335" s="6">
        <f>100*SUM(AM335:AO335)/AL335</f>
      </c>
      <c r="G335" s="6">
        <f>100*SUM(AP335)/AL335</f>
      </c>
      <c r="H335" s="6">
        <f>100*SUM(AQ335)/AL335</f>
      </c>
      <c r="I335" s="6">
        <f>100*SUM(AR335:BC335)/AL335</f>
      </c>
      <c r="J335" s="3"/>
      <c r="K335" s="6">
        <v>0.8300000000000001</v>
      </c>
      <c r="L335" s="7">
        <v>5.0036144578313255</v>
      </c>
      <c r="M335" s="7">
        <v>4.967469879518072</v>
      </c>
      <c r="N335" s="31">
        <v>14.096385542168674</v>
      </c>
      <c r="O335" s="6"/>
      <c r="P335" s="6"/>
      <c r="Q335" s="7"/>
      <c r="R335" s="6"/>
      <c r="S335" s="6"/>
      <c r="T335" s="6"/>
      <c r="U335" s="5"/>
      <c r="V335" s="6"/>
      <c r="W335" s="6"/>
      <c r="X335" s="6"/>
      <c r="Y335" s="15"/>
      <c r="Z335" s="6"/>
      <c r="AA335" s="6"/>
      <c r="AB335" s="5"/>
      <c r="AC335" s="3"/>
      <c r="AD335" s="6">
        <v>0.041530000000000004</v>
      </c>
      <c r="AE335" s="6">
        <v>0.04123</v>
      </c>
      <c r="AF335" s="7">
        <v>11.700000000000001</v>
      </c>
      <c r="AG335" s="6">
        <v>0</v>
      </c>
      <c r="AH335" s="7">
        <v>0</v>
      </c>
      <c r="AI335" s="15">
        <v>0.08276</v>
      </c>
      <c r="AJ335" s="6">
        <v>9.971084337349398</v>
      </c>
      <c r="AK335" s="3"/>
      <c r="AL335" s="6">
        <v>211.3620143993724</v>
      </c>
      <c r="AM335" s="6">
        <v>94.86632853012048</v>
      </c>
      <c r="AN335" s="6">
        <v>107.87014834939758</v>
      </c>
      <c r="AO335" s="6">
        <v>8.625537519854339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6">
        <v>0</v>
      </c>
      <c r="BA335" s="6">
        <v>0</v>
      </c>
      <c r="BB335" s="6">
        <v>0</v>
      </c>
      <c r="BC335" s="6"/>
      <c r="BD335" s="3"/>
      <c r="BE335" s="3"/>
      <c r="BF335" s="7">
        <v>175.43047195147912</v>
      </c>
    </row>
    <row x14ac:dyDescent="0.25" r="336" customHeight="1" ht="12.75">
      <c r="A336" s="5" t="s">
        <v>420</v>
      </c>
      <c r="B336" s="3" t="s">
        <v>855</v>
      </c>
      <c r="C336" s="3" t="s">
        <v>866</v>
      </c>
      <c r="D336" s="3" t="s">
        <v>993</v>
      </c>
      <c r="E336" s="3"/>
      <c r="F336" s="6">
        <f>100*SUM(AM336:AO336)/AL336</f>
      </c>
      <c r="G336" s="6">
        <f>100*SUM(AP336)/AL336</f>
      </c>
      <c r="H336" s="6">
        <f>100*SUM(AQ336)/AL336</f>
      </c>
      <c r="I336" s="6">
        <f>100*SUM(AR336:BC336)/AL336</f>
      </c>
      <c r="J336" s="3"/>
      <c r="K336" s="6">
        <v>0.79</v>
      </c>
      <c r="L336" s="6">
        <v>0.7</v>
      </c>
      <c r="M336" s="6">
        <v>8.01</v>
      </c>
      <c r="N336" s="6">
        <v>58.8</v>
      </c>
      <c r="O336" s="6"/>
      <c r="P336" s="6"/>
      <c r="Q336" s="7"/>
      <c r="R336" s="6"/>
      <c r="S336" s="6"/>
      <c r="T336" s="6"/>
      <c r="U336" s="5"/>
      <c r="V336" s="6"/>
      <c r="W336" s="6"/>
      <c r="X336" s="6"/>
      <c r="Y336" s="15"/>
      <c r="Z336" s="6"/>
      <c r="AA336" s="6"/>
      <c r="AB336" s="5"/>
      <c r="AC336" s="3"/>
      <c r="AD336" s="6">
        <v>0.005529999999999999</v>
      </c>
      <c r="AE336" s="6">
        <v>0.063279</v>
      </c>
      <c r="AF336" s="7">
        <v>46.452</v>
      </c>
      <c r="AG336" s="6">
        <v>0</v>
      </c>
      <c r="AH336" s="7">
        <v>0</v>
      </c>
      <c r="AI336" s="15">
        <v>0.068809</v>
      </c>
      <c r="AJ336" s="6">
        <v>8.709999999999999</v>
      </c>
      <c r="AK336" s="3"/>
      <c r="AL336" s="6">
        <v>223.1908749392283</v>
      </c>
      <c r="AM336" s="6">
        <v>13.271691999999998</v>
      </c>
      <c r="AN336" s="6">
        <v>173.9396331</v>
      </c>
      <c r="AO336" s="6">
        <v>35.9795498392283</v>
      </c>
      <c r="AP336" s="6">
        <v>0</v>
      </c>
      <c r="AQ336" s="6">
        <v>0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  <c r="AW336" s="6">
        <v>0</v>
      </c>
      <c r="AX336" s="6">
        <v>0</v>
      </c>
      <c r="AY336" s="6">
        <v>0</v>
      </c>
      <c r="AZ336" s="6">
        <v>0</v>
      </c>
      <c r="BA336" s="6">
        <v>0</v>
      </c>
      <c r="BB336" s="6">
        <v>0</v>
      </c>
      <c r="BC336" s="6"/>
      <c r="BD336" s="3"/>
      <c r="BE336" s="3"/>
      <c r="BF336" s="7">
        <v>176.32079120199037</v>
      </c>
    </row>
    <row x14ac:dyDescent="0.25" r="337" customHeight="1" ht="12.75">
      <c r="A337" s="5" t="s">
        <v>53</v>
      </c>
      <c r="B337" s="3" t="s">
        <v>855</v>
      </c>
      <c r="C337" s="3" t="s">
        <v>866</v>
      </c>
      <c r="D337" s="3" t="s">
        <v>993</v>
      </c>
      <c r="E337" s="3"/>
      <c r="F337" s="6">
        <f>100*SUM(AM337:AO337)/AL337</f>
      </c>
      <c r="G337" s="6">
        <f>100*SUM(AP337)/AL337</f>
      </c>
      <c r="H337" s="6">
        <f>100*SUM(AQ337)/AL337</f>
      </c>
      <c r="I337" s="6">
        <f>100*SUM(AR337:BC337)/AL337</f>
      </c>
      <c r="J337" s="3"/>
      <c r="K337" s="23">
        <v>0.2333333333333333</v>
      </c>
      <c r="L337" s="6">
        <v>13.8</v>
      </c>
      <c r="M337" s="6">
        <v>7.8</v>
      </c>
      <c r="N337" s="5"/>
      <c r="O337" s="6"/>
      <c r="P337" s="6"/>
      <c r="Q337" s="7"/>
      <c r="R337" s="6"/>
      <c r="S337" s="6"/>
      <c r="T337" s="6"/>
      <c r="U337" s="5"/>
      <c r="V337" s="6"/>
      <c r="W337" s="6"/>
      <c r="X337" s="6"/>
      <c r="Y337" s="15"/>
      <c r="Z337" s="6"/>
      <c r="AA337" s="6"/>
      <c r="AB337" s="5"/>
      <c r="AC337" s="3"/>
      <c r="AD337" s="6">
        <v>0.0322</v>
      </c>
      <c r="AE337" s="6">
        <v>0.018199999999999997</v>
      </c>
      <c r="AF337" s="7">
        <v>0</v>
      </c>
      <c r="AG337" s="6">
        <v>0</v>
      </c>
      <c r="AH337" s="7">
        <v>0</v>
      </c>
      <c r="AI337" s="15">
        <v>0.0504</v>
      </c>
      <c r="AJ337" s="6">
        <v>21.6</v>
      </c>
      <c r="AK337" s="3"/>
      <c r="AL337" s="6">
        <v>431.021346</v>
      </c>
      <c r="AM337" s="6">
        <v>261.641928</v>
      </c>
      <c r="AN337" s="6">
        <v>169.379418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0</v>
      </c>
      <c r="AZ337" s="6">
        <v>0</v>
      </c>
      <c r="BA337" s="6">
        <v>0</v>
      </c>
      <c r="BB337" s="6">
        <v>0</v>
      </c>
      <c r="BC337" s="6"/>
      <c r="BD337" s="3"/>
      <c r="BE337" s="3"/>
      <c r="BF337" s="7">
        <v>100.57164739999999</v>
      </c>
    </row>
    <row x14ac:dyDescent="0.25" r="338" customHeight="1" ht="12.75">
      <c r="A338" s="5" t="s">
        <v>570</v>
      </c>
      <c r="B338" s="3" t="s">
        <v>855</v>
      </c>
      <c r="C338" s="3" t="s">
        <v>866</v>
      </c>
      <c r="D338" s="3" t="s">
        <v>988</v>
      </c>
      <c r="E338" s="3"/>
      <c r="F338" s="6">
        <f>100*SUM(AM338:AO338)/AL338</f>
      </c>
      <c r="G338" s="6">
        <f>100*SUM(AP338)/AL338</f>
      </c>
      <c r="H338" s="6">
        <f>100*SUM(AQ338)/AL338</f>
      </c>
      <c r="I338" s="6">
        <f>100*SUM(AR338:BC338)/AL338</f>
      </c>
      <c r="J338" s="3"/>
      <c r="K338" s="6">
        <v>0.492</v>
      </c>
      <c r="L338" s="6">
        <v>2.2</v>
      </c>
      <c r="M338" s="6">
        <v>4.7</v>
      </c>
      <c r="N338" s="5"/>
      <c r="O338" s="6"/>
      <c r="P338" s="6"/>
      <c r="Q338" s="7"/>
      <c r="R338" s="6"/>
      <c r="S338" s="6"/>
      <c r="T338" s="6"/>
      <c r="U338" s="5"/>
      <c r="V338" s="6"/>
      <c r="W338" s="6"/>
      <c r="X338" s="6"/>
      <c r="Y338" s="15"/>
      <c r="Z338" s="6"/>
      <c r="AA338" s="6"/>
      <c r="AB338" s="5"/>
      <c r="AC338" s="3"/>
      <c r="AD338" s="6">
        <v>0.010824</v>
      </c>
      <c r="AE338" s="6">
        <v>0.023124000000000002</v>
      </c>
      <c r="AF338" s="7">
        <v>0</v>
      </c>
      <c r="AG338" s="6">
        <v>0</v>
      </c>
      <c r="AH338" s="7">
        <v>0</v>
      </c>
      <c r="AI338" s="15">
        <v>0.033948000000000006</v>
      </c>
      <c r="AJ338" s="6">
        <v>6.9</v>
      </c>
      <c r="AK338" s="3"/>
      <c r="AL338" s="6">
        <v>143.772989</v>
      </c>
      <c r="AM338" s="6">
        <v>41.711032</v>
      </c>
      <c r="AN338" s="6">
        <v>102.06195699999999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/>
      <c r="BD338" s="3"/>
      <c r="BE338" s="3"/>
      <c r="BF338" s="7">
        <v>70.736310588</v>
      </c>
    </row>
    <row x14ac:dyDescent="0.25" r="339" customHeight="1" ht="12.75">
      <c r="A339" s="5" t="s">
        <v>204</v>
      </c>
      <c r="B339" s="3" t="s">
        <v>855</v>
      </c>
      <c r="C339" s="3" t="s">
        <v>866</v>
      </c>
      <c r="D339" s="3" t="s">
        <v>988</v>
      </c>
      <c r="E339" s="3"/>
      <c r="F339" s="6">
        <f>100*SUM(AM339:AO339)/AL339</f>
      </c>
      <c r="G339" s="6">
        <f>100*SUM(AP339)/AL339</f>
      </c>
      <c r="H339" s="6">
        <f>100*SUM(AQ339)/AL339</f>
      </c>
      <c r="I339" s="6">
        <f>100*SUM(AR339:BC339)/AL339</f>
      </c>
      <c r="J339" s="3"/>
      <c r="K339" s="6">
        <v>0.2</v>
      </c>
      <c r="L339" s="6">
        <v>3.4</v>
      </c>
      <c r="M339" s="7">
        <v>9</v>
      </c>
      <c r="N339" s="5"/>
      <c r="O339" s="6"/>
      <c r="P339" s="6"/>
      <c r="Q339" s="7"/>
      <c r="R339" s="6"/>
      <c r="S339" s="6"/>
      <c r="T339" s="6"/>
      <c r="U339" s="5"/>
      <c r="V339" s="6"/>
      <c r="W339" s="6"/>
      <c r="X339" s="6"/>
      <c r="Y339" s="15"/>
      <c r="Z339" s="6"/>
      <c r="AA339" s="6"/>
      <c r="AB339" s="5"/>
      <c r="AC339" s="3"/>
      <c r="AD339" s="6">
        <v>0.0068000000000000005</v>
      </c>
      <c r="AE339" s="6">
        <v>0.018000000000000002</v>
      </c>
      <c r="AF339" s="7">
        <v>0</v>
      </c>
      <c r="AG339" s="6">
        <v>0</v>
      </c>
      <c r="AH339" s="7">
        <v>0</v>
      </c>
      <c r="AI339" s="15">
        <v>0.024800000000000003</v>
      </c>
      <c r="AJ339" s="6">
        <v>12.4</v>
      </c>
      <c r="AK339" s="3"/>
      <c r="AL339" s="6">
        <v>259.900294</v>
      </c>
      <c r="AM339" s="6">
        <v>64.462504</v>
      </c>
      <c r="AN339" s="6">
        <v>195.43778999999998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/>
      <c r="BD339" s="3"/>
      <c r="BE339" s="3"/>
      <c r="BF339" s="7">
        <v>51.980058799999995</v>
      </c>
    </row>
    <row x14ac:dyDescent="0.25" r="340" customHeight="1" ht="12.75">
      <c r="A340" s="5" t="s">
        <v>453</v>
      </c>
      <c r="B340" s="3" t="s">
        <v>855</v>
      </c>
      <c r="C340" s="3" t="s">
        <v>866</v>
      </c>
      <c r="D340" s="3" t="s">
        <v>988</v>
      </c>
      <c r="E340" s="3"/>
      <c r="F340" s="6">
        <f>100*SUM(AM340:AO340)/AL340</f>
      </c>
      <c r="G340" s="6">
        <f>100*SUM(AP340)/AL340</f>
      </c>
      <c r="H340" s="6">
        <f>100*SUM(AQ340)/AL340</f>
      </c>
      <c r="I340" s="6">
        <f>100*SUM(AR340:BC340)/AL340</f>
      </c>
      <c r="J340" s="3"/>
      <c r="K340" s="23">
        <v>0.580544</v>
      </c>
      <c r="L340" s="6">
        <v>1.34</v>
      </c>
      <c r="M340" s="6">
        <v>2.22</v>
      </c>
      <c r="N340" s="5">
        <v>342</v>
      </c>
      <c r="O340" s="6"/>
      <c r="P340" s="6"/>
      <c r="Q340" s="7"/>
      <c r="R340" s="6"/>
      <c r="S340" s="6"/>
      <c r="T340" s="6"/>
      <c r="U340" s="5"/>
      <c r="V340" s="6"/>
      <c r="W340" s="6"/>
      <c r="X340" s="6"/>
      <c r="Y340" s="15"/>
      <c r="Z340" s="6"/>
      <c r="AA340" s="6"/>
      <c r="AB340" s="5"/>
      <c r="AC340" s="3"/>
      <c r="AD340" s="6">
        <v>0.0077792896</v>
      </c>
      <c r="AE340" s="6">
        <v>0.012888076799999999</v>
      </c>
      <c r="AF340" s="7">
        <v>198.54604799999998</v>
      </c>
      <c r="AG340" s="6">
        <v>0</v>
      </c>
      <c r="AH340" s="7">
        <v>0</v>
      </c>
      <c r="AI340" s="15">
        <v>0.020667366399999998</v>
      </c>
      <c r="AJ340" s="6">
        <v>3.5600000000000005</v>
      </c>
      <c r="AK340" s="3"/>
      <c r="AL340" s="6">
        <v>282.8826088893891</v>
      </c>
      <c r="AM340" s="6">
        <v>25.4058104</v>
      </c>
      <c r="AN340" s="6">
        <v>48.2079882</v>
      </c>
      <c r="AO340" s="6">
        <v>209.2688102893891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0</v>
      </c>
      <c r="BC340" s="6"/>
      <c r="BD340" s="3"/>
      <c r="BE340" s="3"/>
      <c r="BF340" s="7">
        <v>164.22580129508148</v>
      </c>
    </row>
    <row x14ac:dyDescent="0.25" r="341" customHeight="1" ht="12.75">
      <c r="A341" s="5" t="s">
        <v>698</v>
      </c>
      <c r="B341" s="3" t="s">
        <v>855</v>
      </c>
      <c r="C341" s="3" t="s">
        <v>866</v>
      </c>
      <c r="D341" s="3" t="s">
        <v>988</v>
      </c>
      <c r="E341" s="3"/>
      <c r="F341" s="6">
        <f>100*SUM(AM341:AO341)/AL341</f>
      </c>
      <c r="G341" s="6">
        <f>100*SUM(AP341)/AL341</f>
      </c>
      <c r="H341" s="6">
        <f>100*SUM(AQ341)/AL341</f>
      </c>
      <c r="I341" s="6">
        <f>100*SUM(AR341:BC341)/AL341</f>
      </c>
      <c r="J341" s="3"/>
      <c r="K341" s="6">
        <v>0.3756</v>
      </c>
      <c r="L341" s="6">
        <v>1.6</v>
      </c>
      <c r="M341" s="6">
        <v>3.8</v>
      </c>
      <c r="N341" s="5">
        <v>15</v>
      </c>
      <c r="O341" s="6"/>
      <c r="P341" s="6"/>
      <c r="Q341" s="7"/>
      <c r="R341" s="6"/>
      <c r="S341" s="6"/>
      <c r="T341" s="6"/>
      <c r="U341" s="5"/>
      <c r="V341" s="6"/>
      <c r="W341" s="6"/>
      <c r="X341" s="6"/>
      <c r="Y341" s="15"/>
      <c r="Z341" s="6"/>
      <c r="AA341" s="6"/>
      <c r="AB341" s="5"/>
      <c r="AC341" s="3"/>
      <c r="AD341" s="6">
        <v>0.0060096</v>
      </c>
      <c r="AE341" s="6">
        <v>0.014272799999999999</v>
      </c>
      <c r="AF341" s="7">
        <v>5.6339999999999995</v>
      </c>
      <c r="AG341" s="6">
        <v>0</v>
      </c>
      <c r="AH341" s="7">
        <v>0</v>
      </c>
      <c r="AI341" s="15">
        <v>0.0202824</v>
      </c>
      <c r="AJ341" s="6">
        <v>5.4</v>
      </c>
      <c r="AK341" s="3"/>
      <c r="AL341" s="6">
        <v>122.03193059163986</v>
      </c>
      <c r="AM341" s="6">
        <v>30.335296</v>
      </c>
      <c r="AN341" s="6">
        <v>82.51817799999999</v>
      </c>
      <c r="AO341" s="6">
        <v>9.178456591639874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0</v>
      </c>
      <c r="BC341" s="6"/>
      <c r="BD341" s="3"/>
      <c r="BE341" s="3"/>
      <c r="BF341" s="7">
        <v>45.835193130219935</v>
      </c>
    </row>
    <row x14ac:dyDescent="0.25" r="342" customHeight="1" ht="12.75">
      <c r="A342" s="5" t="s">
        <v>766</v>
      </c>
      <c r="B342" s="3" t="s">
        <v>855</v>
      </c>
      <c r="C342" s="3" t="s">
        <v>866</v>
      </c>
      <c r="D342" s="3" t="s">
        <v>989</v>
      </c>
      <c r="E342" s="3"/>
      <c r="F342" s="6">
        <f>100*SUM(AM342:AO342)/AL342</f>
      </c>
      <c r="G342" s="6">
        <f>100*SUM(AP342)/AL342</f>
      </c>
      <c r="H342" s="6">
        <f>100*SUM(AQ342)/AL342</f>
      </c>
      <c r="I342" s="6">
        <f>100*SUM(AR342:BC342)/AL342</f>
      </c>
      <c r="J342" s="3"/>
      <c r="K342" s="23">
        <v>0.2876</v>
      </c>
      <c r="L342" s="6">
        <v>1.5</v>
      </c>
      <c r="M342" s="6">
        <v>2.8</v>
      </c>
      <c r="N342" s="5">
        <v>31</v>
      </c>
      <c r="O342" s="6"/>
      <c r="P342" s="6"/>
      <c r="Q342" s="7"/>
      <c r="R342" s="6"/>
      <c r="S342" s="6"/>
      <c r="T342" s="6"/>
      <c r="U342" s="5"/>
      <c r="V342" s="6"/>
      <c r="W342" s="6"/>
      <c r="X342" s="6"/>
      <c r="Y342" s="15"/>
      <c r="Z342" s="6"/>
      <c r="AA342" s="6"/>
      <c r="AB342" s="5"/>
      <c r="AC342" s="3"/>
      <c r="AD342" s="6">
        <v>0.004314</v>
      </c>
      <c r="AE342" s="6">
        <v>0.0080528</v>
      </c>
      <c r="AF342" s="7">
        <v>8.915600000000001</v>
      </c>
      <c r="AG342" s="6">
        <v>0</v>
      </c>
      <c r="AH342" s="7">
        <v>0</v>
      </c>
      <c r="AI342" s="15">
        <v>0.0123668</v>
      </c>
      <c r="AJ342" s="6">
        <v>4.3</v>
      </c>
      <c r="AK342" s="3"/>
      <c r="AL342" s="6">
        <v>108.21101828938906</v>
      </c>
      <c r="AM342" s="6">
        <v>28.439339999999998</v>
      </c>
      <c r="AN342" s="6">
        <v>60.80286799999999</v>
      </c>
      <c r="AO342" s="6">
        <v>18.968810289389072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0</v>
      </c>
      <c r="BA342" s="6">
        <v>0</v>
      </c>
      <c r="BB342" s="6">
        <v>0</v>
      </c>
      <c r="BC342" s="6"/>
      <c r="BD342" s="3"/>
      <c r="BE342" s="3"/>
      <c r="BF342" s="7">
        <v>31.121488860028297</v>
      </c>
    </row>
    <row x14ac:dyDescent="0.25" r="343" customHeight="1" ht="12.75">
      <c r="A343" s="5" t="s">
        <v>845</v>
      </c>
      <c r="B343" s="3" t="s">
        <v>855</v>
      </c>
      <c r="C343" s="3" t="s">
        <v>866</v>
      </c>
      <c r="D343" s="3" t="s">
        <v>989</v>
      </c>
      <c r="E343" s="3"/>
      <c r="F343" s="6">
        <f>100*SUM(AM343:AO343)/AL343</f>
      </c>
      <c r="G343" s="6">
        <f>100*SUM(AP343)/AL343</f>
      </c>
      <c r="H343" s="6">
        <f>100*SUM(AQ343)/AL343</f>
      </c>
      <c r="I343" s="6">
        <f>100*SUM(AR343:BC343)/AL343</f>
      </c>
      <c r="J343" s="3"/>
      <c r="K343" s="6">
        <v>0.25</v>
      </c>
      <c r="L343" s="6">
        <v>1.2</v>
      </c>
      <c r="M343" s="6">
        <v>1</v>
      </c>
      <c r="N343" s="5"/>
      <c r="O343" s="6"/>
      <c r="P343" s="6"/>
      <c r="Q343" s="7"/>
      <c r="R343" s="6"/>
      <c r="S343" s="6"/>
      <c r="T343" s="6"/>
      <c r="U343" s="5"/>
      <c r="V343" s="6"/>
      <c r="W343" s="6"/>
      <c r="X343" s="6"/>
      <c r="Y343" s="15"/>
      <c r="Z343" s="6"/>
      <c r="AA343" s="6"/>
      <c r="AB343" s="5"/>
      <c r="AC343" s="3"/>
      <c r="AD343" s="6">
        <v>0.003</v>
      </c>
      <c r="AE343" s="6">
        <v>0.0025</v>
      </c>
      <c r="AF343" s="7">
        <v>0</v>
      </c>
      <c r="AG343" s="6">
        <v>0</v>
      </c>
      <c r="AH343" s="7">
        <v>0</v>
      </c>
      <c r="AI343" s="15">
        <v>0.0055</v>
      </c>
      <c r="AJ343" s="6">
        <v>2.2</v>
      </c>
      <c r="AK343" s="3"/>
      <c r="AL343" s="6">
        <v>44.466781999999995</v>
      </c>
      <c r="AM343" s="6">
        <v>22.751472</v>
      </c>
      <c r="AN343" s="6">
        <v>21.71531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0</v>
      </c>
      <c r="BA343" s="6">
        <v>0</v>
      </c>
      <c r="BB343" s="6">
        <v>0</v>
      </c>
      <c r="BC343" s="6"/>
      <c r="BD343" s="3"/>
      <c r="BE343" s="3"/>
      <c r="BF343" s="7">
        <v>11.116695499999999</v>
      </c>
    </row>
    <row x14ac:dyDescent="0.25" r="344" customHeight="1" ht="12.75">
      <c r="A344" s="5" t="s">
        <v>773</v>
      </c>
      <c r="B344" s="3" t="s">
        <v>855</v>
      </c>
      <c r="C344" s="3" t="s">
        <v>866</v>
      </c>
      <c r="D344" s="3" t="s">
        <v>993</v>
      </c>
      <c r="E344" s="3"/>
      <c r="F344" s="6">
        <f>100*SUM(AM344:AO344)/AL344</f>
      </c>
      <c r="G344" s="6">
        <f>100*SUM(AP344)/AL344</f>
      </c>
      <c r="H344" s="6">
        <f>100*SUM(AQ344)/AL344</f>
      </c>
      <c r="I344" s="6">
        <f>100*SUM(AR344:BC344)/AL344</f>
      </c>
      <c r="J344" s="3"/>
      <c r="K344" s="6">
        <v>19.93</v>
      </c>
      <c r="L344" s="6">
        <v>0.2</v>
      </c>
      <c r="M344" s="6">
        <v>0.5</v>
      </c>
      <c r="N344" s="6">
        <v>16.4</v>
      </c>
      <c r="O344" s="6"/>
      <c r="P344" s="6"/>
      <c r="Q344" s="7"/>
      <c r="R344" s="6"/>
      <c r="S344" s="6"/>
      <c r="T344" s="6"/>
      <c r="U344" s="5"/>
      <c r="V344" s="6"/>
      <c r="W344" s="6"/>
      <c r="X344" s="6"/>
      <c r="Y344" s="15"/>
      <c r="Z344" s="6"/>
      <c r="AA344" s="6"/>
      <c r="AB344" s="5"/>
      <c r="AC344" s="3"/>
      <c r="AD344" s="6">
        <v>0.03986</v>
      </c>
      <c r="AE344" s="6">
        <v>0.09965</v>
      </c>
      <c r="AF344" s="7">
        <v>326.852</v>
      </c>
      <c r="AG344" s="6">
        <v>0</v>
      </c>
      <c r="AH344" s="7">
        <v>0</v>
      </c>
      <c r="AI344" s="15">
        <v>0.13951</v>
      </c>
      <c r="AJ344" s="6">
        <v>0.7</v>
      </c>
      <c r="AK344" s="3"/>
      <c r="AL344" s="6">
        <v>24.684679540192924</v>
      </c>
      <c r="AM344" s="6">
        <v>3.791912</v>
      </c>
      <c r="AN344" s="6">
        <v>10.857655</v>
      </c>
      <c r="AO344" s="6">
        <v>10.035112540192927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/>
      <c r="BD344" s="3"/>
      <c r="BE344" s="3"/>
      <c r="BF344" s="7">
        <v>491.965663236045</v>
      </c>
    </row>
    <row x14ac:dyDescent="0.25" r="345" customHeight="1" ht="12.75">
      <c r="A345" s="5" t="s">
        <v>288</v>
      </c>
      <c r="B345" s="3" t="s">
        <v>855</v>
      </c>
      <c r="C345" s="3" t="s">
        <v>866</v>
      </c>
      <c r="D345" s="3" t="s">
        <v>994</v>
      </c>
      <c r="E345" s="3"/>
      <c r="F345" s="6">
        <f>100*SUM(AM345:AO345)/AL345</f>
      </c>
      <c r="G345" s="6">
        <f>100*SUM(AP345)/AL345</f>
      </c>
      <c r="H345" s="6">
        <f>100*SUM(AQ345)/AL345</f>
      </c>
      <c r="I345" s="6">
        <f>100*SUM(AR345:BC345)/AL345</f>
      </c>
      <c r="J345" s="3"/>
      <c r="K345" s="6">
        <v>0.9</v>
      </c>
      <c r="L345" s="6">
        <v>1.9</v>
      </c>
      <c r="M345" s="5">
        <v>9</v>
      </c>
      <c r="N345" s="5"/>
      <c r="O345" s="6"/>
      <c r="P345" s="6"/>
      <c r="Q345" s="7"/>
      <c r="R345" s="6"/>
      <c r="S345" s="6"/>
      <c r="T345" s="6"/>
      <c r="U345" s="5"/>
      <c r="V345" s="6"/>
      <c r="W345" s="6"/>
      <c r="X345" s="6"/>
      <c r="Y345" s="15"/>
      <c r="Z345" s="6"/>
      <c r="AA345" s="6"/>
      <c r="AB345" s="5"/>
      <c r="AC345" s="3"/>
      <c r="AD345" s="6">
        <v>0.0171</v>
      </c>
      <c r="AE345" s="6">
        <v>0.081</v>
      </c>
      <c r="AF345" s="7">
        <v>0</v>
      </c>
      <c r="AG345" s="6">
        <v>0</v>
      </c>
      <c r="AH345" s="7">
        <v>0</v>
      </c>
      <c r="AI345" s="15">
        <v>0.0981</v>
      </c>
      <c r="AJ345" s="6">
        <v>10.9</v>
      </c>
      <c r="AK345" s="3"/>
      <c r="AL345" s="6">
        <v>231.46095399999996</v>
      </c>
      <c r="AM345" s="6">
        <v>36.023163999999994</v>
      </c>
      <c r="AN345" s="6">
        <v>195.43778999999998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/>
      <c r="BD345" s="3"/>
      <c r="BE345" s="3"/>
      <c r="BF345" s="7">
        <v>208.31485859999998</v>
      </c>
    </row>
    <row x14ac:dyDescent="0.25" r="346" customHeight="1" ht="12.75">
      <c r="A346" s="5" t="s">
        <v>87</v>
      </c>
      <c r="B346" s="3" t="s">
        <v>855</v>
      </c>
      <c r="C346" s="3" t="s">
        <v>866</v>
      </c>
      <c r="D346" s="3" t="s">
        <v>988</v>
      </c>
      <c r="E346" s="3"/>
      <c r="F346" s="6">
        <f>100*SUM(AM346:AO346)/AL346</f>
      </c>
      <c r="G346" s="6">
        <f>100*SUM(AP346)/AL346</f>
      </c>
      <c r="H346" s="6">
        <f>100*SUM(AQ346)/AL346</f>
      </c>
      <c r="I346" s="6">
        <f>100*SUM(AR346:BC346)/AL346</f>
      </c>
      <c r="J346" s="3"/>
      <c r="K346" s="7">
        <v>56</v>
      </c>
      <c r="L346" s="7">
        <v>5.310714285714285</v>
      </c>
      <c r="M346" s="7">
        <v>7.821785714285714</v>
      </c>
      <c r="N346" s="31">
        <v>106.26785714285714</v>
      </c>
      <c r="O346" s="6"/>
      <c r="P346" s="6"/>
      <c r="Q346" s="7"/>
      <c r="R346" s="6"/>
      <c r="S346" s="6"/>
      <c r="T346" s="6"/>
      <c r="U346" s="5"/>
      <c r="V346" s="6"/>
      <c r="W346" s="6"/>
      <c r="X346" s="6"/>
      <c r="Y346" s="15"/>
      <c r="Z346" s="6"/>
      <c r="AA346" s="6"/>
      <c r="AB346" s="5"/>
      <c r="AC346" s="3"/>
      <c r="AD346" s="6">
        <v>2.9739999999999998</v>
      </c>
      <c r="AE346" s="6">
        <v>4.380199999999999</v>
      </c>
      <c r="AF346" s="7">
        <v>5951</v>
      </c>
      <c r="AG346" s="6">
        <v>0</v>
      </c>
      <c r="AH346" s="7">
        <v>0</v>
      </c>
      <c r="AI346" s="15">
        <v>7.354199999999999</v>
      </c>
      <c r="AJ346" s="6">
        <v>13.1325</v>
      </c>
      <c r="AK346" s="3"/>
      <c r="AL346" s="6">
        <v>335.5663019402963</v>
      </c>
      <c r="AM346" s="6">
        <v>100.68880614285713</v>
      </c>
      <c r="AN346" s="6">
        <v>169.85250153928573</v>
      </c>
      <c r="AO346" s="6">
        <v>65.02499425815343</v>
      </c>
      <c r="AP346" s="6">
        <v>0</v>
      </c>
      <c r="AQ346" s="6">
        <v>0</v>
      </c>
      <c r="AR346" s="6">
        <v>0</v>
      </c>
      <c r="AS346" s="6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0</v>
      </c>
      <c r="BC346" s="6"/>
      <c r="BD346" s="3"/>
      <c r="BE346" s="3"/>
      <c r="BF346" s="7">
        <v>18791.71290865659</v>
      </c>
    </row>
    <row x14ac:dyDescent="0.25" r="347" customHeight="1" ht="12.75">
      <c r="A347" s="5" t="s">
        <v>116</v>
      </c>
      <c r="B347" s="3" t="s">
        <v>855</v>
      </c>
      <c r="C347" s="3" t="s">
        <v>866</v>
      </c>
      <c r="D347" s="3" t="s">
        <v>988</v>
      </c>
      <c r="E347" s="3"/>
      <c r="F347" s="6">
        <f>100*SUM(AM347:AO347)/AL347</f>
      </c>
      <c r="G347" s="6">
        <f>100*SUM(AP347)/AL347</f>
      </c>
      <c r="H347" s="6">
        <f>100*SUM(AQ347)/AL347</f>
      </c>
      <c r="I347" s="6">
        <f>100*SUM(AR347:BC347)/AL347</f>
      </c>
      <c r="J347" s="3"/>
      <c r="K347" s="6">
        <v>78.5</v>
      </c>
      <c r="L347" s="7">
        <v>2.097324840764331</v>
      </c>
      <c r="M347" s="7">
        <v>4.79171974522293</v>
      </c>
      <c r="N347" s="31">
        <v>48.698089171974516</v>
      </c>
      <c r="O347" s="6"/>
      <c r="P347" s="6"/>
      <c r="Q347" s="7"/>
      <c r="R347" s="6"/>
      <c r="S347" s="6"/>
      <c r="T347" s="6"/>
      <c r="U347" s="5"/>
      <c r="V347" s="6"/>
      <c r="W347" s="6"/>
      <c r="X347" s="6"/>
      <c r="Y347" s="15"/>
      <c r="Z347" s="6"/>
      <c r="AA347" s="6"/>
      <c r="AB347" s="5"/>
      <c r="AC347" s="3"/>
      <c r="AD347" s="6">
        <v>1.6463999999999999</v>
      </c>
      <c r="AE347" s="6">
        <v>3.7615000000000003</v>
      </c>
      <c r="AF347" s="7">
        <v>3822.7999999999993</v>
      </c>
      <c r="AG347" s="6">
        <v>0</v>
      </c>
      <c r="AH347" s="7">
        <v>0</v>
      </c>
      <c r="AI347" s="15">
        <v>5.4079</v>
      </c>
      <c r="AJ347" s="6">
        <v>6.889044585987261</v>
      </c>
      <c r="AK347" s="3"/>
      <c r="AL347" s="6">
        <v>173.6162556959838</v>
      </c>
      <c r="AM347" s="6">
        <v>39.76435615796178</v>
      </c>
      <c r="AN347" s="6">
        <v>104.05367970063695</v>
      </c>
      <c r="AO347" s="6">
        <v>29.79821983738505</v>
      </c>
      <c r="AP347" s="6">
        <v>0</v>
      </c>
      <c r="AQ347" s="6">
        <v>0</v>
      </c>
      <c r="AR347" s="6">
        <v>0</v>
      </c>
      <c r="AS347" s="6">
        <v>0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0</v>
      </c>
      <c r="BB347" s="6">
        <v>0</v>
      </c>
      <c r="BC347" s="6"/>
      <c r="BD347" s="3"/>
      <c r="BE347" s="3"/>
      <c r="BF347" s="7">
        <v>13628.876072134728</v>
      </c>
    </row>
    <row x14ac:dyDescent="0.25" r="348" customHeight="1" ht="12.75">
      <c r="A348" s="5" t="s">
        <v>346</v>
      </c>
      <c r="B348" s="3" t="s">
        <v>855</v>
      </c>
      <c r="C348" s="3" t="s">
        <v>866</v>
      </c>
      <c r="D348" s="3" t="s">
        <v>988</v>
      </c>
      <c r="E348" s="3"/>
      <c r="F348" s="6">
        <f>100*SUM(AM348:AO348)/AL348</f>
      </c>
      <c r="G348" s="6">
        <f>100*SUM(AP348)/AL348</f>
      </c>
      <c r="H348" s="6">
        <f>100*SUM(AQ348)/AL348</f>
      </c>
      <c r="I348" s="6">
        <f>100*SUM(AR348:BC348)/AL348</f>
      </c>
      <c r="J348" s="3"/>
      <c r="K348" s="6">
        <v>14.620000000000001</v>
      </c>
      <c r="L348" s="6">
        <v>1.6361969904240765</v>
      </c>
      <c r="M348" s="7">
        <v>7.616484268125855</v>
      </c>
      <c r="N348" s="31">
        <v>37.663474692202456</v>
      </c>
      <c r="O348" s="6"/>
      <c r="P348" s="6"/>
      <c r="Q348" s="7"/>
      <c r="R348" s="6"/>
      <c r="S348" s="6"/>
      <c r="T348" s="6"/>
      <c r="U348" s="5"/>
      <c r="V348" s="6"/>
      <c r="W348" s="6"/>
      <c r="X348" s="6"/>
      <c r="Y348" s="15"/>
      <c r="Z348" s="6"/>
      <c r="AA348" s="6"/>
      <c r="AB348" s="5"/>
      <c r="AC348" s="3"/>
      <c r="AD348" s="6">
        <v>0.23921199999999998</v>
      </c>
      <c r="AE348" s="6">
        <v>1.1135300000000001</v>
      </c>
      <c r="AF348" s="7">
        <v>550.64</v>
      </c>
      <c r="AG348" s="6">
        <v>0</v>
      </c>
      <c r="AH348" s="7">
        <v>0</v>
      </c>
      <c r="AI348" s="15">
        <v>1.352742</v>
      </c>
      <c r="AJ348" s="6">
        <v>9.25268125854993</v>
      </c>
      <c r="AK348" s="3"/>
      <c r="AL348" s="6">
        <v>219.46206317442122</v>
      </c>
      <c r="AM348" s="6">
        <v>31.021575011764703</v>
      </c>
      <c r="AN348" s="6">
        <v>165.39431699247604</v>
      </c>
      <c r="AO348" s="6">
        <v>23.04617117018048</v>
      </c>
      <c r="AP348" s="6">
        <v>0</v>
      </c>
      <c r="AQ348" s="6">
        <v>0</v>
      </c>
      <c r="AR348" s="6">
        <v>0</v>
      </c>
      <c r="AS348" s="6">
        <v>0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0</v>
      </c>
      <c r="BA348" s="6">
        <v>0</v>
      </c>
      <c r="BB348" s="6">
        <v>0</v>
      </c>
      <c r="BC348" s="6"/>
      <c r="BD348" s="3"/>
      <c r="BE348" s="3"/>
      <c r="BF348" s="7">
        <v>3208.5353636100385</v>
      </c>
    </row>
    <row x14ac:dyDescent="0.25" r="349" customHeight="1" ht="12.75">
      <c r="A349" s="5" t="s">
        <v>55</v>
      </c>
      <c r="B349" s="3" t="s">
        <v>855</v>
      </c>
      <c r="C349" s="3" t="s">
        <v>866</v>
      </c>
      <c r="D349" s="3" t="s">
        <v>988</v>
      </c>
      <c r="E349" s="3"/>
      <c r="F349" s="6">
        <f>100*SUM(AM349:AO349)/AL349</f>
      </c>
      <c r="G349" s="6">
        <f>100*SUM(AP349)/AL349</f>
      </c>
      <c r="H349" s="6">
        <f>100*SUM(AQ349)/AL349</f>
      </c>
      <c r="I349" s="6">
        <f>100*SUM(AR349:BC349)/AL349</f>
      </c>
      <c r="J349" s="3"/>
      <c r="K349" s="6">
        <v>135.058</v>
      </c>
      <c r="L349" s="6">
        <v>1.1591302255327343</v>
      </c>
      <c r="M349" s="6">
        <v>6.121593463548995</v>
      </c>
      <c r="N349" s="7">
        <v>36.723171526307226</v>
      </c>
      <c r="O349" s="6"/>
      <c r="P349" s="6"/>
      <c r="Q349" s="7"/>
      <c r="R349" s="6"/>
      <c r="S349" s="6"/>
      <c r="T349" s="6"/>
      <c r="U349" s="5"/>
      <c r="V349" s="6"/>
      <c r="W349" s="6"/>
      <c r="X349" s="6"/>
      <c r="Y349" s="15"/>
      <c r="Z349" s="6"/>
      <c r="AA349" s="6"/>
      <c r="AB349" s="23">
        <v>0.015855069673769786</v>
      </c>
      <c r="AC349" s="3" t="s">
        <v>932</v>
      </c>
      <c r="AD349" s="6">
        <v>1.5654981000000001</v>
      </c>
      <c r="AE349" s="6">
        <v>8.267701700000002</v>
      </c>
      <c r="AF349" s="7">
        <v>4959.758100000001</v>
      </c>
      <c r="AG349" s="6">
        <v>0</v>
      </c>
      <c r="AH349" s="7">
        <v>0</v>
      </c>
      <c r="AI349" s="15">
        <v>9.833199800000003</v>
      </c>
      <c r="AJ349" s="6">
        <v>7.280723689081729</v>
      </c>
      <c r="AK349" s="3"/>
      <c r="AL349" s="6">
        <v>177.68728954951644</v>
      </c>
      <c r="AM349" s="6">
        <v>21.976599058801405</v>
      </c>
      <c r="AN349" s="6">
        <v>132.93229975494012</v>
      </c>
      <c r="AO349" s="6">
        <v>22.47080238410375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0.30758835167113385</v>
      </c>
      <c r="BD349" s="3" t="s">
        <v>933</v>
      </c>
      <c r="BE349" s="3"/>
      <c r="BF349" s="7">
        <v>23998.08995197859</v>
      </c>
    </row>
    <row x14ac:dyDescent="0.25" r="350" customHeight="1" ht="12.75">
      <c r="A350" s="5" t="s">
        <v>115</v>
      </c>
      <c r="B350" s="3" t="s">
        <v>855</v>
      </c>
      <c r="C350" s="3" t="s">
        <v>866</v>
      </c>
      <c r="D350" s="3" t="s">
        <v>988</v>
      </c>
      <c r="E350" s="3"/>
      <c r="F350" s="6">
        <f>100*SUM(AM350:AO350)/AL350</f>
      </c>
      <c r="G350" s="6">
        <f>100*SUM(AP350)/AL350</f>
      </c>
      <c r="H350" s="6">
        <f>100*SUM(AQ350)/AL350</f>
      </c>
      <c r="I350" s="6">
        <f>100*SUM(AR350:BC350)/AL350</f>
      </c>
      <c r="J350" s="3"/>
      <c r="K350" s="6">
        <v>2.57</v>
      </c>
      <c r="L350" s="6">
        <v>6.4</v>
      </c>
      <c r="M350" s="6">
        <v>8.8</v>
      </c>
      <c r="N350" s="5">
        <v>325</v>
      </c>
      <c r="O350" s="6"/>
      <c r="P350" s="6">
        <v>0.63</v>
      </c>
      <c r="Q350" s="7"/>
      <c r="R350" s="6"/>
      <c r="S350" s="6"/>
      <c r="T350" s="6"/>
      <c r="U350" s="5"/>
      <c r="V350" s="6"/>
      <c r="W350" s="6"/>
      <c r="X350" s="6"/>
      <c r="Y350" s="15"/>
      <c r="Z350" s="6"/>
      <c r="AA350" s="6"/>
      <c r="AB350" s="5"/>
      <c r="AC350" s="3"/>
      <c r="AD350" s="6">
        <v>0.16448000000000002</v>
      </c>
      <c r="AE350" s="6">
        <v>0.22616</v>
      </c>
      <c r="AF350" s="7">
        <v>835.25</v>
      </c>
      <c r="AG350" s="6">
        <v>0</v>
      </c>
      <c r="AH350" s="7">
        <v>1.6191</v>
      </c>
      <c r="AI350" s="15">
        <v>0.39064</v>
      </c>
      <c r="AJ350" s="6">
        <v>15.200000000000001</v>
      </c>
      <c r="AK350" s="3"/>
      <c r="AL350" s="6">
        <v>537.0291595884245</v>
      </c>
      <c r="AM350" s="6">
        <v>121.341184</v>
      </c>
      <c r="AN350" s="6">
        <v>191.094728</v>
      </c>
      <c r="AO350" s="6">
        <v>198.86655948553056</v>
      </c>
      <c r="AP350" s="6">
        <v>0</v>
      </c>
      <c r="AQ350" s="6">
        <v>25.726688102893892</v>
      </c>
      <c r="AR350" s="6">
        <v>0</v>
      </c>
      <c r="AS350" s="6">
        <v>0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6">
        <v>0</v>
      </c>
      <c r="BA350" s="6">
        <v>0</v>
      </c>
      <c r="BB350" s="6">
        <v>0</v>
      </c>
      <c r="BC350" s="6"/>
      <c r="BD350" s="3"/>
      <c r="BE350" s="3"/>
      <c r="BF350" s="7">
        <v>1380.1649401422508</v>
      </c>
    </row>
    <row x14ac:dyDescent="0.25" r="351" customHeight="1" ht="12.75">
      <c r="A351" s="5" t="s">
        <v>27</v>
      </c>
      <c r="B351" s="3" t="s">
        <v>855</v>
      </c>
      <c r="C351" s="3" t="s">
        <v>866</v>
      </c>
      <c r="D351" s="3" t="s">
        <v>989</v>
      </c>
      <c r="E351" s="3"/>
      <c r="F351" s="6">
        <f>100*SUM(AM351:AO351)/AL351</f>
      </c>
      <c r="G351" s="6">
        <f>100*SUM(AP351)/AL351</f>
      </c>
      <c r="H351" s="6">
        <f>100*SUM(AQ351)/AL351</f>
      </c>
      <c r="I351" s="6">
        <f>100*SUM(AR351:BC351)/AL351</f>
      </c>
      <c r="J351" s="3"/>
      <c r="K351" s="23">
        <v>11.67</v>
      </c>
      <c r="L351" s="7">
        <v>10.918080548414737</v>
      </c>
      <c r="M351" s="7">
        <v>12.775638389031705</v>
      </c>
      <c r="N351" s="31">
        <v>196.7997429305913</v>
      </c>
      <c r="O351" s="6">
        <v>0.44782776349614395</v>
      </c>
      <c r="P351" s="6"/>
      <c r="Q351" s="7"/>
      <c r="R351" s="6"/>
      <c r="S351" s="6"/>
      <c r="T351" s="6"/>
      <c r="U351" s="5"/>
      <c r="V351" s="6"/>
      <c r="W351" s="6"/>
      <c r="X351" s="6"/>
      <c r="Y351" s="15"/>
      <c r="Z351" s="6"/>
      <c r="AA351" s="6"/>
      <c r="AB351" s="5"/>
      <c r="AC351" s="3"/>
      <c r="AD351" s="6">
        <v>1.2741399999999998</v>
      </c>
      <c r="AE351" s="6">
        <v>1.490917</v>
      </c>
      <c r="AF351" s="7">
        <v>2296.6530000000002</v>
      </c>
      <c r="AG351" s="6">
        <v>0.052261499999999995</v>
      </c>
      <c r="AH351" s="7">
        <v>0</v>
      </c>
      <c r="AI351" s="15">
        <v>2.8173185</v>
      </c>
      <c r="AJ351" s="6">
        <v>24.141546700942584</v>
      </c>
      <c r="AK351" s="3"/>
      <c r="AL351" s="6">
        <v>635.9494987437274</v>
      </c>
      <c r="AM351" s="6">
        <v>207.00200324250213</v>
      </c>
      <c r="AN351" s="6">
        <v>277.42694806572405</v>
      </c>
      <c r="AO351" s="6">
        <v>120.42119318228787</v>
      </c>
      <c r="AP351" s="6">
        <v>31.099354253213367</v>
      </c>
      <c r="AQ351" s="6">
        <v>0</v>
      </c>
      <c r="AR351" s="6">
        <v>0</v>
      </c>
      <c r="AS351" s="6">
        <v>0</v>
      </c>
      <c r="AT351" s="6">
        <v>0</v>
      </c>
      <c r="AU351" s="6">
        <v>0</v>
      </c>
      <c r="AV351" s="6">
        <v>0</v>
      </c>
      <c r="AW351" s="6">
        <v>0</v>
      </c>
      <c r="AX351" s="6">
        <v>0</v>
      </c>
      <c r="AY351" s="6">
        <v>0</v>
      </c>
      <c r="AZ351" s="6">
        <v>0</v>
      </c>
      <c r="BA351" s="6">
        <v>0</v>
      </c>
      <c r="BB351" s="6">
        <v>0</v>
      </c>
      <c r="BC351" s="6"/>
      <c r="BD351" s="3"/>
      <c r="BE351" s="3"/>
      <c r="BF351" s="7">
        <v>7421.5306503392985</v>
      </c>
    </row>
    <row x14ac:dyDescent="0.25" r="352" customHeight="1" ht="12.75">
      <c r="A352" s="5" t="s">
        <v>77</v>
      </c>
      <c r="B352" s="3" t="s">
        <v>855</v>
      </c>
      <c r="C352" s="3" t="s">
        <v>866</v>
      </c>
      <c r="D352" s="3" t="s">
        <v>989</v>
      </c>
      <c r="E352" s="3"/>
      <c r="F352" s="6">
        <f>100*SUM(AM352:AO352)/AL352</f>
      </c>
      <c r="G352" s="6">
        <f>100*SUM(AP352)/AL352</f>
      </c>
      <c r="H352" s="6">
        <f>100*SUM(AQ352)/AL352</f>
      </c>
      <c r="I352" s="6">
        <f>100*SUM(AR352:BC352)/AL352</f>
      </c>
      <c r="J352" s="3"/>
      <c r="K352" s="23">
        <v>1.3396</v>
      </c>
      <c r="L352" s="6">
        <v>3.69</v>
      </c>
      <c r="M352" s="6">
        <v>14.74</v>
      </c>
      <c r="N352" s="6">
        <v>8.7</v>
      </c>
      <c r="O352" s="6"/>
      <c r="P352" s="6"/>
      <c r="Q352" s="7"/>
      <c r="R352" s="6"/>
      <c r="S352" s="6"/>
      <c r="T352" s="6"/>
      <c r="U352" s="5"/>
      <c r="V352" s="6"/>
      <c r="W352" s="6"/>
      <c r="X352" s="6"/>
      <c r="Y352" s="15"/>
      <c r="Z352" s="6"/>
      <c r="AA352" s="23">
        <v>0.18429158854868244</v>
      </c>
      <c r="AB352" s="23"/>
      <c r="AC352" s="3"/>
      <c r="AD352" s="6">
        <v>0.049431239999999994</v>
      </c>
      <c r="AE352" s="6">
        <v>0.19745704</v>
      </c>
      <c r="AF352" s="7">
        <v>11.654519999999998</v>
      </c>
      <c r="AG352" s="6">
        <v>0</v>
      </c>
      <c r="AH352" s="7">
        <v>0</v>
      </c>
      <c r="AI352" s="15">
        <v>0.24688828</v>
      </c>
      <c r="AJ352" s="6">
        <v>18.43</v>
      </c>
      <c r="AK352" s="3"/>
      <c r="AL352" s="6">
        <v>418.9327263177878</v>
      </c>
      <c r="AM352" s="6">
        <v>69.9607764</v>
      </c>
      <c r="AN352" s="6">
        <v>320.0836694</v>
      </c>
      <c r="AO352" s="6">
        <v>5.323504823151126</v>
      </c>
      <c r="AP352" s="6">
        <v>0</v>
      </c>
      <c r="AQ352" s="6">
        <v>0</v>
      </c>
      <c r="AR352" s="6">
        <v>0</v>
      </c>
      <c r="AS352" s="6">
        <v>0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6">
        <v>0</v>
      </c>
      <c r="BA352" s="6">
        <v>0</v>
      </c>
      <c r="BB352" s="6">
        <v>23.564775694636666</v>
      </c>
      <c r="BC352" s="6"/>
      <c r="BD352" s="3"/>
      <c r="BE352" s="3"/>
      <c r="BF352" s="7">
        <v>561.2022801753085</v>
      </c>
    </row>
    <row x14ac:dyDescent="0.25" r="353" customHeight="1" ht="12.75">
      <c r="A353" s="5" t="s">
        <v>166</v>
      </c>
      <c r="B353" s="3" t="s">
        <v>855</v>
      </c>
      <c r="C353" s="3" t="s">
        <v>866</v>
      </c>
      <c r="D353" s="3" t="s">
        <v>988</v>
      </c>
      <c r="E353" s="3"/>
      <c r="F353" s="6">
        <f>100*SUM(AM353:AO353)/AL353</f>
      </c>
      <c r="G353" s="6">
        <f>100*SUM(AP353)/AL353</f>
      </c>
      <c r="H353" s="6">
        <f>100*SUM(AQ353)/AL353</f>
      </c>
      <c r="I353" s="6">
        <f>100*SUM(AR353:BC353)/AL353</f>
      </c>
      <c r="J353" s="3"/>
      <c r="K353" s="6">
        <v>14.48</v>
      </c>
      <c r="L353" s="6">
        <v>3.4</v>
      </c>
      <c r="M353" s="6">
        <v>9.9</v>
      </c>
      <c r="N353" s="6">
        <v>19.1</v>
      </c>
      <c r="O353" s="6"/>
      <c r="P353" s="6"/>
      <c r="Q353" s="6">
        <v>7.8</v>
      </c>
      <c r="R353" s="6"/>
      <c r="S353" s="6"/>
      <c r="T353" s="6"/>
      <c r="U353" s="5"/>
      <c r="V353" s="6"/>
      <c r="W353" s="6">
        <v>11.9</v>
      </c>
      <c r="X353" s="6"/>
      <c r="Y353" s="15"/>
      <c r="Z353" s="6"/>
      <c r="AA353" s="6"/>
      <c r="AB353" s="5"/>
      <c r="AC353" s="3"/>
      <c r="AD353" s="6">
        <v>0.49232</v>
      </c>
      <c r="AE353" s="6">
        <v>1.4335200000000001</v>
      </c>
      <c r="AF353" s="7">
        <v>276.56800000000004</v>
      </c>
      <c r="AG353" s="6">
        <v>0</v>
      </c>
      <c r="AH353" s="7">
        <v>0</v>
      </c>
      <c r="AI353" s="15">
        <v>1.92584</v>
      </c>
      <c r="AJ353" s="6">
        <v>13.3</v>
      </c>
      <c r="AK353" s="3"/>
      <c r="AL353" s="6">
        <v>311.10630772668816</v>
      </c>
      <c r="AM353" s="6">
        <v>64.462504</v>
      </c>
      <c r="AN353" s="6">
        <v>214.981569</v>
      </c>
      <c r="AO353" s="6">
        <v>11.687234726688105</v>
      </c>
      <c r="AP353" s="6">
        <v>0</v>
      </c>
      <c r="AQ353" s="6">
        <v>0</v>
      </c>
      <c r="AR353" s="6">
        <v>7.956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12.019</v>
      </c>
      <c r="AY353" s="6">
        <v>0</v>
      </c>
      <c r="AZ353" s="6">
        <v>0</v>
      </c>
      <c r="BA353" s="6">
        <v>0</v>
      </c>
      <c r="BB353" s="6">
        <v>0</v>
      </c>
      <c r="BC353" s="6"/>
      <c r="BD353" s="3"/>
      <c r="BE353" s="3"/>
      <c r="BF353" s="7">
        <v>4504.819335882445</v>
      </c>
    </row>
    <row x14ac:dyDescent="0.25" r="354" customHeight="1" ht="12.75">
      <c r="A354" s="5" t="s">
        <v>548</v>
      </c>
      <c r="B354" s="3" t="s">
        <v>855</v>
      </c>
      <c r="C354" s="3" t="s">
        <v>866</v>
      </c>
      <c r="D354" s="3" t="s">
        <v>988</v>
      </c>
      <c r="E354" s="3"/>
      <c r="F354" s="6">
        <f>100*SUM(AM354:AO354)/AL354</f>
      </c>
      <c r="G354" s="6">
        <f>100*SUM(AP354)/AL354</f>
      </c>
      <c r="H354" s="6">
        <f>100*SUM(AQ354)/AL354</f>
      </c>
      <c r="I354" s="6">
        <f>100*SUM(AR354:BC354)/AL354</f>
      </c>
      <c r="J354" s="3"/>
      <c r="K354" s="6">
        <v>4.7</v>
      </c>
      <c r="L354" s="7">
        <v>2.0170212765957447</v>
      </c>
      <c r="M354" s="7">
        <v>4.81063829787234</v>
      </c>
      <c r="N354" s="7">
        <v>48.106382978723396</v>
      </c>
      <c r="O354" s="6">
        <v>0.2</v>
      </c>
      <c r="P354" s="6"/>
      <c r="Q354" s="7"/>
      <c r="R354" s="6"/>
      <c r="S354" s="6"/>
      <c r="T354" s="6"/>
      <c r="U354" s="5"/>
      <c r="V354" s="6"/>
      <c r="W354" s="6"/>
      <c r="X354" s="6"/>
      <c r="Y354" s="15"/>
      <c r="Z354" s="6"/>
      <c r="AA354" s="6"/>
      <c r="AB354" s="5"/>
      <c r="AC354" s="3"/>
      <c r="AD354" s="6">
        <v>0.09480000000000001</v>
      </c>
      <c r="AE354" s="6">
        <v>0.2261</v>
      </c>
      <c r="AF354" s="7">
        <v>226.09999999999997</v>
      </c>
      <c r="AG354" s="6">
        <v>0.0094</v>
      </c>
      <c r="AH354" s="7">
        <v>0</v>
      </c>
      <c r="AI354" s="15">
        <v>0.33030000000000004</v>
      </c>
      <c r="AJ354" s="6">
        <v>7.0276595744680845</v>
      </c>
      <c r="AK354" s="3"/>
      <c r="AL354" s="6">
        <v>186.03147438113157</v>
      </c>
      <c r="AM354" s="6">
        <v>38.24183591489361</v>
      </c>
      <c r="AN354" s="6">
        <v>104.46450193617021</v>
      </c>
      <c r="AO354" s="6">
        <v>29.43615653006773</v>
      </c>
      <c r="AP354" s="6">
        <v>13.88898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0</v>
      </c>
      <c r="BC354" s="6"/>
      <c r="BD354" s="3"/>
      <c r="BE354" s="3"/>
      <c r="BF354" s="7">
        <v>874.3479295913185</v>
      </c>
    </row>
    <row x14ac:dyDescent="0.25" r="355" customHeight="1" ht="12.75">
      <c r="A355" s="5" t="s">
        <v>129</v>
      </c>
      <c r="B355" s="3" t="s">
        <v>855</v>
      </c>
      <c r="C355" s="3" t="s">
        <v>866</v>
      </c>
      <c r="D355" s="3" t="s">
        <v>988</v>
      </c>
      <c r="E355" s="3"/>
      <c r="F355" s="6">
        <f>100*SUM(AM355:AO355)/AL355</f>
      </c>
      <c r="G355" s="6">
        <f>100*SUM(AP355)/AL355</f>
      </c>
      <c r="H355" s="6">
        <f>100*SUM(AQ355)/AL355</f>
      </c>
      <c r="I355" s="6">
        <f>100*SUM(AR355:BC355)/AL355</f>
      </c>
      <c r="J355" s="3"/>
      <c r="K355" s="6">
        <v>54.2</v>
      </c>
      <c r="L355" s="7">
        <v>2.0411439114391143</v>
      </c>
      <c r="M355" s="7">
        <v>6.892250922509223</v>
      </c>
      <c r="N355" s="31">
        <v>74.66420664206642</v>
      </c>
      <c r="O355" s="6">
        <v>0.15</v>
      </c>
      <c r="P355" s="6">
        <v>0.28</v>
      </c>
      <c r="Q355" s="7"/>
      <c r="R355" s="6"/>
      <c r="S355" s="6"/>
      <c r="T355" s="6"/>
      <c r="U355" s="5"/>
      <c r="V355" s="6"/>
      <c r="W355" s="6"/>
      <c r="X355" s="6"/>
      <c r="Y355" s="15"/>
      <c r="Z355" s="6"/>
      <c r="AA355" s="6"/>
      <c r="AB355" s="5"/>
      <c r="AC355" s="3"/>
      <c r="AD355" s="6">
        <v>1.1063</v>
      </c>
      <c r="AE355" s="6">
        <v>3.7355999999999994</v>
      </c>
      <c r="AF355" s="7">
        <v>4046.8</v>
      </c>
      <c r="AG355" s="6">
        <v>0.08130000000000001</v>
      </c>
      <c r="AH355" s="7">
        <v>15.176000000000002</v>
      </c>
      <c r="AI355" s="15">
        <v>4.923199999999999</v>
      </c>
      <c r="AJ355" s="6">
        <v>9.083394833948338</v>
      </c>
      <c r="AK355" s="3"/>
      <c r="AL355" s="6">
        <v>255.90418641315355</v>
      </c>
      <c r="AM355" s="6">
        <v>38.69919045756457</v>
      </c>
      <c r="AN355" s="6">
        <v>149.66736538007376</v>
      </c>
      <c r="AO355" s="6">
        <v>45.68681197422907</v>
      </c>
      <c r="AP355" s="6">
        <v>10.416735</v>
      </c>
      <c r="AQ355" s="6">
        <v>11.434083601286174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0</v>
      </c>
      <c r="BC355" s="6"/>
      <c r="BD355" s="3"/>
      <c r="BE355" s="3"/>
      <c r="BF355" s="7">
        <v>13870.006903592923</v>
      </c>
    </row>
    <row x14ac:dyDescent="0.25" r="356" customHeight="1" ht="12.75">
      <c r="A356" s="5" t="s">
        <v>461</v>
      </c>
      <c r="B356" s="3" t="s">
        <v>855</v>
      </c>
      <c r="C356" s="3" t="s">
        <v>866</v>
      </c>
      <c r="D356" s="3" t="s">
        <v>988</v>
      </c>
      <c r="E356" s="3"/>
      <c r="F356" s="6">
        <f>100*SUM(AM356:AO356)/AL356</f>
      </c>
      <c r="G356" s="6">
        <f>100*SUM(AP356)/AL356</f>
      </c>
      <c r="H356" s="6">
        <f>100*SUM(AQ356)/AL356</f>
      </c>
      <c r="I356" s="6">
        <f>100*SUM(AR356:BC356)/AL356</f>
      </c>
      <c r="J356" s="3"/>
      <c r="K356" s="6">
        <v>0.917</v>
      </c>
      <c r="L356" s="6">
        <v>2.4</v>
      </c>
      <c r="M356" s="6">
        <v>5.7</v>
      </c>
      <c r="N356" s="6">
        <v>44.8</v>
      </c>
      <c r="O356" s="6"/>
      <c r="P356" s="6"/>
      <c r="Q356" s="7"/>
      <c r="R356" s="6"/>
      <c r="S356" s="6"/>
      <c r="T356" s="6"/>
      <c r="U356" s="31">
        <v>28.500000000000004</v>
      </c>
      <c r="V356" s="6"/>
      <c r="W356" s="6"/>
      <c r="X356" s="6"/>
      <c r="Y356" s="15"/>
      <c r="Z356" s="6"/>
      <c r="AA356" s="6"/>
      <c r="AB356" s="5"/>
      <c r="AC356" s="3"/>
      <c r="AD356" s="6">
        <v>0.022008</v>
      </c>
      <c r="AE356" s="6">
        <v>0.052269</v>
      </c>
      <c r="AF356" s="7">
        <v>41.0816</v>
      </c>
      <c r="AG356" s="6">
        <v>0</v>
      </c>
      <c r="AH356" s="7">
        <v>0</v>
      </c>
      <c r="AI356" s="15">
        <v>0.07427700000000001</v>
      </c>
      <c r="AJ356" s="6">
        <v>8.1</v>
      </c>
      <c r="AK356" s="3"/>
      <c r="AL356" s="6">
        <v>217.64070135369775</v>
      </c>
      <c r="AM356" s="6">
        <v>45.502944</v>
      </c>
      <c r="AN356" s="6">
        <v>123.777267</v>
      </c>
      <c r="AO356" s="6">
        <v>27.41299035369775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20.947500000000005</v>
      </c>
      <c r="AW356" s="6">
        <v>0</v>
      </c>
      <c r="AX356" s="6">
        <v>0</v>
      </c>
      <c r="AY356" s="6">
        <v>0</v>
      </c>
      <c r="AZ356" s="6">
        <v>0</v>
      </c>
      <c r="BA356" s="6">
        <v>0</v>
      </c>
      <c r="BB356" s="6">
        <v>0</v>
      </c>
      <c r="BC356" s="6"/>
      <c r="BD356" s="3"/>
      <c r="BE356" s="3"/>
      <c r="BF356" s="7">
        <v>199.57652314134086</v>
      </c>
    </row>
    <row x14ac:dyDescent="0.25" r="357" customHeight="1" ht="12.75">
      <c r="A357" s="5" t="s">
        <v>268</v>
      </c>
      <c r="B357" s="3" t="s">
        <v>855</v>
      </c>
      <c r="C357" s="3" t="s">
        <v>866</v>
      </c>
      <c r="D357" s="3" t="s">
        <v>988</v>
      </c>
      <c r="E357" s="3"/>
      <c r="F357" s="6">
        <f>100*SUM(AM357:AO357)/AL357</f>
      </c>
      <c r="G357" s="6">
        <f>100*SUM(AP357)/AL357</f>
      </c>
      <c r="H357" s="6">
        <f>100*SUM(AQ357)/AL357</f>
      </c>
      <c r="I357" s="6">
        <f>100*SUM(AR357:BC357)/AL357</f>
      </c>
      <c r="J357" s="3"/>
      <c r="K357" s="6">
        <v>17.24</v>
      </c>
      <c r="L357" s="6">
        <v>4.85</v>
      </c>
      <c r="M357" s="6">
        <v>6.39</v>
      </c>
      <c r="N357" s="6">
        <v>71.6</v>
      </c>
      <c r="O357" s="6"/>
      <c r="P357" s="6">
        <v>0.75</v>
      </c>
      <c r="Q357" s="7"/>
      <c r="R357" s="6"/>
      <c r="S357" s="6"/>
      <c r="T357" s="6"/>
      <c r="U357" s="5"/>
      <c r="V357" s="6"/>
      <c r="W357" s="6"/>
      <c r="X357" s="6"/>
      <c r="Y357" s="15"/>
      <c r="Z357" s="6"/>
      <c r="AA357" s="6"/>
      <c r="AB357" s="5"/>
      <c r="AC357" s="3"/>
      <c r="AD357" s="6">
        <v>0.8361399999999999</v>
      </c>
      <c r="AE357" s="6">
        <v>1.1016359999999998</v>
      </c>
      <c r="AF357" s="7">
        <v>1234.3839999999998</v>
      </c>
      <c r="AG357" s="6">
        <v>0</v>
      </c>
      <c r="AH357" s="7">
        <v>12.93</v>
      </c>
      <c r="AI357" s="15">
        <v>1.9377759999999997</v>
      </c>
      <c r="AJ357" s="6">
        <v>11.239999999999998</v>
      </c>
      <c r="AK357" s="3"/>
      <c r="AL357" s="6">
        <v>305.1535393437299</v>
      </c>
      <c r="AM357" s="6">
        <v>91.95386599999999</v>
      </c>
      <c r="AN357" s="6">
        <v>138.7608309</v>
      </c>
      <c r="AO357" s="6">
        <v>43.811832797427655</v>
      </c>
      <c r="AP357" s="6">
        <v>0</v>
      </c>
      <c r="AQ357" s="6">
        <v>30.627009646302252</v>
      </c>
      <c r="AR357" s="6">
        <v>0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/>
      <c r="BD357" s="3"/>
      <c r="BE357" s="3"/>
      <c r="BF357" s="7">
        <v>5260.847018285903</v>
      </c>
    </row>
    <row x14ac:dyDescent="0.25" r="358" customHeight="1" ht="12.75">
      <c r="A358" s="5" t="s">
        <v>171</v>
      </c>
      <c r="B358" s="3" t="s">
        <v>855</v>
      </c>
      <c r="C358" s="3" t="s">
        <v>866</v>
      </c>
      <c r="D358" s="3" t="s">
        <v>988</v>
      </c>
      <c r="E358" s="3"/>
      <c r="F358" s="6">
        <f>100*SUM(AM358:AO358)/AL358</f>
      </c>
      <c r="G358" s="6">
        <f>100*SUM(AP358)/AL358</f>
      </c>
      <c r="H358" s="6">
        <f>100*SUM(AQ358)/AL358</f>
      </c>
      <c r="I358" s="6">
        <f>100*SUM(AR358:BC358)/AL358</f>
      </c>
      <c r="J358" s="3"/>
      <c r="K358" s="6">
        <v>26.198</v>
      </c>
      <c r="L358" s="7">
        <v>3.2012367356286737</v>
      </c>
      <c r="M358" s="7">
        <v>7.709817543323918</v>
      </c>
      <c r="N358" s="31">
        <v>79.55668371631421</v>
      </c>
      <c r="O358" s="7">
        <v>0.5210474081990992</v>
      </c>
      <c r="P358" s="6"/>
      <c r="Q358" s="7"/>
      <c r="R358" s="6"/>
      <c r="S358" s="6"/>
      <c r="T358" s="6"/>
      <c r="U358" s="5"/>
      <c r="V358" s="6"/>
      <c r="W358" s="6"/>
      <c r="X358" s="6"/>
      <c r="Y358" s="15"/>
      <c r="Z358" s="6"/>
      <c r="AA358" s="6"/>
      <c r="AB358" s="5"/>
      <c r="AC358" s="3"/>
      <c r="AD358" s="6">
        <v>0.83866</v>
      </c>
      <c r="AE358" s="6">
        <v>2.0198180000000003</v>
      </c>
      <c r="AF358" s="7">
        <v>2084.2259999999997</v>
      </c>
      <c r="AG358" s="6">
        <v>0.13650400000000001</v>
      </c>
      <c r="AH358" s="7">
        <v>0</v>
      </c>
      <c r="AI358" s="15">
        <v>2.9949820000000003</v>
      </c>
      <c r="AJ358" s="6">
        <v>11.432101687151691</v>
      </c>
      <c r="AK358" s="3"/>
      <c r="AL358" s="6">
        <v>312.9797076553864</v>
      </c>
      <c r="AM358" s="6">
        <v>60.69403996335597</v>
      </c>
      <c r="AN358" s="6">
        <v>167.42107799671732</v>
      </c>
      <c r="AO358" s="6">
        <v>48.68050453766751</v>
      </c>
      <c r="AP358" s="6">
        <v>36.184085157645626</v>
      </c>
      <c r="AQ358" s="6">
        <v>0</v>
      </c>
      <c r="AR358" s="6">
        <v>0</v>
      </c>
      <c r="AS358" s="6">
        <v>0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0</v>
      </c>
      <c r="BC358" s="6"/>
      <c r="BD358" s="3"/>
      <c r="BE358" s="3"/>
      <c r="BF358" s="7">
        <v>8199.442381155814</v>
      </c>
    </row>
    <row x14ac:dyDescent="0.25" r="359" customHeight="1" ht="12.75">
      <c r="A359" s="5" t="s">
        <v>127</v>
      </c>
      <c r="B359" s="3" t="s">
        <v>855</v>
      </c>
      <c r="C359" s="3" t="s">
        <v>866</v>
      </c>
      <c r="D359" s="3" t="s">
        <v>989</v>
      </c>
      <c r="E359" s="3"/>
      <c r="F359" s="6">
        <f>100*SUM(AM359:AO359)/AL359</f>
      </c>
      <c r="G359" s="6">
        <f>100*SUM(AP359)/AL359</f>
      </c>
      <c r="H359" s="6">
        <f>100*SUM(AQ359)/AL359</f>
      </c>
      <c r="I359" s="6">
        <f>100*SUM(AR359:BC359)/AL359</f>
      </c>
      <c r="J359" s="3"/>
      <c r="K359" s="6">
        <v>96.7</v>
      </c>
      <c r="L359" s="6">
        <v>2.9</v>
      </c>
      <c r="M359" s="6">
        <v>2.4</v>
      </c>
      <c r="N359" s="5">
        <v>15</v>
      </c>
      <c r="O359" s="6"/>
      <c r="P359" s="6"/>
      <c r="Q359" s="7">
        <v>16</v>
      </c>
      <c r="R359" s="6"/>
      <c r="S359" s="6"/>
      <c r="T359" s="6"/>
      <c r="U359" s="5"/>
      <c r="V359" s="6"/>
      <c r="W359" s="6"/>
      <c r="X359" s="6"/>
      <c r="Y359" s="15"/>
      <c r="Z359" s="6"/>
      <c r="AA359" s="6"/>
      <c r="AB359" s="5"/>
      <c r="AC359" s="3"/>
      <c r="AD359" s="6">
        <v>2.8043</v>
      </c>
      <c r="AE359" s="6">
        <v>2.3207999999999998</v>
      </c>
      <c r="AF359" s="7">
        <v>1450.5</v>
      </c>
      <c r="AG359" s="6">
        <v>0</v>
      </c>
      <c r="AH359" s="7">
        <v>0</v>
      </c>
      <c r="AI359" s="15">
        <v>5.1251</v>
      </c>
      <c r="AJ359" s="6">
        <v>5.3</v>
      </c>
      <c r="AK359" s="3"/>
      <c r="AL359" s="6">
        <v>132.59792459163987</v>
      </c>
      <c r="AM359" s="6">
        <v>54.98272399999999</v>
      </c>
      <c r="AN359" s="6">
        <v>52.116744</v>
      </c>
      <c r="AO359" s="6">
        <v>9.178456591639874</v>
      </c>
      <c r="AP359" s="6">
        <v>0</v>
      </c>
      <c r="AQ359" s="6">
        <v>0</v>
      </c>
      <c r="AR359" s="6">
        <v>16.32</v>
      </c>
      <c r="AS359" s="6">
        <v>0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/>
      <c r="BD359" s="3"/>
      <c r="BE359" s="3"/>
      <c r="BF359" s="7">
        <v>12822.219308011576</v>
      </c>
    </row>
    <row x14ac:dyDescent="0.25" r="360" customHeight="1" ht="12.75">
      <c r="A360" s="5" t="s">
        <v>524</v>
      </c>
      <c r="B360" s="3" t="s">
        <v>855</v>
      </c>
      <c r="C360" s="3" t="s">
        <v>866</v>
      </c>
      <c r="D360" s="3" t="s">
        <v>988</v>
      </c>
      <c r="E360" s="3"/>
      <c r="F360" s="6">
        <f>100*SUM(AM360:AO360)/AL360</f>
      </c>
      <c r="G360" s="6">
        <f>100*SUM(AP360)/AL360</f>
      </c>
      <c r="H360" s="6">
        <f>100*SUM(AQ360)/AL360</f>
      </c>
      <c r="I360" s="6">
        <f>100*SUM(AR360:BC360)/AL360</f>
      </c>
      <c r="J360" s="3"/>
      <c r="K360" s="6">
        <v>2.51</v>
      </c>
      <c r="L360" s="6">
        <v>3.17</v>
      </c>
      <c r="M360" s="6">
        <v>3.84</v>
      </c>
      <c r="N360" s="7">
        <v>10.72163346613546</v>
      </c>
      <c r="O360" s="6">
        <v>0.31</v>
      </c>
      <c r="P360" s="6"/>
      <c r="Q360" s="7"/>
      <c r="R360" s="6"/>
      <c r="S360" s="6"/>
      <c r="T360" s="6"/>
      <c r="U360" s="5"/>
      <c r="V360" s="6"/>
      <c r="W360" s="6"/>
      <c r="X360" s="6"/>
      <c r="Y360" s="15"/>
      <c r="Z360" s="6"/>
      <c r="AA360" s="6"/>
      <c r="AB360" s="5"/>
      <c r="AC360" s="3"/>
      <c r="AD360" s="6">
        <v>0.07956699999999998</v>
      </c>
      <c r="AE360" s="6">
        <v>0.09638399999999998</v>
      </c>
      <c r="AF360" s="7">
        <v>26.9113</v>
      </c>
      <c r="AG360" s="6">
        <v>0.007780999999999999</v>
      </c>
      <c r="AH360" s="7">
        <v>0</v>
      </c>
      <c r="AI360" s="15">
        <v>0.18373199999999998</v>
      </c>
      <c r="AJ360" s="6">
        <v>7.319999999999999</v>
      </c>
      <c r="AK360" s="3"/>
      <c r="AL360" s="6">
        <v>171.57705109069317</v>
      </c>
      <c r="AM360" s="6">
        <v>60.101805199999994</v>
      </c>
      <c r="AN360" s="6">
        <v>83.3867904</v>
      </c>
      <c r="AO360" s="6">
        <v>6.560536490693178</v>
      </c>
      <c r="AP360" s="6">
        <v>21.527918999999997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/>
      <c r="BD360" s="3"/>
      <c r="BE360" s="3"/>
      <c r="BF360" s="7">
        <v>430.65839823763986</v>
      </c>
    </row>
    <row x14ac:dyDescent="0.25" r="361" customHeight="1" ht="12.75">
      <c r="A361" s="5" t="s">
        <v>499</v>
      </c>
      <c r="B361" s="3" t="s">
        <v>855</v>
      </c>
      <c r="C361" s="3" t="s">
        <v>866</v>
      </c>
      <c r="D361" s="3" t="s">
        <v>993</v>
      </c>
      <c r="E361" s="3"/>
      <c r="F361" s="6">
        <f>100*SUM(AM361:AO361)/AL361</f>
      </c>
      <c r="G361" s="6">
        <f>100*SUM(AP361)/AL361</f>
      </c>
      <c r="H361" s="6">
        <f>100*SUM(AQ361)/AL361</f>
      </c>
      <c r="I361" s="6">
        <f>100*SUM(AR361:BC361)/AL361</f>
      </c>
      <c r="J361" s="3"/>
      <c r="K361" s="6">
        <v>5.8</v>
      </c>
      <c r="L361" s="6">
        <v>6.4</v>
      </c>
      <c r="M361" s="6">
        <v>0.8</v>
      </c>
      <c r="N361" s="5">
        <v>47</v>
      </c>
      <c r="O361" s="6">
        <v>0.4</v>
      </c>
      <c r="P361" s="6"/>
      <c r="Q361" s="7"/>
      <c r="R361" s="6"/>
      <c r="S361" s="6"/>
      <c r="T361" s="6"/>
      <c r="U361" s="5"/>
      <c r="V361" s="6"/>
      <c r="W361" s="6"/>
      <c r="X361" s="6"/>
      <c r="Y361" s="15"/>
      <c r="Z361" s="6"/>
      <c r="AA361" s="6"/>
      <c r="AB361" s="5"/>
      <c r="AC361" s="3"/>
      <c r="AD361" s="6">
        <v>0.3712</v>
      </c>
      <c r="AE361" s="6">
        <v>0.0464</v>
      </c>
      <c r="AF361" s="7">
        <v>272.59999999999997</v>
      </c>
      <c r="AG361" s="6">
        <v>0.0232</v>
      </c>
      <c r="AH361" s="7">
        <v>0</v>
      </c>
      <c r="AI361" s="15">
        <v>0.44079999999999997</v>
      </c>
      <c r="AJ361" s="6">
        <v>7.6000000000000005</v>
      </c>
      <c r="AK361" s="3"/>
      <c r="AL361" s="6">
        <v>195.25055598713828</v>
      </c>
      <c r="AM361" s="6">
        <v>121.341184</v>
      </c>
      <c r="AN361" s="6">
        <v>17.372248</v>
      </c>
      <c r="AO361" s="6">
        <v>28.759163987138265</v>
      </c>
      <c r="AP361" s="6">
        <v>27.77796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0</v>
      </c>
      <c r="BC361" s="6"/>
      <c r="BD361" s="3"/>
      <c r="BE361" s="3"/>
      <c r="BF361" s="7">
        <v>1132.453224725402</v>
      </c>
    </row>
    <row x14ac:dyDescent="0.25" r="362" customHeight="1" ht="12.75">
      <c r="A362" s="5" t="s">
        <v>536</v>
      </c>
      <c r="B362" s="3" t="s">
        <v>855</v>
      </c>
      <c r="C362" s="3" t="s">
        <v>866</v>
      </c>
      <c r="D362" s="3" t="s">
        <v>988</v>
      </c>
      <c r="E362" s="3"/>
      <c r="F362" s="6">
        <f>100*SUM(AM362:AO362)/AL362</f>
      </c>
      <c r="G362" s="6">
        <f>100*SUM(AP362)/AL362</f>
      </c>
      <c r="H362" s="6">
        <f>100*SUM(AQ362)/AL362</f>
      </c>
      <c r="I362" s="6">
        <f>100*SUM(AR362:BC362)/AL362</f>
      </c>
      <c r="J362" s="3"/>
      <c r="K362" s="6">
        <v>11.868</v>
      </c>
      <c r="L362" s="6">
        <v>2</v>
      </c>
      <c r="M362" s="6">
        <v>3.24</v>
      </c>
      <c r="N362" s="6">
        <v>11.14</v>
      </c>
      <c r="O362" s="6">
        <v>0.1</v>
      </c>
      <c r="P362" s="6">
        <v>0.3</v>
      </c>
      <c r="Q362" s="7"/>
      <c r="R362" s="6"/>
      <c r="S362" s="6"/>
      <c r="T362" s="6"/>
      <c r="U362" s="5"/>
      <c r="V362" s="6"/>
      <c r="W362" s="6"/>
      <c r="X362" s="6"/>
      <c r="Y362" s="15"/>
      <c r="Z362" s="6"/>
      <c r="AA362" s="6"/>
      <c r="AB362" s="5"/>
      <c r="AC362" s="3"/>
      <c r="AD362" s="6">
        <v>0.23736000000000002</v>
      </c>
      <c r="AE362" s="6">
        <v>0.3845232</v>
      </c>
      <c r="AF362" s="7">
        <v>132.20952</v>
      </c>
      <c r="AG362" s="6">
        <v>0.011868</v>
      </c>
      <c r="AH362" s="7">
        <v>3.5604</v>
      </c>
      <c r="AI362" s="15">
        <v>0.6337512000000001</v>
      </c>
      <c r="AJ362" s="6">
        <v>5.34</v>
      </c>
      <c r="AK362" s="3"/>
      <c r="AL362" s="6">
        <v>134.28855202057878</v>
      </c>
      <c r="AM362" s="6">
        <v>37.91912</v>
      </c>
      <c r="AN362" s="6">
        <v>70.35760440000001</v>
      </c>
      <c r="AO362" s="6">
        <v>6.816533762057879</v>
      </c>
      <c r="AP362" s="6">
        <v>6.94449</v>
      </c>
      <c r="AQ362" s="6">
        <v>12.2508038585209</v>
      </c>
      <c r="AR362" s="6">
        <v>0</v>
      </c>
      <c r="AS362" s="6">
        <v>0</v>
      </c>
      <c r="AT362" s="6">
        <v>0</v>
      </c>
      <c r="AU362" s="6">
        <v>0</v>
      </c>
      <c r="AV362" s="6">
        <v>0</v>
      </c>
      <c r="AW362" s="6">
        <v>0</v>
      </c>
      <c r="AX362" s="6">
        <v>0</v>
      </c>
      <c r="AY362" s="6">
        <v>0</v>
      </c>
      <c r="AZ362" s="6">
        <v>0</v>
      </c>
      <c r="BA362" s="6">
        <v>0</v>
      </c>
      <c r="BB362" s="6">
        <v>0</v>
      </c>
      <c r="BC362" s="6"/>
      <c r="BD362" s="3"/>
      <c r="BE362" s="3"/>
      <c r="BF362" s="7">
        <v>1593.736535380229</v>
      </c>
    </row>
    <row x14ac:dyDescent="0.25" r="363" customHeight="1" ht="12.75">
      <c r="A363" s="5" t="s">
        <v>188</v>
      </c>
      <c r="B363" s="3" t="s">
        <v>855</v>
      </c>
      <c r="C363" s="3" t="s">
        <v>866</v>
      </c>
      <c r="D363" s="3" t="s">
        <v>993</v>
      </c>
      <c r="E363" s="3"/>
      <c r="F363" s="6">
        <f>100*SUM(AM363:AO363)/AL363</f>
      </c>
      <c r="G363" s="6">
        <f>100*SUM(AP363)/AL363</f>
      </c>
      <c r="H363" s="6">
        <f>100*SUM(AQ363)/AL363</f>
      </c>
      <c r="I363" s="6">
        <f>100*SUM(AR363:BC363)/AL363</f>
      </c>
      <c r="J363" s="3"/>
      <c r="K363" s="6">
        <v>1.1966999999999999</v>
      </c>
      <c r="L363" s="6">
        <v>8.072602155928804</v>
      </c>
      <c r="M363" s="6">
        <v>3.8778215091501638</v>
      </c>
      <c r="N363" s="31">
        <v>200.05776886437707</v>
      </c>
      <c r="O363" s="6">
        <v>0.8863950864878416</v>
      </c>
      <c r="P363" s="6"/>
      <c r="Q363" s="7"/>
      <c r="R363" s="6"/>
      <c r="S363" s="6"/>
      <c r="T363" s="6"/>
      <c r="U363" s="5"/>
      <c r="V363" s="6"/>
      <c r="W363" s="6"/>
      <c r="X363" s="6"/>
      <c r="Y363" s="15"/>
      <c r="Z363" s="6"/>
      <c r="AA363" s="6"/>
      <c r="AB363" s="5"/>
      <c r="AC363" s="3"/>
      <c r="AD363" s="6">
        <v>0.09660482999999999</v>
      </c>
      <c r="AE363" s="6">
        <v>0.046405890000000005</v>
      </c>
      <c r="AF363" s="7">
        <v>239.409132</v>
      </c>
      <c r="AG363" s="6">
        <v>0.010607489999999999</v>
      </c>
      <c r="AH363" s="7">
        <v>0</v>
      </c>
      <c r="AI363" s="15">
        <v>0.15361820999999998</v>
      </c>
      <c r="AJ363" s="6">
        <v>12.83681875156681</v>
      </c>
      <c r="AK363" s="3"/>
      <c r="AL363" s="6">
        <v>421.2314690917652</v>
      </c>
      <c r="AM363" s="6">
        <v>153.0529849314615</v>
      </c>
      <c r="AN363" s="6">
        <v>84.20809619586365</v>
      </c>
      <c r="AO363" s="6">
        <v>122.41476982280052</v>
      </c>
      <c r="AP363" s="6">
        <v>61.555618141639506</v>
      </c>
      <c r="AQ363" s="6">
        <v>0</v>
      </c>
      <c r="AR363" s="6">
        <v>0</v>
      </c>
      <c r="AS363" s="6">
        <v>0</v>
      </c>
      <c r="AT363" s="6">
        <v>0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0</v>
      </c>
      <c r="BC363" s="6"/>
      <c r="BD363" s="3"/>
      <c r="BE363" s="3"/>
      <c r="BF363" s="7">
        <v>504.08769906211535</v>
      </c>
    </row>
    <row x14ac:dyDescent="0.25" r="364" customHeight="1" ht="12.75">
      <c r="A364" s="5" t="s">
        <v>352</v>
      </c>
      <c r="B364" s="3" t="s">
        <v>855</v>
      </c>
      <c r="C364" s="3" t="s">
        <v>866</v>
      </c>
      <c r="D364" s="3" t="s">
        <v>988</v>
      </c>
      <c r="E364" s="3"/>
      <c r="F364" s="6">
        <f>100*SUM(AM364:AO364)/AL364</f>
      </c>
      <c r="G364" s="6">
        <f>100*SUM(AP364)/AL364</f>
      </c>
      <c r="H364" s="6">
        <f>100*SUM(AQ364)/AL364</f>
      </c>
      <c r="I364" s="6">
        <f>100*SUM(AR364:BC364)/AL364</f>
      </c>
      <c r="J364" s="3"/>
      <c r="K364" s="6">
        <v>18.648999999999997</v>
      </c>
      <c r="L364" s="6">
        <v>2.6817974154110145</v>
      </c>
      <c r="M364" s="6">
        <v>4.4252056410531395</v>
      </c>
      <c r="N364" s="31">
        <v>45.19287897474396</v>
      </c>
      <c r="O364" s="6"/>
      <c r="P364" s="6">
        <v>0.7476685076947827</v>
      </c>
      <c r="Q364" s="7"/>
      <c r="R364" s="6"/>
      <c r="S364" s="6"/>
      <c r="T364" s="6"/>
      <c r="U364" s="5"/>
      <c r="V364" s="6"/>
      <c r="W364" s="6"/>
      <c r="X364" s="6"/>
      <c r="Y364" s="15"/>
      <c r="Z364" s="6"/>
      <c r="AA364" s="6"/>
      <c r="AB364" s="5"/>
      <c r="AC364" s="3"/>
      <c r="AD364" s="6">
        <v>0.5001284</v>
      </c>
      <c r="AE364" s="6">
        <v>0.8252565999999999</v>
      </c>
      <c r="AF364" s="7">
        <v>842.802</v>
      </c>
      <c r="AG364" s="6">
        <v>0</v>
      </c>
      <c r="AH364" s="7">
        <v>13.94327</v>
      </c>
      <c r="AI364" s="15">
        <v>1.3253849999999998</v>
      </c>
      <c r="AJ364" s="6">
        <v>7.107003056464154</v>
      </c>
      <c r="AK364" s="3"/>
      <c r="AL364" s="6">
        <v>205.12560397248183</v>
      </c>
      <c r="AM364" s="6">
        <v>50.845699005330054</v>
      </c>
      <c r="AN364" s="6">
        <v>96.09471230921766</v>
      </c>
      <c r="AO364" s="6">
        <v>27.65339186139478</v>
      </c>
      <c r="AP364" s="6">
        <v>0</v>
      </c>
      <c r="AQ364" s="6">
        <v>30.531800796539358</v>
      </c>
      <c r="AR364" s="6">
        <v>0</v>
      </c>
      <c r="AS364" s="6">
        <v>0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0</v>
      </c>
      <c r="BC364" s="6"/>
      <c r="BD364" s="3"/>
      <c r="BE364" s="3"/>
      <c r="BF364" s="7">
        <v>3825.387388482813</v>
      </c>
    </row>
    <row x14ac:dyDescent="0.25" r="365" customHeight="1" ht="12.75">
      <c r="A365" s="5" t="s">
        <v>566</v>
      </c>
      <c r="B365" s="3" t="s">
        <v>855</v>
      </c>
      <c r="C365" s="3" t="s">
        <v>866</v>
      </c>
      <c r="D365" s="3" t="s">
        <v>989</v>
      </c>
      <c r="E365" s="3"/>
      <c r="F365" s="6">
        <f>100*SUM(AM365:AO365)/AL365</f>
      </c>
      <c r="G365" s="6">
        <f>100*SUM(AP365)/AL365</f>
      </c>
      <c r="H365" s="6">
        <f>100*SUM(AQ365)/AL365</f>
      </c>
      <c r="I365" s="6">
        <f>100*SUM(AR365:BC365)/AL365</f>
      </c>
      <c r="J365" s="3"/>
      <c r="K365" s="6">
        <v>13.155</v>
      </c>
      <c r="L365" s="6">
        <v>1.25</v>
      </c>
      <c r="M365" s="6">
        <v>2.06</v>
      </c>
      <c r="N365" s="7">
        <v>121.57</v>
      </c>
      <c r="O365" s="6">
        <v>0.36</v>
      </c>
      <c r="P365" s="6"/>
      <c r="Q365" s="7"/>
      <c r="R365" s="6"/>
      <c r="S365" s="6"/>
      <c r="T365" s="6"/>
      <c r="U365" s="5"/>
      <c r="V365" s="6"/>
      <c r="W365" s="6"/>
      <c r="X365" s="6"/>
      <c r="Y365" s="15"/>
      <c r="Z365" s="6"/>
      <c r="AA365" s="6"/>
      <c r="AB365" s="5"/>
      <c r="AC365" s="3"/>
      <c r="AD365" s="6">
        <v>0.1644375</v>
      </c>
      <c r="AE365" s="6">
        <v>0.270993</v>
      </c>
      <c r="AF365" s="7">
        <v>1599.2533499999997</v>
      </c>
      <c r="AG365" s="6">
        <v>0.04735799999999999</v>
      </c>
      <c r="AH365" s="7">
        <v>0</v>
      </c>
      <c r="AI365" s="15">
        <v>0.48278849999999995</v>
      </c>
      <c r="AJ365" s="6">
        <v>3.67</v>
      </c>
      <c r="AK365" s="3"/>
      <c r="AL365" s="6">
        <v>167.8214837897106</v>
      </c>
      <c r="AM365" s="6">
        <v>23.69945</v>
      </c>
      <c r="AN365" s="6">
        <v>44.7335386</v>
      </c>
      <c r="AO365" s="6">
        <v>74.38833118971061</v>
      </c>
      <c r="AP365" s="6">
        <v>25.000163999999998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/>
      <c r="BD365" s="3"/>
      <c r="BE365" s="3"/>
      <c r="BF365" s="7">
        <v>2207.691619253643</v>
      </c>
    </row>
    <row x14ac:dyDescent="0.25" r="366" customHeight="1" ht="12.75">
      <c r="A366" s="5" t="s">
        <v>740</v>
      </c>
      <c r="B366" s="3" t="s">
        <v>855</v>
      </c>
      <c r="C366" s="3" t="s">
        <v>866</v>
      </c>
      <c r="D366" s="3" t="s">
        <v>988</v>
      </c>
      <c r="E366" s="3"/>
      <c r="F366" s="6">
        <f>100*SUM(AM366:AO366)/AL366</f>
      </c>
      <c r="G366" s="6">
        <f>100*SUM(AP366)/AL366</f>
      </c>
      <c r="H366" s="6">
        <f>100*SUM(AQ366)/AL366</f>
      </c>
      <c r="I366" s="6">
        <f>100*SUM(AR366:BC366)/AL366</f>
      </c>
      <c r="J366" s="3"/>
      <c r="K366" s="6">
        <v>1.9</v>
      </c>
      <c r="L366" s="6">
        <v>1.51</v>
      </c>
      <c r="M366" s="6">
        <v>2.98</v>
      </c>
      <c r="N366" s="5"/>
      <c r="O366" s="6">
        <v>0.26</v>
      </c>
      <c r="P366" s="6"/>
      <c r="Q366" s="7"/>
      <c r="R366" s="6"/>
      <c r="S366" s="6"/>
      <c r="T366" s="6"/>
      <c r="U366" s="5"/>
      <c r="V366" s="6"/>
      <c r="W366" s="6"/>
      <c r="X366" s="6"/>
      <c r="Y366" s="15"/>
      <c r="Z366" s="6"/>
      <c r="AA366" s="6"/>
      <c r="AB366" s="5"/>
      <c r="AC366" s="3"/>
      <c r="AD366" s="6">
        <v>0.028689999999999997</v>
      </c>
      <c r="AE366" s="6">
        <v>0.05662</v>
      </c>
      <c r="AF366" s="7">
        <v>0</v>
      </c>
      <c r="AG366" s="6">
        <v>0.00494</v>
      </c>
      <c r="AH366" s="7">
        <v>0</v>
      </c>
      <c r="AI366" s="15">
        <v>0.09025</v>
      </c>
      <c r="AJ366" s="6">
        <v>4.75</v>
      </c>
      <c r="AK366" s="3"/>
      <c r="AL366" s="6">
        <v>111.39623339999999</v>
      </c>
      <c r="AM366" s="6">
        <v>28.6289356</v>
      </c>
      <c r="AN366" s="6">
        <v>64.7116238</v>
      </c>
      <c r="AO366" s="6">
        <v>0</v>
      </c>
      <c r="AP366" s="6">
        <v>18.055674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/>
      <c r="BD366" s="3"/>
      <c r="BE366" s="3"/>
      <c r="BF366" s="7">
        <v>211.65284345999996</v>
      </c>
    </row>
    <row x14ac:dyDescent="0.25" r="367" customHeight="1" ht="12.75">
      <c r="A367" s="5" t="s">
        <v>730</v>
      </c>
      <c r="B367" s="3" t="s">
        <v>855</v>
      </c>
      <c r="C367" s="3" t="s">
        <v>866</v>
      </c>
      <c r="D367" s="3" t="s">
        <v>988</v>
      </c>
      <c r="E367" s="3"/>
      <c r="F367" s="6">
        <f>100*SUM(AM367:AO367)/AL367</f>
      </c>
      <c r="G367" s="6">
        <f>100*SUM(AP367)/AL367</f>
      </c>
      <c r="H367" s="6">
        <f>100*SUM(AQ367)/AL367</f>
      </c>
      <c r="I367" s="6">
        <f>100*SUM(AR367:BC367)/AL367</f>
      </c>
      <c r="J367" s="3"/>
      <c r="K367" s="6">
        <v>4.74</v>
      </c>
      <c r="L367" s="6">
        <v>0.11</v>
      </c>
      <c r="M367" s="6">
        <v>4.06</v>
      </c>
      <c r="N367" s="5"/>
      <c r="O367" s="6">
        <v>0.3</v>
      </c>
      <c r="P367" s="6"/>
      <c r="Q367" s="7"/>
      <c r="R367" s="6"/>
      <c r="S367" s="6"/>
      <c r="T367" s="6"/>
      <c r="U367" s="5"/>
      <c r="V367" s="6"/>
      <c r="W367" s="6"/>
      <c r="X367" s="6"/>
      <c r="Y367" s="15"/>
      <c r="Z367" s="6"/>
      <c r="AA367" s="6"/>
      <c r="AB367" s="5"/>
      <c r="AC367" s="3"/>
      <c r="AD367" s="6">
        <v>0.005214</v>
      </c>
      <c r="AE367" s="6">
        <v>0.19244399999999998</v>
      </c>
      <c r="AF367" s="7">
        <v>0</v>
      </c>
      <c r="AG367" s="6">
        <v>0.01422</v>
      </c>
      <c r="AH367" s="7">
        <v>0</v>
      </c>
      <c r="AI367" s="15">
        <v>0.21187799999999998</v>
      </c>
      <c r="AJ367" s="6">
        <v>4.47</v>
      </c>
      <c r="AK367" s="3"/>
      <c r="AL367" s="6">
        <v>111.08318019999999</v>
      </c>
      <c r="AM367" s="6">
        <v>2.0855516</v>
      </c>
      <c r="AN367" s="6">
        <v>88.1641586</v>
      </c>
      <c r="AO367" s="6">
        <v>0</v>
      </c>
      <c r="AP367" s="6">
        <v>20.83347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/>
      <c r="BD367" s="3"/>
      <c r="BE367" s="3"/>
      <c r="BF367" s="7">
        <v>526.534274148</v>
      </c>
    </row>
    <row x14ac:dyDescent="0.25" r="368" customHeight="1" ht="12.75">
      <c r="A368" s="5" t="s">
        <v>629</v>
      </c>
      <c r="B368" s="3" t="s">
        <v>855</v>
      </c>
      <c r="C368" s="3" t="s">
        <v>866</v>
      </c>
      <c r="D368" s="3" t="s">
        <v>988</v>
      </c>
      <c r="E368" s="3"/>
      <c r="F368" s="6">
        <f>100*SUM(AM368:AO368)/AL368</f>
      </c>
      <c r="G368" s="6">
        <f>100*SUM(AP368)/AL368</f>
      </c>
      <c r="H368" s="6">
        <f>100*SUM(AQ368)/AL368</f>
      </c>
      <c r="I368" s="6">
        <f>100*SUM(AR368:BC368)/AL368</f>
      </c>
      <c r="J368" s="3"/>
      <c r="K368" s="6">
        <v>0.91</v>
      </c>
      <c r="L368" s="6">
        <v>1.7</v>
      </c>
      <c r="M368" s="6">
        <v>4.2</v>
      </c>
      <c r="N368" s="7">
        <v>31.059375124956194</v>
      </c>
      <c r="O368" s="6">
        <v>0.22</v>
      </c>
      <c r="P368" s="6">
        <v>0.5</v>
      </c>
      <c r="Q368" s="7"/>
      <c r="R368" s="6"/>
      <c r="S368" s="6"/>
      <c r="T368" s="6"/>
      <c r="U368" s="5"/>
      <c r="V368" s="6"/>
      <c r="W368" s="6"/>
      <c r="X368" s="6"/>
      <c r="Y368" s="15"/>
      <c r="Z368" s="6"/>
      <c r="AA368" s="6"/>
      <c r="AB368" s="5"/>
      <c r="AC368" s="3"/>
      <c r="AD368" s="6">
        <v>0.01547</v>
      </c>
      <c r="AE368" s="6">
        <v>0.038220000000000004</v>
      </c>
      <c r="AF368" s="7">
        <v>28.26403136371014</v>
      </c>
      <c r="AG368" s="6">
        <v>0.0020020000000000003</v>
      </c>
      <c r="AH368" s="7">
        <v>0.455</v>
      </c>
      <c r="AI368" s="15">
        <v>0.055692000000000005</v>
      </c>
      <c r="AJ368" s="6">
        <v>6.12</v>
      </c>
      <c r="AK368" s="3"/>
      <c r="AL368" s="6">
        <v>178.13658018739278</v>
      </c>
      <c r="AM368" s="6">
        <v>32.231252</v>
      </c>
      <c r="AN368" s="6">
        <v>91.204302</v>
      </c>
      <c r="AO368" s="6">
        <v>19.005141756524644</v>
      </c>
      <c r="AP368" s="6">
        <v>15.277878000000001</v>
      </c>
      <c r="AQ368" s="6">
        <v>20.418006430868168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/>
      <c r="BD368" s="3"/>
      <c r="BE368" s="3"/>
      <c r="BF368" s="7">
        <v>162.10428797052742</v>
      </c>
    </row>
    <row x14ac:dyDescent="0.25" r="369" customHeight="1" ht="12.75">
      <c r="A369" s="5" t="s">
        <v>347</v>
      </c>
      <c r="B369" s="3" t="s">
        <v>855</v>
      </c>
      <c r="C369" s="3" t="s">
        <v>866</v>
      </c>
      <c r="D369" s="3"/>
      <c r="E369" s="3"/>
      <c r="F369" s="6">
        <f>100*SUM(AM369:AO369)/AL369</f>
      </c>
      <c r="G369" s="6">
        <f>100*SUM(AP369)/AL369</f>
      </c>
      <c r="H369" s="6">
        <f>100*SUM(AQ369)/AL369</f>
      </c>
      <c r="I369" s="6">
        <f>100*SUM(AR369:BC369)/AL369</f>
      </c>
      <c r="J369" s="3"/>
      <c r="K369" s="6">
        <v>0.485</v>
      </c>
      <c r="L369" s="6">
        <v>1.525319587628866</v>
      </c>
      <c r="M369" s="6">
        <v>7.490309278350516</v>
      </c>
      <c r="N369" s="31">
        <v>46.58762886597938</v>
      </c>
      <c r="O369" s="6">
        <v>0.9265773195876288</v>
      </c>
      <c r="P369" s="6">
        <v>0.5555257731958761</v>
      </c>
      <c r="Q369" s="7"/>
      <c r="R369" s="6"/>
      <c r="S369" s="6"/>
      <c r="T369" s="6"/>
      <c r="U369" s="5"/>
      <c r="V369" s="6"/>
      <c r="W369" s="6"/>
      <c r="X369" s="6"/>
      <c r="Y369" s="15"/>
      <c r="Z369" s="6"/>
      <c r="AA369" s="6"/>
      <c r="AB369" s="5"/>
      <c r="AC369" s="3"/>
      <c r="AD369" s="6">
        <v>0.0073977999999999995</v>
      </c>
      <c r="AE369" s="6">
        <v>0.036328</v>
      </c>
      <c r="AF369" s="7">
        <v>22.595</v>
      </c>
      <c r="AG369" s="6">
        <v>0.0044938999999999995</v>
      </c>
      <c r="AH369" s="7">
        <v>0.26942999999999995</v>
      </c>
      <c r="AI369" s="15">
        <v>0.0482197</v>
      </c>
      <c r="AJ369" s="6">
        <v>9.942206185567011</v>
      </c>
      <c r="AK369" s="3"/>
      <c r="AL369" s="6">
        <v>307.1121384199542</v>
      </c>
      <c r="AM369" s="6">
        <v>28.91938824082474</v>
      </c>
      <c r="AN369" s="6">
        <v>162.65438797525772</v>
      </c>
      <c r="AO369" s="6">
        <v>28.506835283588032</v>
      </c>
      <c r="AP369" s="6">
        <v>64.34606930103091</v>
      </c>
      <c r="AQ369" s="6">
        <v>22.685457619252823</v>
      </c>
      <c r="AR369" s="6">
        <v>0</v>
      </c>
      <c r="AS369" s="6">
        <v>0</v>
      </c>
      <c r="AT369" s="6">
        <v>0</v>
      </c>
      <c r="AU369" s="6">
        <v>0</v>
      </c>
      <c r="AV369" s="6">
        <v>0</v>
      </c>
      <c r="AW369" s="6">
        <v>0</v>
      </c>
      <c r="AX369" s="6">
        <v>0</v>
      </c>
      <c r="AY369" s="6">
        <v>0</v>
      </c>
      <c r="AZ369" s="6">
        <v>0</v>
      </c>
      <c r="BA369" s="6">
        <v>0</v>
      </c>
      <c r="BB369" s="6">
        <v>0</v>
      </c>
      <c r="BC369" s="6"/>
      <c r="BD369" s="3"/>
      <c r="BE369" s="3"/>
      <c r="BF369" s="7">
        <v>148.9493871336778</v>
      </c>
    </row>
    <row x14ac:dyDescent="0.25" r="370" customHeight="1" ht="12.75">
      <c r="A370" s="5" t="s">
        <v>187</v>
      </c>
      <c r="B370" s="3" t="s">
        <v>855</v>
      </c>
      <c r="C370" s="3" t="s">
        <v>866</v>
      </c>
      <c r="D370" s="3" t="s">
        <v>988</v>
      </c>
      <c r="E370" s="3"/>
      <c r="F370" s="6">
        <f>100*SUM(AM370:AO370)/AL370</f>
      </c>
      <c r="G370" s="6">
        <f>100*SUM(AP370)/AL370</f>
      </c>
      <c r="H370" s="6">
        <f>100*SUM(AQ370)/AL370</f>
      </c>
      <c r="I370" s="6">
        <f>100*SUM(AR370:BC370)/AL370</f>
      </c>
      <c r="J370" s="3"/>
      <c r="K370" s="6">
        <v>485.0051789999999</v>
      </c>
      <c r="L370" s="6">
        <v>0.07722341148443697</v>
      </c>
      <c r="M370" s="6">
        <v>0.04448444443105629</v>
      </c>
      <c r="N370" s="7">
        <v>23.754100835282017</v>
      </c>
      <c r="O370" s="6">
        <v>0.022607938996874098</v>
      </c>
      <c r="P370" s="6"/>
      <c r="Q370" s="7"/>
      <c r="R370" s="6"/>
      <c r="S370" s="6"/>
      <c r="T370" s="6"/>
      <c r="U370" s="7">
        <v>4.991158734203951</v>
      </c>
      <c r="V370" s="6"/>
      <c r="W370" s="6"/>
      <c r="X370" s="6"/>
      <c r="Y370" s="7"/>
      <c r="Z370" s="7"/>
      <c r="AA370" s="7"/>
      <c r="AB370" s="7">
        <v>4.296427658352902</v>
      </c>
      <c r="AC370" s="3" t="s">
        <v>995</v>
      </c>
      <c r="AD370" s="6">
        <v>0.3745375451</v>
      </c>
      <c r="AE370" s="6">
        <v>0.21575185934000005</v>
      </c>
      <c r="AF370" s="7">
        <v>11520.8619276</v>
      </c>
      <c r="AG370" s="6">
        <v>0.109649675</v>
      </c>
      <c r="AH370" s="7">
        <v>0</v>
      </c>
      <c r="AI370" s="15">
        <v>0.69993907944</v>
      </c>
      <c r="AJ370" s="6">
        <v>0.14431579491236737</v>
      </c>
      <c r="AK370" s="3"/>
      <c r="AL370" s="6">
        <v>23.758995508587873</v>
      </c>
      <c r="AM370" s="6">
        <v>1.4641219034438717</v>
      </c>
      <c r="AN370" s="6">
        <v>0.965993500998161</v>
      </c>
      <c r="AO370" s="6">
        <v>14.535065559338163</v>
      </c>
      <c r="AP370" s="6">
        <v>1.570006062844022</v>
      </c>
      <c r="AQ370" s="6">
        <v>0</v>
      </c>
      <c r="AR370" s="6">
        <v>0</v>
      </c>
      <c r="AS370" s="6">
        <v>0</v>
      </c>
      <c r="AT370" s="6">
        <v>0</v>
      </c>
      <c r="AU370" s="6">
        <v>0</v>
      </c>
      <c r="AV370" s="6">
        <v>3.6685016696399044</v>
      </c>
      <c r="AW370" s="6">
        <v>0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1.5553068123237506</v>
      </c>
      <c r="BD370" s="3" t="s">
        <v>996</v>
      </c>
      <c r="BE370" s="3"/>
      <c r="BF370" s="7">
        <v>11523.235869502854</v>
      </c>
    </row>
    <row x14ac:dyDescent="0.25" r="371" customHeight="1" ht="12.75">
      <c r="A371" s="5" t="s">
        <v>694</v>
      </c>
      <c r="B371" s="3" t="s">
        <v>855</v>
      </c>
      <c r="C371" s="3" t="s">
        <v>866</v>
      </c>
      <c r="D371" s="3" t="s">
        <v>989</v>
      </c>
      <c r="E371" s="3"/>
      <c r="F371" s="6">
        <f>100*SUM(AM371:AO371)/AL371</f>
      </c>
      <c r="G371" s="6">
        <f>100*SUM(AP371)/AL371</f>
      </c>
      <c r="H371" s="6">
        <f>100*SUM(AQ371)/AL371</f>
      </c>
      <c r="I371" s="6">
        <f>100*SUM(AR371:BC371)/AL371</f>
      </c>
      <c r="J371" s="3"/>
      <c r="K371" s="6">
        <v>8.836</v>
      </c>
      <c r="L371" s="6">
        <v>0.99</v>
      </c>
      <c r="M371" s="6">
        <v>2.17</v>
      </c>
      <c r="N371" s="6">
        <v>7.3</v>
      </c>
      <c r="O371" s="6"/>
      <c r="P371" s="6"/>
      <c r="Q371" s="6">
        <v>12.744937892856072</v>
      </c>
      <c r="R371" s="6"/>
      <c r="S371" s="6"/>
      <c r="T371" s="6"/>
      <c r="U371" s="5"/>
      <c r="V371" s="6"/>
      <c r="W371" s="6"/>
      <c r="X371" s="6"/>
      <c r="Y371" s="15"/>
      <c r="Z371" s="6"/>
      <c r="AA371" s="6"/>
      <c r="AB371" s="6">
        <v>5.06</v>
      </c>
      <c r="AC371" s="3" t="s">
        <v>997</v>
      </c>
      <c r="AD371" s="6">
        <v>0.08747640000000001</v>
      </c>
      <c r="AE371" s="6">
        <v>0.19174119999999997</v>
      </c>
      <c r="AF371" s="7">
        <v>64.50280000000001</v>
      </c>
      <c r="AG371" s="6">
        <v>0</v>
      </c>
      <c r="AH371" s="7">
        <v>0</v>
      </c>
      <c r="AI371" s="15">
        <v>0.27921759999999995</v>
      </c>
      <c r="AJ371" s="6">
        <v>3.16</v>
      </c>
      <c r="AK371" s="3"/>
      <c r="AL371" s="6">
        <v>101.06887262531126</v>
      </c>
      <c r="AM371" s="6">
        <v>18.769964399999996</v>
      </c>
      <c r="AN371" s="6">
        <v>47.1222227</v>
      </c>
      <c r="AO371" s="6">
        <v>4.466848874598071</v>
      </c>
      <c r="AP371" s="6">
        <v>0</v>
      </c>
      <c r="AQ371" s="6">
        <v>0</v>
      </c>
      <c r="AR371" s="6">
        <v>12.999836650713194</v>
      </c>
      <c r="AS371" s="6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17.71</v>
      </c>
      <c r="BD371" s="3" t="s">
        <v>998</v>
      </c>
      <c r="BE371" s="3"/>
      <c r="BF371" s="7">
        <v>893.0445585172503</v>
      </c>
    </row>
    <row x14ac:dyDescent="0.25" r="372" customHeight="1" ht="12.75">
      <c r="A372" s="5" t="s">
        <v>741</v>
      </c>
      <c r="B372" s="3" t="s">
        <v>855</v>
      </c>
      <c r="C372" s="3" t="s">
        <v>866</v>
      </c>
      <c r="D372" s="3" t="s">
        <v>988</v>
      </c>
      <c r="E372" s="3"/>
      <c r="F372" s="6">
        <f>100*SUM(AM372:AO372)/AL372</f>
      </c>
      <c r="G372" s="6">
        <f>100*SUM(AP372)/AL372</f>
      </c>
      <c r="H372" s="6">
        <f>100*SUM(AQ372)/AL372</f>
      </c>
      <c r="I372" s="6">
        <f>100*SUM(AR372:BC372)/AL372</f>
      </c>
      <c r="J372" s="3"/>
      <c r="K372" s="6">
        <v>7.1</v>
      </c>
      <c r="L372" s="6">
        <v>0.86</v>
      </c>
      <c r="M372" s="6">
        <v>1.4</v>
      </c>
      <c r="N372" s="5"/>
      <c r="O372" s="6">
        <v>0.36</v>
      </c>
      <c r="P372" s="6"/>
      <c r="Q372" s="7"/>
      <c r="R372" s="6"/>
      <c r="S372" s="6"/>
      <c r="T372" s="6"/>
      <c r="U372" s="5"/>
      <c r="V372" s="6"/>
      <c r="W372" s="6"/>
      <c r="X372" s="6"/>
      <c r="Y372" s="15"/>
      <c r="Z372" s="6"/>
      <c r="AA372" s="6"/>
      <c r="AB372" s="5"/>
      <c r="AC372" s="3"/>
      <c r="AD372" s="6">
        <v>0.061059999999999996</v>
      </c>
      <c r="AE372" s="6">
        <v>0.09939999999999999</v>
      </c>
      <c r="AF372" s="7">
        <v>0</v>
      </c>
      <c r="AG372" s="6">
        <v>0.025559999999999996</v>
      </c>
      <c r="AH372" s="7">
        <v>0</v>
      </c>
      <c r="AI372" s="15">
        <v>0.18602</v>
      </c>
      <c r="AJ372" s="6">
        <v>2.6199999999999997</v>
      </c>
      <c r="AK372" s="3"/>
      <c r="AL372" s="6">
        <v>71.70681959999999</v>
      </c>
      <c r="AM372" s="6">
        <v>16.3052216</v>
      </c>
      <c r="AN372" s="6">
        <v>30.401433999999995</v>
      </c>
      <c r="AO372" s="6">
        <v>0</v>
      </c>
      <c r="AP372" s="6">
        <v>25.000163999999998</v>
      </c>
      <c r="AQ372" s="6">
        <v>0</v>
      </c>
      <c r="AR372" s="6">
        <v>0</v>
      </c>
      <c r="AS372" s="6">
        <v>0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0</v>
      </c>
      <c r="BC372" s="6"/>
      <c r="BD372" s="3"/>
      <c r="BE372" s="3"/>
      <c r="BF372" s="7">
        <v>509.1184191599999</v>
      </c>
    </row>
    <row x14ac:dyDescent="0.25" r="373" customHeight="1" ht="12.75">
      <c r="A373" s="5" t="s">
        <v>469</v>
      </c>
      <c r="B373" s="3" t="s">
        <v>855</v>
      </c>
      <c r="C373" s="3" t="s">
        <v>866</v>
      </c>
      <c r="D373" s="3" t="s">
        <v>988</v>
      </c>
      <c r="E373" s="3"/>
      <c r="F373" s="6">
        <f>100*SUM(AM373:AO373)/AL373</f>
      </c>
      <c r="G373" s="6">
        <f>100*SUM(AP373)/AL373</f>
      </c>
      <c r="H373" s="6">
        <f>100*SUM(AQ373)/AL373</f>
      </c>
      <c r="I373" s="6">
        <f>100*SUM(AR373:BC373)/AL373</f>
      </c>
      <c r="J373" s="3"/>
      <c r="K373" s="6">
        <v>3.1999999999999997</v>
      </c>
      <c r="L373" s="6">
        <v>1.1775</v>
      </c>
      <c r="M373" s="6">
        <v>4.355</v>
      </c>
      <c r="N373" s="7">
        <v>53.025000000000006</v>
      </c>
      <c r="O373" s="6">
        <v>1.31</v>
      </c>
      <c r="P373" s="6">
        <v>0.9337500000000001</v>
      </c>
      <c r="Q373" s="7"/>
      <c r="R373" s="6"/>
      <c r="S373" s="6"/>
      <c r="T373" s="6"/>
      <c r="U373" s="5"/>
      <c r="V373" s="6"/>
      <c r="W373" s="6"/>
      <c r="X373" s="6"/>
      <c r="Y373" s="15"/>
      <c r="Z373" s="6"/>
      <c r="AA373" s="6"/>
      <c r="AB373" s="5"/>
      <c r="AC373" s="3"/>
      <c r="AD373" s="6">
        <v>0.03768</v>
      </c>
      <c r="AE373" s="6">
        <v>0.13936</v>
      </c>
      <c r="AF373" s="7">
        <v>169.68</v>
      </c>
      <c r="AG373" s="6">
        <v>0.04192</v>
      </c>
      <c r="AH373" s="7">
        <v>2.988</v>
      </c>
      <c r="AI373" s="15">
        <v>0.21896</v>
      </c>
      <c r="AJ373" s="6">
        <v>6.842500000000001</v>
      </c>
      <c r="AK373" s="3"/>
      <c r="AL373" s="6">
        <v>278.4443470110932</v>
      </c>
      <c r="AM373" s="6">
        <v>22.3248819</v>
      </c>
      <c r="AN373" s="6">
        <v>94.57017505</v>
      </c>
      <c r="AO373" s="6">
        <v>32.445844051446954</v>
      </c>
      <c r="AP373" s="6">
        <v>90.972819</v>
      </c>
      <c r="AQ373" s="6">
        <v>38.130627009646304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</v>
      </c>
      <c r="AZ373" s="6">
        <v>0</v>
      </c>
      <c r="BA373" s="6">
        <v>0</v>
      </c>
      <c r="BB373" s="6">
        <v>0</v>
      </c>
      <c r="BC373" s="6"/>
      <c r="BD373" s="3"/>
      <c r="BE373" s="3"/>
      <c r="BF373" s="7">
        <v>891.0219104354982</v>
      </c>
    </row>
    <row x14ac:dyDescent="0.25" r="374" customHeight="1" ht="12.75">
      <c r="A374" s="5" t="s">
        <v>358</v>
      </c>
      <c r="B374" s="3" t="s">
        <v>855</v>
      </c>
      <c r="C374" s="3" t="s">
        <v>866</v>
      </c>
      <c r="D374" s="3" t="s">
        <v>988</v>
      </c>
      <c r="E374" s="3"/>
      <c r="F374" s="6">
        <f>100*SUM(AM374:AO374)/AL374</f>
      </c>
      <c r="G374" s="6">
        <f>100*SUM(AP374)/AL374</f>
      </c>
      <c r="H374" s="6">
        <f>100*SUM(AQ374)/AL374</f>
      </c>
      <c r="I374" s="6">
        <f>100*SUM(AR374:BC374)/AL374</f>
      </c>
      <c r="J374" s="3"/>
      <c r="K374" s="6">
        <v>48.3</v>
      </c>
      <c r="L374" s="6">
        <v>0.8300000000000001</v>
      </c>
      <c r="M374" s="6">
        <v>0.8800000000000001</v>
      </c>
      <c r="N374" s="7">
        <v>20.37826086956522</v>
      </c>
      <c r="O374" s="6">
        <v>0.3904347826086957</v>
      </c>
      <c r="P374" s="6"/>
      <c r="Q374" s="7"/>
      <c r="R374" s="6"/>
      <c r="S374" s="6">
        <v>0.0731</v>
      </c>
      <c r="T374" s="6"/>
      <c r="U374" s="5"/>
      <c r="V374" s="6"/>
      <c r="W374" s="6"/>
      <c r="X374" s="6"/>
      <c r="Y374" s="15"/>
      <c r="Z374" s="6"/>
      <c r="AA374" s="6"/>
      <c r="AB374" s="5"/>
      <c r="AC374" s="3"/>
      <c r="AD374" s="6">
        <v>0.40088999999999997</v>
      </c>
      <c r="AE374" s="6">
        <v>0.42504000000000003</v>
      </c>
      <c r="AF374" s="7">
        <v>984.2700000000001</v>
      </c>
      <c r="AG374" s="6">
        <v>0.18858</v>
      </c>
      <c r="AH374" s="7">
        <v>0</v>
      </c>
      <c r="AI374" s="15">
        <v>1.01451</v>
      </c>
      <c r="AJ374" s="6">
        <v>2.100434782608696</v>
      </c>
      <c r="AK374" s="3"/>
      <c r="AL374" s="6">
        <v>96.99088728841046</v>
      </c>
      <c r="AM374" s="6">
        <v>15.7364348</v>
      </c>
      <c r="AN374" s="6">
        <v>19.1094728</v>
      </c>
      <c r="AO374" s="6">
        <v>12.469398853627853</v>
      </c>
      <c r="AP374" s="6">
        <v>27.113704434782612</v>
      </c>
      <c r="AQ374" s="6">
        <v>0</v>
      </c>
      <c r="AR374" s="6">
        <v>0</v>
      </c>
      <c r="AS374" s="6">
        <v>0</v>
      </c>
      <c r="AT374" s="6">
        <v>22.5618764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/>
      <c r="BD374" s="3"/>
      <c r="BE374" s="3"/>
      <c r="BF374" s="7">
        <v>4684.6598560302255</v>
      </c>
    </row>
    <row x14ac:dyDescent="0.25" r="375" customHeight="1" ht="12.75">
      <c r="A375" s="5" t="s">
        <v>348</v>
      </c>
      <c r="B375" s="3" t="s">
        <v>855</v>
      </c>
      <c r="C375" s="3" t="s">
        <v>866</v>
      </c>
      <c r="D375" s="3" t="s">
        <v>988</v>
      </c>
      <c r="E375" s="3"/>
      <c r="F375" s="6">
        <f>100*SUM(AM375:AO375)/AL375</f>
      </c>
      <c r="G375" s="6">
        <f>100*SUM(AP375)/AL375</f>
      </c>
      <c r="H375" s="6">
        <f>100*SUM(AQ375)/AL375</f>
      </c>
      <c r="I375" s="6">
        <f>100*SUM(AR375:BC375)/AL375</f>
      </c>
      <c r="J375" s="3"/>
      <c r="K375" s="6">
        <v>2.444</v>
      </c>
      <c r="L375" s="6">
        <v>2.8</v>
      </c>
      <c r="M375" s="6">
        <v>3.8</v>
      </c>
      <c r="N375" s="6">
        <v>16.7</v>
      </c>
      <c r="O375" s="6">
        <v>0.2</v>
      </c>
      <c r="P375" s="6">
        <v>4.1</v>
      </c>
      <c r="Q375" s="7"/>
      <c r="R375" s="6"/>
      <c r="S375" s="6"/>
      <c r="T375" s="6"/>
      <c r="U375" s="5"/>
      <c r="V375" s="6"/>
      <c r="W375" s="6"/>
      <c r="X375" s="6"/>
      <c r="Y375" s="15"/>
      <c r="Z375" s="6"/>
      <c r="AA375" s="6"/>
      <c r="AB375" s="5"/>
      <c r="AC375" s="3"/>
      <c r="AD375" s="6">
        <v>0.06843199999999999</v>
      </c>
      <c r="AE375" s="6">
        <v>0.09287199999999998</v>
      </c>
      <c r="AF375" s="7">
        <v>40.8148</v>
      </c>
      <c r="AG375" s="6">
        <v>0.004888</v>
      </c>
      <c r="AH375" s="7">
        <v>10.020399999999999</v>
      </c>
      <c r="AI375" s="15">
        <v>0.16619199999999998</v>
      </c>
      <c r="AJ375" s="6">
        <v>6.8</v>
      </c>
      <c r="AK375" s="3"/>
      <c r="AL375" s="6">
        <v>327.14026040514466</v>
      </c>
      <c r="AM375" s="6">
        <v>53.08676799999999</v>
      </c>
      <c r="AN375" s="6">
        <v>82.51817799999999</v>
      </c>
      <c r="AO375" s="6">
        <v>10.218681672025724</v>
      </c>
      <c r="AP375" s="6">
        <v>13.88898</v>
      </c>
      <c r="AQ375" s="6">
        <v>167.42765273311895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/>
      <c r="BD375" s="3"/>
      <c r="BE375" s="3"/>
      <c r="BF375" s="7">
        <v>799.5307964301735</v>
      </c>
    </row>
    <row x14ac:dyDescent="0.25" r="376" customHeight="1" ht="12.75">
      <c r="A376" s="5" t="s">
        <v>594</v>
      </c>
      <c r="B376" s="3" t="s">
        <v>855</v>
      </c>
      <c r="C376" s="3" t="s">
        <v>866</v>
      </c>
      <c r="D376" s="3" t="s">
        <v>999</v>
      </c>
      <c r="E376" s="3"/>
      <c r="F376" s="6">
        <f>100*SUM(AM376:AO376)/AL376</f>
      </c>
      <c r="G376" s="6">
        <f>100*SUM(AP376)/AL376</f>
      </c>
      <c r="H376" s="6">
        <f>100*SUM(AQ376)/AL376</f>
      </c>
      <c r="I376" s="6">
        <f>100*SUM(AR376:BC376)/AL376</f>
      </c>
      <c r="J376" s="3"/>
      <c r="K376" s="6">
        <v>1.197</v>
      </c>
      <c r="L376" s="6"/>
      <c r="M376" s="6">
        <v>3.459974937343358</v>
      </c>
      <c r="N376" s="7">
        <v>45.16221386800335</v>
      </c>
      <c r="O376" s="6">
        <v>1.6954469507101082</v>
      </c>
      <c r="P376" s="6">
        <v>0.31203007518796994</v>
      </c>
      <c r="Q376" s="7"/>
      <c r="R376" s="6"/>
      <c r="S376" s="6"/>
      <c r="T376" s="6"/>
      <c r="U376" s="5"/>
      <c r="V376" s="6"/>
      <c r="W376" s="6"/>
      <c r="X376" s="6"/>
      <c r="Y376" s="15"/>
      <c r="Z376" s="6"/>
      <c r="AA376" s="6"/>
      <c r="AB376" s="5"/>
      <c r="AC376" s="3"/>
      <c r="AD376" s="6">
        <v>0</v>
      </c>
      <c r="AE376" s="6">
        <v>0.0414159</v>
      </c>
      <c r="AF376" s="7">
        <v>54.05917000000001</v>
      </c>
      <c r="AG376" s="6">
        <v>0.020294499999999997</v>
      </c>
      <c r="AH376" s="7">
        <v>0.37350000000000005</v>
      </c>
      <c r="AI376" s="15">
        <v>0.0617104</v>
      </c>
      <c r="AJ376" s="6">
        <v>5.155421888053466</v>
      </c>
      <c r="AK376" s="3"/>
      <c r="AL376" s="6">
        <v>233.25126443895613</v>
      </c>
      <c r="AM376" s="6">
        <v>0</v>
      </c>
      <c r="AN376" s="6">
        <v>75.13442835664159</v>
      </c>
      <c r="AO376" s="6">
        <v>27.634627971321667</v>
      </c>
      <c r="AP376" s="6">
        <v>117.7401439473684</v>
      </c>
      <c r="AQ376" s="6">
        <v>12.742064163624496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/>
      <c r="BD376" s="3"/>
      <c r="BE376" s="3"/>
      <c r="BF376" s="7">
        <v>279.2017635334305</v>
      </c>
    </row>
    <row x14ac:dyDescent="0.25" r="377" customHeight="1" ht="12.75">
      <c r="A377" s="5" t="s">
        <v>440</v>
      </c>
      <c r="B377" s="3" t="s">
        <v>855</v>
      </c>
      <c r="C377" s="3" t="s">
        <v>866</v>
      </c>
      <c r="D377" s="3" t="s">
        <v>988</v>
      </c>
      <c r="E377" s="3"/>
      <c r="F377" s="6">
        <f>100*SUM(AM377:AO377)/AL377</f>
      </c>
      <c r="G377" s="6">
        <f>100*SUM(AP377)/AL377</f>
      </c>
      <c r="H377" s="6">
        <f>100*SUM(AQ377)/AL377</f>
      </c>
      <c r="I377" s="6">
        <f>100*SUM(AR377:BC377)/AL377</f>
      </c>
      <c r="J377" s="3"/>
      <c r="K377" s="6">
        <v>1.58</v>
      </c>
      <c r="L377" s="6"/>
      <c r="M377" s="6">
        <v>4.5</v>
      </c>
      <c r="N377" s="6">
        <v>33.77</v>
      </c>
      <c r="O377" s="6">
        <v>2.08</v>
      </c>
      <c r="P377" s="6">
        <v>0.56</v>
      </c>
      <c r="Q377" s="7"/>
      <c r="R377" s="6"/>
      <c r="S377" s="6"/>
      <c r="T377" s="6"/>
      <c r="U377" s="5"/>
      <c r="V377" s="6"/>
      <c r="W377" s="6"/>
      <c r="X377" s="6"/>
      <c r="Y377" s="15"/>
      <c r="Z377" s="6"/>
      <c r="AA377" s="6"/>
      <c r="AB377" s="5"/>
      <c r="AC377" s="3"/>
      <c r="AD377" s="6">
        <v>0</v>
      </c>
      <c r="AE377" s="6">
        <v>0.0711</v>
      </c>
      <c r="AF377" s="7">
        <v>53.35660000000001</v>
      </c>
      <c r="AG377" s="6">
        <v>0.032864000000000004</v>
      </c>
      <c r="AH377" s="7">
        <v>0.8848000000000001</v>
      </c>
      <c r="AI377" s="15">
        <v>0.103964</v>
      </c>
      <c r="AJ377" s="6">
        <v>6.58</v>
      </c>
      <c r="AK377" s="3"/>
      <c r="AL377" s="6">
        <v>285.6962194758842</v>
      </c>
      <c r="AM377" s="6">
        <v>0</v>
      </c>
      <c r="AN377" s="6">
        <v>97.71889499999999</v>
      </c>
      <c r="AO377" s="6">
        <v>20.663765273311903</v>
      </c>
      <c r="AP377" s="6">
        <v>144.445392</v>
      </c>
      <c r="AQ377" s="6">
        <v>22.868167202572348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/>
      <c r="BD377" s="3"/>
      <c r="BE377" s="3"/>
      <c r="BF377" s="7">
        <v>451.4000267718971</v>
      </c>
    </row>
    <row x14ac:dyDescent="0.25" r="378" customHeight="1" ht="12.75">
      <c r="A378" s="5" t="s">
        <v>264</v>
      </c>
      <c r="B378" s="3" t="s">
        <v>855</v>
      </c>
      <c r="C378" s="3" t="s">
        <v>866</v>
      </c>
      <c r="D378" s="3" t="s">
        <v>988</v>
      </c>
      <c r="E378" s="3"/>
      <c r="F378" s="6">
        <f>100*SUM(AM378:AO378)/AL378</f>
      </c>
      <c r="G378" s="6">
        <f>100*SUM(AP378)/AL378</f>
      </c>
      <c r="H378" s="6">
        <f>100*SUM(AQ378)/AL378</f>
      </c>
      <c r="I378" s="6">
        <f>100*SUM(AR378:BC378)/AL378</f>
      </c>
      <c r="J378" s="3"/>
      <c r="K378" s="23">
        <v>7.1986</v>
      </c>
      <c r="L378" s="6">
        <v>2.1249410996582667</v>
      </c>
      <c r="M378" s="6">
        <v>3.2844143305642763</v>
      </c>
      <c r="N378" s="7">
        <v>66.76608090462034</v>
      </c>
      <c r="O378" s="6"/>
      <c r="P378" s="6">
        <v>5.6975127108048795</v>
      </c>
      <c r="Q378" s="7"/>
      <c r="R378" s="6"/>
      <c r="S378" s="6"/>
      <c r="T378" s="6"/>
      <c r="U378" s="5"/>
      <c r="V378" s="6"/>
      <c r="W378" s="6"/>
      <c r="X378" s="6"/>
      <c r="Y378" s="15"/>
      <c r="Z378" s="6"/>
      <c r="AA378" s="6"/>
      <c r="AB378" s="5"/>
      <c r="AC378" s="3"/>
      <c r="AD378" s="6">
        <v>0.15296600999999999</v>
      </c>
      <c r="AE378" s="6">
        <v>0.23643185</v>
      </c>
      <c r="AF378" s="7">
        <v>480.62230999999997</v>
      </c>
      <c r="AG378" s="6">
        <v>0</v>
      </c>
      <c r="AH378" s="7">
        <v>41.014115000000004</v>
      </c>
      <c r="AI378" s="15">
        <v>0.38939786</v>
      </c>
      <c r="AJ378" s="6">
        <v>5.4093554302225435</v>
      </c>
      <c r="AK378" s="3"/>
      <c r="AL378" s="6">
        <v>385.12769766221516</v>
      </c>
      <c r="AM378" s="6">
        <v>40.28794827543688</v>
      </c>
      <c r="AN378" s="6">
        <v>71.32207535664573</v>
      </c>
      <c r="AO378" s="6">
        <v>40.85397169179824</v>
      </c>
      <c r="AP378" s="6">
        <v>0</v>
      </c>
      <c r="AQ378" s="6">
        <v>232.6637023383343</v>
      </c>
      <c r="AR378" s="6">
        <v>0</v>
      </c>
      <c r="AS378" s="6">
        <v>0</v>
      </c>
      <c r="AT378" s="6">
        <v>0</v>
      </c>
      <c r="AU378" s="6">
        <v>0</v>
      </c>
      <c r="AV378" s="6">
        <v>0</v>
      </c>
      <c r="AW378" s="6">
        <v>0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/>
      <c r="BD378" s="3"/>
      <c r="BE378" s="3"/>
      <c r="BF378" s="7">
        <v>2772.380244391222</v>
      </c>
    </row>
    <row x14ac:dyDescent="0.25" r="379" customHeight="1" ht="12.75">
      <c r="A379" s="5" t="s">
        <v>719</v>
      </c>
      <c r="B379" s="3" t="s">
        <v>855</v>
      </c>
      <c r="C379" s="3" t="s">
        <v>866</v>
      </c>
      <c r="D379" s="3" t="s">
        <v>988</v>
      </c>
      <c r="E379" s="3"/>
      <c r="F379" s="6">
        <f>100*SUM(AM379:AO379)/AL379</f>
      </c>
      <c r="G379" s="6">
        <f>100*SUM(AP379)/AL379</f>
      </c>
      <c r="H379" s="6">
        <f>100*SUM(AQ379)/AL379</f>
      </c>
      <c r="I379" s="6">
        <f>100*SUM(AR379:BC379)/AL379</f>
      </c>
      <c r="J379" s="3"/>
      <c r="K379" s="6">
        <v>8.096</v>
      </c>
      <c r="L379" s="6">
        <v>0.3</v>
      </c>
      <c r="M379" s="6">
        <v>0.7</v>
      </c>
      <c r="N379" s="5">
        <v>9</v>
      </c>
      <c r="O379" s="6">
        <v>1.2</v>
      </c>
      <c r="P379" s="6"/>
      <c r="Q379" s="7"/>
      <c r="R379" s="6"/>
      <c r="S379" s="6"/>
      <c r="T379" s="6"/>
      <c r="U379" s="5"/>
      <c r="V379" s="6"/>
      <c r="W379" s="6"/>
      <c r="X379" s="6"/>
      <c r="Y379" s="15"/>
      <c r="Z379" s="6"/>
      <c r="AA379" s="6"/>
      <c r="AB379" s="5"/>
      <c r="AC379" s="3"/>
      <c r="AD379" s="6">
        <v>0.024287999999999997</v>
      </c>
      <c r="AE379" s="6">
        <v>0.05667199999999999</v>
      </c>
      <c r="AF379" s="7">
        <v>72.864</v>
      </c>
      <c r="AG379" s="6">
        <v>0.09715199999999999</v>
      </c>
      <c r="AH379" s="7">
        <v>0</v>
      </c>
      <c r="AI379" s="15">
        <v>0.178112</v>
      </c>
      <c r="AJ379" s="6">
        <v>2.2</v>
      </c>
      <c r="AK379" s="3"/>
      <c r="AL379" s="6">
        <v>109.72953895498392</v>
      </c>
      <c r="AM379" s="6">
        <v>5.687868</v>
      </c>
      <c r="AN379" s="6">
        <v>15.200716999999997</v>
      </c>
      <c r="AO379" s="6">
        <v>5.507073954983924</v>
      </c>
      <c r="AP379" s="6">
        <v>83.33388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0</v>
      </c>
      <c r="BB379" s="6">
        <v>0</v>
      </c>
      <c r="BC379" s="6"/>
      <c r="BD379" s="3"/>
      <c r="BE379" s="3"/>
      <c r="BF379" s="7">
        <v>888.3703473795498</v>
      </c>
    </row>
    <row x14ac:dyDescent="0.25" r="380" customHeight="1" ht="12.75">
      <c r="A380" s="5" t="s">
        <v>356</v>
      </c>
      <c r="B380" s="3" t="s">
        <v>859</v>
      </c>
      <c r="C380" s="3" t="s">
        <v>866</v>
      </c>
      <c r="D380" s="3" t="s">
        <v>989</v>
      </c>
      <c r="E380" s="3"/>
      <c r="F380" s="6">
        <f>100*SUM(AM380:AO380)/AL380</f>
      </c>
      <c r="G380" s="6">
        <f>100*SUM(AP380)/AL380</f>
      </c>
      <c r="H380" s="6">
        <f>100*SUM(AQ380)/AL380</f>
      </c>
      <c r="I380" s="6">
        <f>100*SUM(AR380:BC380)/AL380</f>
      </c>
      <c r="J380" s="3"/>
      <c r="K380" s="5">
        <v>10</v>
      </c>
      <c r="L380" s="6">
        <v>2.4</v>
      </c>
      <c r="M380" s="6">
        <v>7.4</v>
      </c>
      <c r="N380" s="5"/>
      <c r="O380" s="6"/>
      <c r="P380" s="6"/>
      <c r="Q380" s="7"/>
      <c r="R380" s="6"/>
      <c r="S380" s="6"/>
      <c r="T380" s="6"/>
      <c r="U380" s="5"/>
      <c r="V380" s="6"/>
      <c r="W380" s="6"/>
      <c r="X380" s="6"/>
      <c r="Y380" s="15"/>
      <c r="Z380" s="6"/>
      <c r="AA380" s="6"/>
      <c r="AB380" s="5"/>
      <c r="AC380" s="3"/>
      <c r="AD380" s="6">
        <v>0.24</v>
      </c>
      <c r="AE380" s="6">
        <v>0.74</v>
      </c>
      <c r="AF380" s="7">
        <v>0</v>
      </c>
      <c r="AG380" s="6">
        <v>0</v>
      </c>
      <c r="AH380" s="7">
        <v>0</v>
      </c>
      <c r="AI380" s="15">
        <v>0.98</v>
      </c>
      <c r="AJ380" s="6">
        <v>9.8</v>
      </c>
      <c r="AK380" s="3"/>
      <c r="AL380" s="6">
        <v>206.196238</v>
      </c>
      <c r="AM380" s="6">
        <v>45.502944</v>
      </c>
      <c r="AN380" s="6">
        <v>160.693294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  <c r="AT380" s="6">
        <v>0</v>
      </c>
      <c r="AU380" s="6">
        <v>0</v>
      </c>
      <c r="AV380" s="6">
        <v>0</v>
      </c>
      <c r="AW380" s="6">
        <v>0</v>
      </c>
      <c r="AX380" s="6">
        <v>0</v>
      </c>
      <c r="AY380" s="6">
        <v>0</v>
      </c>
      <c r="AZ380" s="6">
        <v>0</v>
      </c>
      <c r="BA380" s="6">
        <v>0</v>
      </c>
      <c r="BB380" s="6">
        <v>0</v>
      </c>
      <c r="BC380" s="6"/>
      <c r="BD380" s="3"/>
      <c r="BE380" s="3"/>
      <c r="BF380" s="7">
        <v>2061.96238</v>
      </c>
    </row>
    <row x14ac:dyDescent="0.25" r="381" customHeight="1" ht="12.75">
      <c r="A381" s="5" t="s">
        <v>332</v>
      </c>
      <c r="B381" s="3" t="s">
        <v>859</v>
      </c>
      <c r="C381" s="3" t="s">
        <v>866</v>
      </c>
      <c r="D381" s="3" t="s">
        <v>988</v>
      </c>
      <c r="E381" s="3"/>
      <c r="F381" s="6">
        <f>100*SUM(AM381:AO381)/AL381</f>
      </c>
      <c r="G381" s="6">
        <f>100*SUM(AP381)/AL381</f>
      </c>
      <c r="H381" s="6">
        <f>100*SUM(AQ381)/AL381</f>
      </c>
      <c r="I381" s="6">
        <f>100*SUM(AR381:BC381)/AL381</f>
      </c>
      <c r="J381" s="3"/>
      <c r="K381" s="5">
        <v>27</v>
      </c>
      <c r="L381" s="6">
        <v>1.69</v>
      </c>
      <c r="M381" s="6">
        <v>3.79</v>
      </c>
      <c r="N381" s="5"/>
      <c r="O381" s="6"/>
      <c r="P381" s="6"/>
      <c r="Q381" s="7"/>
      <c r="R381" s="6"/>
      <c r="S381" s="6"/>
      <c r="T381" s="6"/>
      <c r="U381" s="5"/>
      <c r="V381" s="6"/>
      <c r="W381" s="6"/>
      <c r="X381" s="6"/>
      <c r="Y381" s="15"/>
      <c r="Z381" s="6"/>
      <c r="AA381" s="6"/>
      <c r="AB381" s="5"/>
      <c r="AC381" s="3"/>
      <c r="AD381" s="6">
        <v>0.45629999999999993</v>
      </c>
      <c r="AE381" s="6">
        <v>1.0232999999999999</v>
      </c>
      <c r="AF381" s="7">
        <v>0</v>
      </c>
      <c r="AG381" s="6">
        <v>0</v>
      </c>
      <c r="AH381" s="7">
        <v>0</v>
      </c>
      <c r="AI381" s="15">
        <v>1.4795999999999998</v>
      </c>
      <c r="AJ381" s="6">
        <v>5.48</v>
      </c>
      <c r="AK381" s="3"/>
      <c r="AL381" s="6">
        <v>114.3426813</v>
      </c>
      <c r="AM381" s="6">
        <v>32.041656399999994</v>
      </c>
      <c r="AN381" s="6">
        <v>82.3010249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6">
        <v>0</v>
      </c>
      <c r="BA381" s="6">
        <v>0</v>
      </c>
      <c r="BB381" s="6">
        <v>0</v>
      </c>
      <c r="BC381" s="6"/>
      <c r="BD381" s="3"/>
      <c r="BE381" s="3"/>
      <c r="BF381" s="7">
        <v>3087.2523951</v>
      </c>
    </row>
    <row x14ac:dyDescent="0.25" r="382" customHeight="1" ht="12.75">
      <c r="A382" s="5" t="s">
        <v>465</v>
      </c>
      <c r="B382" s="3" t="s">
        <v>859</v>
      </c>
      <c r="C382" s="3" t="s">
        <v>866</v>
      </c>
      <c r="D382" s="3" t="s">
        <v>989</v>
      </c>
      <c r="E382" s="3"/>
      <c r="F382" s="6">
        <f>100*SUM(AM382:AO382)/AL382</f>
      </c>
      <c r="G382" s="6">
        <f>100*SUM(AP382)/AL382</f>
      </c>
      <c r="H382" s="6">
        <f>100*SUM(AQ382)/AL382</f>
      </c>
      <c r="I382" s="6">
        <f>100*SUM(AR382:BC382)/AL382</f>
      </c>
      <c r="J382" s="3"/>
      <c r="K382" s="6">
        <v>9.07</v>
      </c>
      <c r="L382" s="6">
        <v>2.6</v>
      </c>
      <c r="M382" s="6">
        <v>5.4</v>
      </c>
      <c r="N382" s="6">
        <v>17.1</v>
      </c>
      <c r="O382" s="6"/>
      <c r="P382" s="6"/>
      <c r="Q382" s="7"/>
      <c r="R382" s="6"/>
      <c r="S382" s="6"/>
      <c r="T382" s="6"/>
      <c r="U382" s="5"/>
      <c r="V382" s="6"/>
      <c r="W382" s="6"/>
      <c r="X382" s="6"/>
      <c r="Y382" s="15"/>
      <c r="Z382" s="6"/>
      <c r="AA382" s="6"/>
      <c r="AB382" s="5"/>
      <c r="AC382" s="3"/>
      <c r="AD382" s="6">
        <v>0.23582</v>
      </c>
      <c r="AE382" s="6">
        <v>0.48978</v>
      </c>
      <c r="AF382" s="7">
        <v>155.097</v>
      </c>
      <c r="AG382" s="6">
        <v>0</v>
      </c>
      <c r="AH382" s="7">
        <v>0</v>
      </c>
      <c r="AI382" s="15">
        <v>0.7256</v>
      </c>
      <c r="AJ382" s="6">
        <v>8</v>
      </c>
      <c r="AK382" s="3"/>
      <c r="AL382" s="6">
        <v>177.02097051446947</v>
      </c>
      <c r="AM382" s="6">
        <v>49.294856</v>
      </c>
      <c r="AN382" s="6">
        <v>117.262674</v>
      </c>
      <c r="AO382" s="6">
        <v>10.463440514469456</v>
      </c>
      <c r="AP382" s="6">
        <v>0</v>
      </c>
      <c r="AQ382" s="6">
        <v>0</v>
      </c>
      <c r="AR382" s="6">
        <v>0</v>
      </c>
      <c r="AS382" s="6">
        <v>0</v>
      </c>
      <c r="AT382" s="6">
        <v>0</v>
      </c>
      <c r="AU382" s="6">
        <v>0</v>
      </c>
      <c r="AV382" s="6">
        <v>0</v>
      </c>
      <c r="AW382" s="6">
        <v>0</v>
      </c>
      <c r="AX382" s="6">
        <v>0</v>
      </c>
      <c r="AY382" s="6">
        <v>0</v>
      </c>
      <c r="AZ382" s="6">
        <v>0</v>
      </c>
      <c r="BA382" s="6">
        <v>0</v>
      </c>
      <c r="BB382" s="6">
        <v>0</v>
      </c>
      <c r="BC382" s="6"/>
      <c r="BD382" s="3"/>
      <c r="BE382" s="3"/>
      <c r="BF382" s="7">
        <v>1605.580202566238</v>
      </c>
    </row>
    <row x14ac:dyDescent="0.25" r="383" customHeight="1" ht="12.75">
      <c r="A383" s="5" t="s">
        <v>106</v>
      </c>
      <c r="B383" s="3" t="s">
        <v>859</v>
      </c>
      <c r="C383" s="3" t="s">
        <v>866</v>
      </c>
      <c r="D383" s="3" t="s">
        <v>989</v>
      </c>
      <c r="E383" s="3"/>
      <c r="F383" s="6">
        <f>100*SUM(AM383:AO383)/AL383</f>
      </c>
      <c r="G383" s="6">
        <f>100*SUM(AP383)/AL383</f>
      </c>
      <c r="H383" s="6">
        <f>100*SUM(AQ383)/AL383</f>
      </c>
      <c r="I383" s="6">
        <f>100*SUM(AR383:BC383)/AL383</f>
      </c>
      <c r="J383" s="3"/>
      <c r="K383" s="6">
        <v>0.76</v>
      </c>
      <c r="L383" s="5">
        <v>10</v>
      </c>
      <c r="M383" s="5">
        <v>7</v>
      </c>
      <c r="N383" s="6">
        <v>1.2</v>
      </c>
      <c r="O383" s="6"/>
      <c r="P383" s="6"/>
      <c r="Q383" s="7"/>
      <c r="R383" s="6"/>
      <c r="S383" s="6"/>
      <c r="T383" s="6"/>
      <c r="U383" s="5"/>
      <c r="V383" s="6"/>
      <c r="W383" s="6"/>
      <c r="X383" s="6"/>
      <c r="Y383" s="15"/>
      <c r="Z383" s="6"/>
      <c r="AA383" s="6"/>
      <c r="AB383" s="5"/>
      <c r="AC383" s="3"/>
      <c r="AD383" s="6">
        <v>0.076</v>
      </c>
      <c r="AE383" s="6">
        <v>0.053200000000000004</v>
      </c>
      <c r="AF383" s="7">
        <v>0.9119999999999999</v>
      </c>
      <c r="AG383" s="6">
        <v>0</v>
      </c>
      <c r="AH383" s="7">
        <v>0</v>
      </c>
      <c r="AI383" s="15">
        <v>0.1292</v>
      </c>
      <c r="AJ383" s="6">
        <v>17</v>
      </c>
      <c r="AK383" s="3"/>
      <c r="AL383" s="6">
        <v>342.33704652733115</v>
      </c>
      <c r="AM383" s="6">
        <v>189.5956</v>
      </c>
      <c r="AN383" s="6">
        <v>152.00717</v>
      </c>
      <c r="AO383" s="6">
        <v>0.7342765273311898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/>
      <c r="BD383" s="3"/>
      <c r="BE383" s="3"/>
      <c r="BF383" s="7">
        <v>260.1761553607717</v>
      </c>
    </row>
    <row x14ac:dyDescent="0.25" r="384" customHeight="1" ht="12.75">
      <c r="A384" s="5" t="s">
        <v>374</v>
      </c>
      <c r="B384" s="3" t="s">
        <v>859</v>
      </c>
      <c r="C384" s="3" t="s">
        <v>866</v>
      </c>
      <c r="D384" s="3" t="s">
        <v>989</v>
      </c>
      <c r="E384" s="3"/>
      <c r="F384" s="6">
        <f>100*SUM(AM384:AO384)/AL384</f>
      </c>
      <c r="G384" s="6">
        <f>100*SUM(AP384)/AL384</f>
      </c>
      <c r="H384" s="6">
        <f>100*SUM(AQ384)/AL384</f>
      </c>
      <c r="I384" s="6">
        <f>100*SUM(AR384:BC384)/AL384</f>
      </c>
      <c r="J384" s="3"/>
      <c r="K384" s="6">
        <v>2.7</v>
      </c>
      <c r="L384" s="6">
        <v>3.34</v>
      </c>
      <c r="M384" s="6">
        <v>6.14</v>
      </c>
      <c r="N384" s="5"/>
      <c r="O384" s="6"/>
      <c r="P384" s="6"/>
      <c r="Q384" s="7"/>
      <c r="R384" s="6"/>
      <c r="S384" s="6"/>
      <c r="T384" s="6"/>
      <c r="U384" s="5"/>
      <c r="V384" s="6"/>
      <c r="W384" s="6"/>
      <c r="X384" s="6"/>
      <c r="Y384" s="15"/>
      <c r="Z384" s="6"/>
      <c r="AA384" s="6"/>
      <c r="AB384" s="5"/>
      <c r="AC384" s="3"/>
      <c r="AD384" s="6">
        <v>0.09018000000000001</v>
      </c>
      <c r="AE384" s="6">
        <v>0.16577999999999998</v>
      </c>
      <c r="AF384" s="7">
        <v>0</v>
      </c>
      <c r="AG384" s="6">
        <v>0</v>
      </c>
      <c r="AH384" s="7">
        <v>0</v>
      </c>
      <c r="AI384" s="15">
        <v>0.25595999999999997</v>
      </c>
      <c r="AJ384" s="6">
        <v>9.48</v>
      </c>
      <c r="AK384" s="3"/>
      <c r="AL384" s="6">
        <v>196.6569338</v>
      </c>
      <c r="AM384" s="6">
        <v>63.32493039999999</v>
      </c>
      <c r="AN384" s="6">
        <v>133.3320034</v>
      </c>
      <c r="AO384" s="6">
        <v>0</v>
      </c>
      <c r="AP384" s="6">
        <v>0</v>
      </c>
      <c r="AQ384" s="6">
        <v>0</v>
      </c>
      <c r="AR384" s="6">
        <v>0</v>
      </c>
      <c r="AS384" s="6">
        <v>0</v>
      </c>
      <c r="AT384" s="6">
        <v>0</v>
      </c>
      <c r="AU384" s="6">
        <v>0</v>
      </c>
      <c r="AV384" s="6">
        <v>0</v>
      </c>
      <c r="AW384" s="6">
        <v>0</v>
      </c>
      <c r="AX384" s="6">
        <v>0</v>
      </c>
      <c r="AY384" s="6">
        <v>0</v>
      </c>
      <c r="AZ384" s="6">
        <v>0</v>
      </c>
      <c r="BA384" s="6">
        <v>0</v>
      </c>
      <c r="BB384" s="6">
        <v>0</v>
      </c>
      <c r="BC384" s="6"/>
      <c r="BD384" s="3"/>
      <c r="BE384" s="3"/>
      <c r="BF384" s="7">
        <v>530.97372126</v>
      </c>
    </row>
    <row x14ac:dyDescent="0.25" r="385" customHeight="1" ht="12.75">
      <c r="A385" s="5" t="s">
        <v>736</v>
      </c>
      <c r="B385" s="3" t="s">
        <v>859</v>
      </c>
      <c r="C385" s="3" t="s">
        <v>866</v>
      </c>
      <c r="D385" s="3" t="s">
        <v>989</v>
      </c>
      <c r="E385" s="3"/>
      <c r="F385" s="6">
        <f>100*SUM(AM385:AO385)/AL385</f>
      </c>
      <c r="G385" s="6">
        <f>100*SUM(AP385)/AL385</f>
      </c>
      <c r="H385" s="6">
        <f>100*SUM(AQ385)/AL385</f>
      </c>
      <c r="I385" s="6">
        <f>100*SUM(AR385:BC385)/AL385</f>
      </c>
      <c r="J385" s="3"/>
      <c r="K385" s="7">
        <v>3</v>
      </c>
      <c r="L385" s="6">
        <v>0.6</v>
      </c>
      <c r="M385" s="6">
        <v>4.3</v>
      </c>
      <c r="N385" s="5">
        <v>11</v>
      </c>
      <c r="O385" s="6"/>
      <c r="P385" s="6"/>
      <c r="Q385" s="7"/>
      <c r="R385" s="6"/>
      <c r="S385" s="6"/>
      <c r="T385" s="6"/>
      <c r="U385" s="5"/>
      <c r="V385" s="6"/>
      <c r="W385" s="6"/>
      <c r="X385" s="6"/>
      <c r="Y385" s="15"/>
      <c r="Z385" s="6"/>
      <c r="AA385" s="6"/>
      <c r="AB385" s="5"/>
      <c r="AC385" s="3"/>
      <c r="AD385" s="6">
        <v>0.018</v>
      </c>
      <c r="AE385" s="6">
        <v>0.12899999999999998</v>
      </c>
      <c r="AF385" s="7">
        <v>33</v>
      </c>
      <c r="AG385" s="6">
        <v>0</v>
      </c>
      <c r="AH385" s="7">
        <v>0</v>
      </c>
      <c r="AI385" s="15">
        <v>0.14699999999999996</v>
      </c>
      <c r="AJ385" s="6">
        <v>4.8999999999999995</v>
      </c>
      <c r="AK385" s="3"/>
      <c r="AL385" s="6">
        <v>111.48243716720256</v>
      </c>
      <c r="AM385" s="6">
        <v>11.375736</v>
      </c>
      <c r="AN385" s="6">
        <v>93.37583299999999</v>
      </c>
      <c r="AO385" s="6">
        <v>6.730868167202573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/>
      <c r="BD385" s="3"/>
      <c r="BE385" s="3"/>
      <c r="BF385" s="7">
        <v>334.4473115016077</v>
      </c>
    </row>
    <row x14ac:dyDescent="0.25" r="386" customHeight="1" ht="12.75">
      <c r="A386" s="5" t="s">
        <v>395</v>
      </c>
      <c r="B386" s="3" t="s">
        <v>859</v>
      </c>
      <c r="C386" s="3" t="s">
        <v>866</v>
      </c>
      <c r="D386" s="3" t="s">
        <v>989</v>
      </c>
      <c r="E386" s="3"/>
      <c r="F386" s="6">
        <f>100*SUM(AM386:AO386)/AL386</f>
      </c>
      <c r="G386" s="6">
        <f>100*SUM(AP386)/AL386</f>
      </c>
      <c r="H386" s="6">
        <f>100*SUM(AQ386)/AL386</f>
      </c>
      <c r="I386" s="6">
        <f>100*SUM(AR386:BC386)/AL386</f>
      </c>
      <c r="J386" s="3"/>
      <c r="K386" s="6">
        <v>0.12</v>
      </c>
      <c r="L386" s="5">
        <v>8</v>
      </c>
      <c r="M386" s="5">
        <v>1</v>
      </c>
      <c r="N386" s="5"/>
      <c r="O386" s="6"/>
      <c r="P386" s="6"/>
      <c r="Q386" s="7"/>
      <c r="R386" s="6"/>
      <c r="S386" s="6"/>
      <c r="T386" s="6"/>
      <c r="U386" s="5"/>
      <c r="V386" s="6"/>
      <c r="W386" s="6"/>
      <c r="X386" s="6"/>
      <c r="Y386" s="15"/>
      <c r="Z386" s="6"/>
      <c r="AA386" s="6"/>
      <c r="AB386" s="5"/>
      <c r="AC386" s="3"/>
      <c r="AD386" s="6">
        <v>0.0096</v>
      </c>
      <c r="AE386" s="6">
        <v>0.0012</v>
      </c>
      <c r="AF386" s="7">
        <v>0</v>
      </c>
      <c r="AG386" s="6">
        <v>0</v>
      </c>
      <c r="AH386" s="7">
        <v>0</v>
      </c>
      <c r="AI386" s="15">
        <v>0.010799999999999999</v>
      </c>
      <c r="AJ386" s="6">
        <v>9</v>
      </c>
      <c r="AK386" s="3"/>
      <c r="AL386" s="6">
        <v>173.39179</v>
      </c>
      <c r="AM386" s="6">
        <v>151.67648</v>
      </c>
      <c r="AN386" s="6">
        <v>21.71531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0</v>
      </c>
      <c r="BC386" s="6"/>
      <c r="BD386" s="3"/>
      <c r="BE386" s="3"/>
      <c r="BF386" s="7">
        <v>20.807014799999997</v>
      </c>
    </row>
    <row x14ac:dyDescent="0.25" r="387" customHeight="1" ht="12.75">
      <c r="A387" s="5" t="s">
        <v>14</v>
      </c>
      <c r="B387" s="3" t="s">
        <v>859</v>
      </c>
      <c r="C387" s="3" t="s">
        <v>866</v>
      </c>
      <c r="D387" s="3" t="s">
        <v>988</v>
      </c>
      <c r="E387" s="3"/>
      <c r="F387" s="6">
        <f>100*SUM(AM387:AO387)/AL387</f>
      </c>
      <c r="G387" s="6">
        <f>100*SUM(AP387)/AL387</f>
      </c>
      <c r="H387" s="6">
        <f>100*SUM(AQ387)/AL387</f>
      </c>
      <c r="I387" s="6">
        <f>100*SUM(AR387:BC387)/AL387</f>
      </c>
      <c r="J387" s="3"/>
      <c r="K387" s="31">
        <v>519</v>
      </c>
      <c r="L387" s="6">
        <v>0.6473988439306358</v>
      </c>
      <c r="M387" s="6">
        <v>4.0847784200385355</v>
      </c>
      <c r="N387" s="5">
        <v>28</v>
      </c>
      <c r="O387" s="6"/>
      <c r="P387" s="6"/>
      <c r="Q387" s="7"/>
      <c r="R387" s="6"/>
      <c r="S387" s="6"/>
      <c r="T387" s="6"/>
      <c r="U387" s="5"/>
      <c r="V387" s="6"/>
      <c r="W387" s="6"/>
      <c r="X387" s="6"/>
      <c r="Y387" s="15"/>
      <c r="Z387" s="6"/>
      <c r="AA387" s="6"/>
      <c r="AB387" s="5"/>
      <c r="AC387" s="3" t="s">
        <v>1000</v>
      </c>
      <c r="AD387" s="6">
        <v>3.36</v>
      </c>
      <c r="AE387" s="6">
        <v>21.2</v>
      </c>
      <c r="AF387" s="7">
        <v>14532</v>
      </c>
      <c r="AG387" s="6">
        <v>0</v>
      </c>
      <c r="AH387" s="7">
        <v>0</v>
      </c>
      <c r="AI387" s="15">
        <v>24.56</v>
      </c>
      <c r="AJ387" s="6">
        <v>4.732177263969171</v>
      </c>
      <c r="AK387" s="3"/>
      <c r="AL387" s="6">
        <v>118.10974586894163</v>
      </c>
      <c r="AM387" s="6">
        <v>12.274397225433527</v>
      </c>
      <c r="AN387" s="6">
        <v>88.702229672447</v>
      </c>
      <c r="AO387" s="6">
        <v>17.133118971061094</v>
      </c>
      <c r="AP387" s="6">
        <v>0</v>
      </c>
      <c r="AQ387" s="6">
        <v>0</v>
      </c>
      <c r="AR387" s="6">
        <v>0</v>
      </c>
      <c r="AS387" s="6">
        <v>0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0</v>
      </c>
      <c r="BC387" s="6"/>
      <c r="BD387" s="3"/>
      <c r="BE387" s="3"/>
      <c r="BF387" s="7">
        <v>61298.9581059807</v>
      </c>
    </row>
    <row x14ac:dyDescent="0.25" r="388" customHeight="1" ht="12.75">
      <c r="A388" s="5" t="s">
        <v>9</v>
      </c>
      <c r="B388" s="3" t="s">
        <v>859</v>
      </c>
      <c r="C388" s="3" t="s">
        <v>866</v>
      </c>
      <c r="D388" s="3" t="s">
        <v>988</v>
      </c>
      <c r="E388" s="3"/>
      <c r="F388" s="6">
        <f>100*SUM(AM388:AO388)/AL388</f>
      </c>
      <c r="G388" s="6">
        <f>100*SUM(AP388)/AL388</f>
      </c>
      <c r="H388" s="6">
        <f>100*SUM(AQ388)/AL388</f>
      </c>
      <c r="I388" s="6">
        <f>100*SUM(AR388:BC388)/AL388</f>
      </c>
      <c r="J388" s="3"/>
      <c r="K388" s="6">
        <v>22.23</v>
      </c>
      <c r="L388" s="7">
        <v>3.9501574448942867</v>
      </c>
      <c r="M388" s="7">
        <v>30.31322537112011</v>
      </c>
      <c r="N388" s="31">
        <v>90.20692757534863</v>
      </c>
      <c r="O388" s="6"/>
      <c r="P388" s="6"/>
      <c r="Q388" s="7"/>
      <c r="R388" s="6"/>
      <c r="S388" s="6"/>
      <c r="T388" s="6"/>
      <c r="U388" s="5"/>
      <c r="V388" s="6"/>
      <c r="W388" s="6"/>
      <c r="X388" s="6"/>
      <c r="Y388" s="15"/>
      <c r="Z388" s="6"/>
      <c r="AA388" s="6"/>
      <c r="AB388" s="5"/>
      <c r="AC388" s="3"/>
      <c r="AD388" s="6">
        <v>0.87812</v>
      </c>
      <c r="AE388" s="6">
        <v>6.738630000000001</v>
      </c>
      <c r="AF388" s="7">
        <v>2005.3000000000002</v>
      </c>
      <c r="AG388" s="6">
        <v>0</v>
      </c>
      <c r="AH388" s="7">
        <v>0</v>
      </c>
      <c r="AI388" s="15">
        <v>7.616750000000001</v>
      </c>
      <c r="AJ388" s="6">
        <v>34.2633828160144</v>
      </c>
      <c r="AK388" s="3"/>
      <c r="AL388" s="6">
        <v>788.3516910540275</v>
      </c>
      <c r="AM388" s="6">
        <v>74.89324708591992</v>
      </c>
      <c r="AN388" s="6">
        <v>658.2610860337383</v>
      </c>
      <c r="AO388" s="6">
        <v>55.19735793436928</v>
      </c>
      <c r="AP388" s="6">
        <v>0</v>
      </c>
      <c r="AQ388" s="6">
        <v>0</v>
      </c>
      <c r="AR388" s="6">
        <v>0</v>
      </c>
      <c r="AS388" s="6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/>
      <c r="BD388" s="3"/>
      <c r="BE388" s="3"/>
      <c r="BF388" s="7">
        <v>17525.058092131032</v>
      </c>
    </row>
    <row x14ac:dyDescent="0.25" r="389" customHeight="1" ht="12.75">
      <c r="A389" s="5" t="s">
        <v>30</v>
      </c>
      <c r="B389" s="3" t="s">
        <v>859</v>
      </c>
      <c r="C389" s="3" t="s">
        <v>866</v>
      </c>
      <c r="D389" s="3"/>
      <c r="E389" s="3"/>
      <c r="F389" s="6">
        <f>100*SUM(AM389:AO389)/AL389</f>
      </c>
      <c r="G389" s="6">
        <f>100*SUM(AP389)/AL389</f>
      </c>
      <c r="H389" s="6">
        <f>100*SUM(AQ389)/AL389</f>
      </c>
      <c r="I389" s="6">
        <f>100*SUM(AR389:BC389)/AL389</f>
      </c>
      <c r="J389" s="3"/>
      <c r="K389" s="6">
        <v>18.8</v>
      </c>
      <c r="L389" s="6"/>
      <c r="M389" s="6">
        <v>23.7</v>
      </c>
      <c r="N389" s="5"/>
      <c r="O389" s="6"/>
      <c r="P389" s="6"/>
      <c r="Q389" s="7"/>
      <c r="R389" s="6"/>
      <c r="S389" s="6"/>
      <c r="T389" s="6"/>
      <c r="U389" s="5"/>
      <c r="V389" s="6"/>
      <c r="W389" s="6"/>
      <c r="X389" s="6"/>
      <c r="Y389" s="15"/>
      <c r="Z389" s="6"/>
      <c r="AA389" s="6"/>
      <c r="AB389" s="5"/>
      <c r="AC389" s="3"/>
      <c r="AD389" s="6">
        <v>0</v>
      </c>
      <c r="AE389" s="6">
        <v>4.4556000000000004</v>
      </c>
      <c r="AF389" s="7">
        <v>0</v>
      </c>
      <c r="AG389" s="6">
        <v>0</v>
      </c>
      <c r="AH389" s="7">
        <v>0</v>
      </c>
      <c r="AI389" s="15">
        <v>4.4556000000000004</v>
      </c>
      <c r="AJ389" s="6">
        <v>23.7</v>
      </c>
      <c r="AK389" s="3"/>
      <c r="AL389" s="6">
        <v>514.652847</v>
      </c>
      <c r="AM389" s="6">
        <v>0</v>
      </c>
      <c r="AN389" s="6">
        <v>514.652847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/>
      <c r="BD389" s="3"/>
      <c r="BE389" s="3"/>
      <c r="BF389" s="7">
        <v>9675.4735236</v>
      </c>
    </row>
    <row x14ac:dyDescent="0.25" r="390" customHeight="1" ht="12.75">
      <c r="A390" s="5" t="s">
        <v>158</v>
      </c>
      <c r="B390" s="3" t="s">
        <v>859</v>
      </c>
      <c r="C390" s="3" t="s">
        <v>866</v>
      </c>
      <c r="D390" s="3"/>
      <c r="E390" s="3"/>
      <c r="F390" s="6">
        <f>100*SUM(AM390:AO390)/AL390</f>
      </c>
      <c r="G390" s="6">
        <f>100*SUM(AP390)/AL390</f>
      </c>
      <c r="H390" s="6">
        <f>100*SUM(AQ390)/AL390</f>
      </c>
      <c r="I390" s="6">
        <f>100*SUM(AR390:BC390)/AL390</f>
      </c>
      <c r="J390" s="3"/>
      <c r="K390" s="5">
        <v>34</v>
      </c>
      <c r="L390" s="7">
        <v>2</v>
      </c>
      <c r="M390" s="7">
        <v>8</v>
      </c>
      <c r="N390" s="31">
        <v>30</v>
      </c>
      <c r="O390" s="6"/>
      <c r="P390" s="6"/>
      <c r="Q390" s="7"/>
      <c r="R390" s="6"/>
      <c r="S390" s="6"/>
      <c r="T390" s="6"/>
      <c r="U390" s="5"/>
      <c r="V390" s="6"/>
      <c r="W390" s="6"/>
      <c r="X390" s="6"/>
      <c r="Y390" s="15"/>
      <c r="Z390" s="6"/>
      <c r="AA390" s="6"/>
      <c r="AB390" s="5"/>
      <c r="AC390" s="3"/>
      <c r="AD390" s="6">
        <v>0.68</v>
      </c>
      <c r="AE390" s="6">
        <v>2.72</v>
      </c>
      <c r="AF390" s="7">
        <v>1020</v>
      </c>
      <c r="AG390" s="6">
        <v>0</v>
      </c>
      <c r="AH390" s="7">
        <v>0</v>
      </c>
      <c r="AI390" s="15">
        <v>3.4000000000000004</v>
      </c>
      <c r="AJ390" s="6">
        <v>10</v>
      </c>
      <c r="AK390" s="3"/>
      <c r="AL390" s="6">
        <v>229.99851318327973</v>
      </c>
      <c r="AM390" s="6">
        <v>37.91912</v>
      </c>
      <c r="AN390" s="6">
        <v>173.72248</v>
      </c>
      <c r="AO390" s="6">
        <v>18.356913183279747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/>
      <c r="BD390" s="3"/>
      <c r="BE390" s="3"/>
      <c r="BF390" s="7">
        <v>7819.94944823151</v>
      </c>
    </row>
    <row x14ac:dyDescent="0.25" r="391" customHeight="1" ht="12.75">
      <c r="A391" s="5" t="s">
        <v>37</v>
      </c>
      <c r="B391" s="3" t="s">
        <v>859</v>
      </c>
      <c r="C391" s="3" t="s">
        <v>866</v>
      </c>
      <c r="D391" s="3" t="s">
        <v>988</v>
      </c>
      <c r="E391" s="3"/>
      <c r="F391" s="6">
        <f>100*SUM(AM391:AO391)/AL391</f>
      </c>
      <c r="G391" s="6">
        <f>100*SUM(AP391)/AL391</f>
      </c>
      <c r="H391" s="6">
        <f>100*SUM(AQ391)/AL391</f>
      </c>
      <c r="I391" s="6">
        <f>100*SUM(AR391:BC391)/AL391</f>
      </c>
      <c r="J391" s="3"/>
      <c r="K391" s="6">
        <v>12.796391999999997</v>
      </c>
      <c r="L391" s="7">
        <v>11.209288593222217</v>
      </c>
      <c r="M391" s="7">
        <v>12.038461260017671</v>
      </c>
      <c r="N391" s="31">
        <v>128.67831363715646</v>
      </c>
      <c r="O391" s="6"/>
      <c r="P391" s="6"/>
      <c r="Q391" s="7"/>
      <c r="R391" s="6"/>
      <c r="S391" s="6"/>
      <c r="T391" s="6"/>
      <c r="U391" s="5"/>
      <c r="V391" s="6"/>
      <c r="W391" s="6"/>
      <c r="X391" s="6"/>
      <c r="Y391" s="15"/>
      <c r="Z391" s="6"/>
      <c r="AA391" s="6"/>
      <c r="AB391" s="5"/>
      <c r="AC391" s="3"/>
      <c r="AD391" s="6">
        <v>1.4343845088</v>
      </c>
      <c r="AE391" s="6">
        <v>1.5404886936000002</v>
      </c>
      <c r="AF391" s="7">
        <v>1646.6181431999996</v>
      </c>
      <c r="AG391" s="6">
        <v>0</v>
      </c>
      <c r="AH391" s="7">
        <v>0</v>
      </c>
      <c r="AI391" s="15">
        <v>2.9748732024000004</v>
      </c>
      <c r="AJ391" s="6">
        <v>23.24774985323989</v>
      </c>
      <c r="AK391" s="3"/>
      <c r="AL391" s="6">
        <v>552.6799855583906</v>
      </c>
      <c r="AM391" s="6">
        <v>212.52317964051218</v>
      </c>
      <c r="AN391" s="6">
        <v>261.41891818427433</v>
      </c>
      <c r="AO391" s="6">
        <v>78.73788773360411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0</v>
      </c>
      <c r="BC391" s="6"/>
      <c r="BD391" s="3"/>
      <c r="BE391" s="3"/>
      <c r="BF391" s="7">
        <v>7072.309745759504</v>
      </c>
    </row>
    <row x14ac:dyDescent="0.25" r="392" customHeight="1" ht="12.75">
      <c r="A392" s="5" t="s">
        <v>205</v>
      </c>
      <c r="B392" s="3" t="s">
        <v>859</v>
      </c>
      <c r="C392" s="3" t="s">
        <v>866</v>
      </c>
      <c r="D392" s="3" t="s">
        <v>989</v>
      </c>
      <c r="E392" s="3"/>
      <c r="F392" s="6">
        <f>100*SUM(AM392:AO392)/AL392</f>
      </c>
      <c r="G392" s="6">
        <f>100*SUM(AP392)/AL392</f>
      </c>
      <c r="H392" s="6">
        <f>100*SUM(AQ392)/AL392</f>
      </c>
      <c r="I392" s="6">
        <f>100*SUM(AR392:BC392)/AL392</f>
      </c>
      <c r="J392" s="3"/>
      <c r="K392" s="5">
        <v>50</v>
      </c>
      <c r="L392" s="6">
        <v>0.2</v>
      </c>
      <c r="M392" s="6">
        <v>4.7</v>
      </c>
      <c r="N392" s="5"/>
      <c r="O392" s="6"/>
      <c r="P392" s="6"/>
      <c r="Q392" s="7"/>
      <c r="R392" s="6"/>
      <c r="S392" s="6"/>
      <c r="T392" s="6"/>
      <c r="U392" s="5"/>
      <c r="V392" s="6"/>
      <c r="W392" s="6"/>
      <c r="X392" s="6"/>
      <c r="Y392" s="15"/>
      <c r="Z392" s="6"/>
      <c r="AA392" s="6"/>
      <c r="AB392" s="5"/>
      <c r="AC392" s="3"/>
      <c r="AD392" s="6">
        <v>0.1</v>
      </c>
      <c r="AE392" s="6">
        <v>2.35</v>
      </c>
      <c r="AF392" s="7">
        <v>0</v>
      </c>
      <c r="AG392" s="6">
        <v>0</v>
      </c>
      <c r="AH392" s="7">
        <v>0</v>
      </c>
      <c r="AI392" s="15">
        <v>2.45</v>
      </c>
      <c r="AJ392" s="6">
        <v>4.9</v>
      </c>
      <c r="AK392" s="3"/>
      <c r="AL392" s="6">
        <v>105.85386899999999</v>
      </c>
      <c r="AM392" s="6">
        <v>3.791912</v>
      </c>
      <c r="AN392" s="6">
        <v>102.06195699999999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0</v>
      </c>
      <c r="BC392" s="6"/>
      <c r="BD392" s="3"/>
      <c r="BE392" s="3"/>
      <c r="BF392" s="7">
        <v>5292.69345</v>
      </c>
    </row>
    <row x14ac:dyDescent="0.25" r="393" customHeight="1" ht="12.75">
      <c r="A393" s="5" t="s">
        <v>213</v>
      </c>
      <c r="B393" s="3" t="s">
        <v>859</v>
      </c>
      <c r="C393" s="3" t="s">
        <v>866</v>
      </c>
      <c r="D393" s="3" t="s">
        <v>989</v>
      </c>
      <c r="E393" s="3"/>
      <c r="F393" s="6">
        <f>100*SUM(AM393:AO393)/AL393</f>
      </c>
      <c r="G393" s="6">
        <f>100*SUM(AP393)/AL393</f>
      </c>
      <c r="H393" s="6">
        <f>100*SUM(AQ393)/AL393</f>
      </c>
      <c r="I393" s="6">
        <f>100*SUM(AR393:BC393)/AL393</f>
      </c>
      <c r="J393" s="3"/>
      <c r="K393" s="6">
        <v>21.4</v>
      </c>
      <c r="L393" s="6">
        <v>2.1</v>
      </c>
      <c r="M393" s="6">
        <v>9.2</v>
      </c>
      <c r="N393" s="5">
        <v>31</v>
      </c>
      <c r="O393" s="6"/>
      <c r="P393" s="6"/>
      <c r="Q393" s="7"/>
      <c r="R393" s="6"/>
      <c r="S393" s="6"/>
      <c r="T393" s="6"/>
      <c r="U393" s="5"/>
      <c r="V393" s="6"/>
      <c r="W393" s="6"/>
      <c r="X393" s="6"/>
      <c r="Y393" s="15"/>
      <c r="Z393" s="6"/>
      <c r="AA393" s="6"/>
      <c r="AB393" s="5"/>
      <c r="AC393" s="3"/>
      <c r="AD393" s="6">
        <v>0.44939999999999997</v>
      </c>
      <c r="AE393" s="6">
        <v>1.9687999999999997</v>
      </c>
      <c r="AF393" s="7">
        <v>663.4</v>
      </c>
      <c r="AG393" s="6">
        <v>0</v>
      </c>
      <c r="AH393" s="7">
        <v>0</v>
      </c>
      <c r="AI393" s="15">
        <v>2.4181999999999997</v>
      </c>
      <c r="AJ393" s="6">
        <v>11.299999999999999</v>
      </c>
      <c r="AK393" s="3"/>
      <c r="AL393" s="6">
        <v>258.5647382893891</v>
      </c>
      <c r="AM393" s="6">
        <v>39.815076</v>
      </c>
      <c r="AN393" s="6">
        <v>199.78085199999998</v>
      </c>
      <c r="AO393" s="6">
        <v>18.968810289389072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/>
      <c r="BD393" s="3"/>
      <c r="BE393" s="3"/>
      <c r="BF393" s="7">
        <v>5533.285399392926</v>
      </c>
    </row>
    <row x14ac:dyDescent="0.25" r="394" customHeight="1" ht="12.75">
      <c r="A394" s="5" t="s">
        <v>219</v>
      </c>
      <c r="B394" s="3" t="s">
        <v>859</v>
      </c>
      <c r="C394" s="3" t="s">
        <v>866</v>
      </c>
      <c r="D394" s="3" t="s">
        <v>989</v>
      </c>
      <c r="E394" s="3"/>
      <c r="F394" s="6">
        <f>100*SUM(AM394:AO394)/AL394</f>
      </c>
      <c r="G394" s="6">
        <f>100*SUM(AP394)/AL394</f>
      </c>
      <c r="H394" s="6">
        <f>100*SUM(AQ394)/AL394</f>
      </c>
      <c r="I394" s="6">
        <f>100*SUM(AR394:BC394)/AL394</f>
      </c>
      <c r="J394" s="3"/>
      <c r="K394" s="7">
        <v>25</v>
      </c>
      <c r="L394" s="6">
        <v>1.8</v>
      </c>
      <c r="M394" s="6">
        <v>7.7</v>
      </c>
      <c r="N394" s="5"/>
      <c r="O394" s="6"/>
      <c r="P394" s="6"/>
      <c r="Q394" s="7"/>
      <c r="R394" s="6"/>
      <c r="S394" s="6"/>
      <c r="T394" s="6"/>
      <c r="U394" s="5"/>
      <c r="V394" s="6"/>
      <c r="W394" s="6"/>
      <c r="X394" s="6"/>
      <c r="Y394" s="15"/>
      <c r="Z394" s="6"/>
      <c r="AA394" s="6"/>
      <c r="AB394" s="5"/>
      <c r="AC394" s="3"/>
      <c r="AD394" s="6">
        <v>0.45</v>
      </c>
      <c r="AE394" s="6">
        <v>1.925</v>
      </c>
      <c r="AF394" s="7">
        <v>0</v>
      </c>
      <c r="AG394" s="6">
        <v>0</v>
      </c>
      <c r="AH394" s="7">
        <v>0</v>
      </c>
      <c r="AI394" s="15">
        <v>2.375</v>
      </c>
      <c r="AJ394" s="6">
        <v>9.5</v>
      </c>
      <c r="AK394" s="3"/>
      <c r="AL394" s="6">
        <v>201.335095</v>
      </c>
      <c r="AM394" s="6">
        <v>34.127208</v>
      </c>
      <c r="AN394" s="6">
        <v>167.207887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6">
        <v>0</v>
      </c>
      <c r="BA394" s="6">
        <v>0</v>
      </c>
      <c r="BB394" s="6">
        <v>0</v>
      </c>
      <c r="BC394" s="6"/>
      <c r="BD394" s="3"/>
      <c r="BE394" s="3"/>
      <c r="BF394" s="7">
        <v>5033.377375</v>
      </c>
    </row>
    <row x14ac:dyDescent="0.25" r="395" customHeight="1" ht="12.75">
      <c r="A395" s="5" t="s">
        <v>274</v>
      </c>
      <c r="B395" s="3" t="s">
        <v>859</v>
      </c>
      <c r="C395" s="3" t="s">
        <v>866</v>
      </c>
      <c r="D395" s="3" t="s">
        <v>988</v>
      </c>
      <c r="E395" s="3"/>
      <c r="F395" s="6">
        <f>100*SUM(AM395:AO395)/AL395</f>
      </c>
      <c r="G395" s="6">
        <f>100*SUM(AP395)/AL395</f>
      </c>
      <c r="H395" s="6">
        <f>100*SUM(AQ395)/AL395</f>
      </c>
      <c r="I395" s="6">
        <f>100*SUM(AR395:BC395)/AL395</f>
      </c>
      <c r="J395" s="3"/>
      <c r="K395" s="6">
        <v>17.5</v>
      </c>
      <c r="L395" s="6">
        <v>2.3</v>
      </c>
      <c r="M395" s="6">
        <v>8.6</v>
      </c>
      <c r="N395" s="5"/>
      <c r="O395" s="6"/>
      <c r="P395" s="6"/>
      <c r="Q395" s="7"/>
      <c r="R395" s="6"/>
      <c r="S395" s="6"/>
      <c r="T395" s="6"/>
      <c r="U395" s="5"/>
      <c r="V395" s="6"/>
      <c r="W395" s="6"/>
      <c r="X395" s="6"/>
      <c r="Y395" s="15"/>
      <c r="Z395" s="6"/>
      <c r="AA395" s="6"/>
      <c r="AB395" s="5"/>
      <c r="AC395" s="3"/>
      <c r="AD395" s="6">
        <v>0.4025</v>
      </c>
      <c r="AE395" s="6">
        <v>1.505</v>
      </c>
      <c r="AF395" s="7">
        <v>0</v>
      </c>
      <c r="AG395" s="6">
        <v>0</v>
      </c>
      <c r="AH395" s="7">
        <v>0</v>
      </c>
      <c r="AI395" s="15">
        <v>1.9075</v>
      </c>
      <c r="AJ395" s="6">
        <v>10.899999999999999</v>
      </c>
      <c r="AK395" s="3"/>
      <c r="AL395" s="6">
        <v>230.35865399999997</v>
      </c>
      <c r="AM395" s="6">
        <v>43.606987999999994</v>
      </c>
      <c r="AN395" s="6">
        <v>186.75166599999997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/>
      <c r="BD395" s="3"/>
      <c r="BE395" s="3"/>
      <c r="BF395" s="7">
        <v>4031.2764449999995</v>
      </c>
    </row>
    <row x14ac:dyDescent="0.25" r="396" customHeight="1" ht="12.75">
      <c r="A396" s="5" t="s">
        <v>173</v>
      </c>
      <c r="B396" s="3" t="s">
        <v>859</v>
      </c>
      <c r="C396" s="3" t="s">
        <v>866</v>
      </c>
      <c r="D396" s="3" t="s">
        <v>988</v>
      </c>
      <c r="E396" s="3"/>
      <c r="F396" s="6">
        <f>100*SUM(AM396:AO396)/AL396</f>
      </c>
      <c r="G396" s="6">
        <f>100*SUM(AP396)/AL396</f>
      </c>
      <c r="H396" s="6">
        <f>100*SUM(AQ396)/AL396</f>
      </c>
      <c r="I396" s="6">
        <f>100*SUM(AR396:BC396)/AL396</f>
      </c>
      <c r="J396" s="3"/>
      <c r="K396" s="6">
        <v>13.5</v>
      </c>
      <c r="L396" s="5">
        <v>2</v>
      </c>
      <c r="M396" s="5">
        <v>11</v>
      </c>
      <c r="N396" s="5"/>
      <c r="O396" s="6"/>
      <c r="P396" s="6"/>
      <c r="Q396" s="7"/>
      <c r="R396" s="6"/>
      <c r="S396" s="6"/>
      <c r="T396" s="6"/>
      <c r="U396" s="5"/>
      <c r="V396" s="6"/>
      <c r="W396" s="6"/>
      <c r="X396" s="6"/>
      <c r="Y396" s="15"/>
      <c r="Z396" s="6"/>
      <c r="AA396" s="6"/>
      <c r="AB396" s="5"/>
      <c r="AC396" s="3"/>
      <c r="AD396" s="6">
        <v>0.27</v>
      </c>
      <c r="AE396" s="6">
        <v>1.485</v>
      </c>
      <c r="AF396" s="7">
        <v>0</v>
      </c>
      <c r="AG396" s="6">
        <v>0</v>
      </c>
      <c r="AH396" s="7">
        <v>0</v>
      </c>
      <c r="AI396" s="15">
        <v>1.7550000000000001</v>
      </c>
      <c r="AJ396" s="6">
        <v>13</v>
      </c>
      <c r="AK396" s="3"/>
      <c r="AL396" s="6">
        <v>276.78753</v>
      </c>
      <c r="AM396" s="6">
        <v>37.91912</v>
      </c>
      <c r="AN396" s="6">
        <v>238.86840999999998</v>
      </c>
      <c r="AO396" s="6">
        <v>0</v>
      </c>
      <c r="AP396" s="6">
        <v>0</v>
      </c>
      <c r="AQ396" s="6">
        <v>0</v>
      </c>
      <c r="AR396" s="6">
        <v>0</v>
      </c>
      <c r="AS396" s="6">
        <v>0</v>
      </c>
      <c r="AT396" s="6">
        <v>0</v>
      </c>
      <c r="AU396" s="6">
        <v>0</v>
      </c>
      <c r="AV396" s="6">
        <v>0</v>
      </c>
      <c r="AW396" s="6">
        <v>0</v>
      </c>
      <c r="AX396" s="6">
        <v>0</v>
      </c>
      <c r="AY396" s="6">
        <v>0</v>
      </c>
      <c r="AZ396" s="6">
        <v>0</v>
      </c>
      <c r="BA396" s="6">
        <v>0</v>
      </c>
      <c r="BB396" s="6">
        <v>0</v>
      </c>
      <c r="BC396" s="6"/>
      <c r="BD396" s="3"/>
      <c r="BE396" s="3"/>
      <c r="BF396" s="7">
        <v>3736.631655</v>
      </c>
    </row>
    <row x14ac:dyDescent="0.25" r="397" customHeight="1" ht="12.75">
      <c r="A397" s="5" t="s">
        <v>289</v>
      </c>
      <c r="B397" s="3" t="s">
        <v>859</v>
      </c>
      <c r="C397" s="3" t="s">
        <v>866</v>
      </c>
      <c r="D397" s="3" t="s">
        <v>989</v>
      </c>
      <c r="E397" s="3"/>
      <c r="F397" s="6">
        <f>100*SUM(AM397:AO397)/AL397</f>
      </c>
      <c r="G397" s="6">
        <f>100*SUM(AP397)/AL397</f>
      </c>
      <c r="H397" s="6">
        <f>100*SUM(AQ397)/AL397</f>
      </c>
      <c r="I397" s="6">
        <f>100*SUM(AR397:BC397)/AL397</f>
      </c>
      <c r="J397" s="3"/>
      <c r="K397" s="5">
        <v>50</v>
      </c>
      <c r="L397" s="6"/>
      <c r="M397" s="6">
        <v>3.4</v>
      </c>
      <c r="N397" s="5"/>
      <c r="O397" s="6"/>
      <c r="P397" s="6"/>
      <c r="Q397" s="7"/>
      <c r="R397" s="6"/>
      <c r="S397" s="6"/>
      <c r="T397" s="6"/>
      <c r="U397" s="5"/>
      <c r="V397" s="6"/>
      <c r="W397" s="6"/>
      <c r="X397" s="6"/>
      <c r="Y397" s="15"/>
      <c r="Z397" s="6"/>
      <c r="AA397" s="6"/>
      <c r="AB397" s="5"/>
      <c r="AC397" s="3"/>
      <c r="AD397" s="6">
        <v>0</v>
      </c>
      <c r="AE397" s="6">
        <v>1.7</v>
      </c>
      <c r="AF397" s="7">
        <v>0</v>
      </c>
      <c r="AG397" s="6">
        <v>0</v>
      </c>
      <c r="AH397" s="7">
        <v>0</v>
      </c>
      <c r="AI397" s="15">
        <v>1.7</v>
      </c>
      <c r="AJ397" s="6">
        <v>3.4</v>
      </c>
      <c r="AK397" s="3"/>
      <c r="AL397" s="6">
        <v>73.832054</v>
      </c>
      <c r="AM397" s="6">
        <v>0</v>
      </c>
      <c r="AN397" s="6">
        <v>73.832054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0</v>
      </c>
      <c r="BC397" s="6"/>
      <c r="BD397" s="3"/>
      <c r="BE397" s="3"/>
      <c r="BF397" s="7">
        <v>3691.6027</v>
      </c>
    </row>
    <row x14ac:dyDescent="0.25" r="398" customHeight="1" ht="12.75">
      <c r="A398" s="5" t="s">
        <v>206</v>
      </c>
      <c r="B398" s="3" t="s">
        <v>859</v>
      </c>
      <c r="C398" s="3" t="s">
        <v>866</v>
      </c>
      <c r="D398" s="3" t="s">
        <v>989</v>
      </c>
      <c r="E398" s="3"/>
      <c r="F398" s="6">
        <f>100*SUM(AM398:AO398)/AL398</f>
      </c>
      <c r="G398" s="6">
        <f>100*SUM(AP398)/AL398</f>
      </c>
      <c r="H398" s="6">
        <f>100*SUM(AQ398)/AL398</f>
      </c>
      <c r="I398" s="6">
        <f>100*SUM(AR398:BC398)/AL398</f>
      </c>
      <c r="J398" s="3"/>
      <c r="K398" s="6">
        <v>1.5</v>
      </c>
      <c r="L398" s="6">
        <v>1.3</v>
      </c>
      <c r="M398" s="5">
        <v>11</v>
      </c>
      <c r="N398" s="5"/>
      <c r="O398" s="6"/>
      <c r="P398" s="6"/>
      <c r="Q398" s="7"/>
      <c r="R398" s="6"/>
      <c r="S398" s="6"/>
      <c r="T398" s="6"/>
      <c r="U398" s="5"/>
      <c r="V398" s="6"/>
      <c r="W398" s="6"/>
      <c r="X398" s="6"/>
      <c r="Y398" s="15"/>
      <c r="Z398" s="6"/>
      <c r="AA398" s="6"/>
      <c r="AB398" s="5"/>
      <c r="AC398" s="3"/>
      <c r="AD398" s="6">
        <v>0.019500000000000003</v>
      </c>
      <c r="AE398" s="6">
        <v>0.165</v>
      </c>
      <c r="AF398" s="7">
        <v>0</v>
      </c>
      <c r="AG398" s="6">
        <v>0</v>
      </c>
      <c r="AH398" s="7">
        <v>0</v>
      </c>
      <c r="AI398" s="15">
        <v>0.1845</v>
      </c>
      <c r="AJ398" s="6">
        <v>12.3</v>
      </c>
      <c r="AK398" s="3"/>
      <c r="AL398" s="6">
        <v>263.515838</v>
      </c>
      <c r="AM398" s="6">
        <v>24.647428</v>
      </c>
      <c r="AN398" s="6">
        <v>238.86840999999998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0</v>
      </c>
      <c r="BC398" s="6"/>
      <c r="BD398" s="3"/>
      <c r="BE398" s="3"/>
      <c r="BF398" s="7">
        <v>395.27375699999993</v>
      </c>
    </row>
    <row x14ac:dyDescent="0.25" r="399" customHeight="1" ht="12.75">
      <c r="A399" s="5" t="s">
        <v>551</v>
      </c>
      <c r="B399" s="3" t="s">
        <v>859</v>
      </c>
      <c r="C399" s="3" t="s">
        <v>866</v>
      </c>
      <c r="D399" s="3" t="s">
        <v>988</v>
      </c>
      <c r="E399" s="3"/>
      <c r="F399" s="6">
        <f>100*SUM(AM399:AO399)/AL399</f>
      </c>
      <c r="G399" s="6">
        <f>100*SUM(AP399)/AL399</f>
      </c>
      <c r="H399" s="6">
        <f>100*SUM(AQ399)/AL399</f>
      </c>
      <c r="I399" s="6">
        <f>100*SUM(AR399:BC399)/AL399</f>
      </c>
      <c r="J399" s="3"/>
      <c r="K399" s="5">
        <v>4</v>
      </c>
      <c r="L399" s="6">
        <v>3.5</v>
      </c>
      <c r="M399" s="6">
        <v>3.5</v>
      </c>
      <c r="N399" s="5"/>
      <c r="O399" s="6"/>
      <c r="P399" s="6"/>
      <c r="Q399" s="7"/>
      <c r="R399" s="6"/>
      <c r="S399" s="6"/>
      <c r="T399" s="6"/>
      <c r="U399" s="5"/>
      <c r="V399" s="6"/>
      <c r="W399" s="6"/>
      <c r="X399" s="6"/>
      <c r="Y399" s="15"/>
      <c r="Z399" s="6"/>
      <c r="AA399" s="6"/>
      <c r="AB399" s="5"/>
      <c r="AC399" s="3"/>
      <c r="AD399" s="6">
        <v>0.14</v>
      </c>
      <c r="AE399" s="6">
        <v>0.14</v>
      </c>
      <c r="AF399" s="7">
        <v>0</v>
      </c>
      <c r="AG399" s="6">
        <v>0</v>
      </c>
      <c r="AH399" s="7">
        <v>0</v>
      </c>
      <c r="AI399" s="15">
        <v>0.28</v>
      </c>
      <c r="AJ399" s="6">
        <v>7</v>
      </c>
      <c r="AK399" s="3"/>
      <c r="AL399" s="6">
        <v>142.36204500000002</v>
      </c>
      <c r="AM399" s="6">
        <v>66.35846000000001</v>
      </c>
      <c r="AN399" s="6">
        <v>76.003585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/>
      <c r="BD399" s="3"/>
      <c r="BE399" s="3"/>
      <c r="BF399" s="7">
        <v>569.4481800000001</v>
      </c>
    </row>
    <row x14ac:dyDescent="0.25" r="400" customHeight="1" ht="12.75">
      <c r="A400" s="5" t="s">
        <v>519</v>
      </c>
      <c r="B400" s="3" t="s">
        <v>859</v>
      </c>
      <c r="C400" s="3" t="s">
        <v>866</v>
      </c>
      <c r="D400" s="3" t="s">
        <v>989</v>
      </c>
      <c r="E400" s="3"/>
      <c r="F400" s="6">
        <f>100*SUM(AM400:AO400)/AL400</f>
      </c>
      <c r="G400" s="6">
        <f>100*SUM(AP400)/AL400</f>
      </c>
      <c r="H400" s="6">
        <f>100*SUM(AQ400)/AL400</f>
      </c>
      <c r="I400" s="6">
        <f>100*SUM(AR400:BC400)/AL400</f>
      </c>
      <c r="J400" s="3"/>
      <c r="K400" s="6">
        <v>0.06</v>
      </c>
      <c r="L400" s="6">
        <v>1.4</v>
      </c>
      <c r="M400" s="5">
        <v>6</v>
      </c>
      <c r="N400" s="5">
        <v>20</v>
      </c>
      <c r="O400" s="6"/>
      <c r="P400" s="6"/>
      <c r="Q400" s="7"/>
      <c r="R400" s="6"/>
      <c r="S400" s="6"/>
      <c r="T400" s="6"/>
      <c r="U400" s="5"/>
      <c r="V400" s="6"/>
      <c r="W400" s="6"/>
      <c r="X400" s="6"/>
      <c r="Y400" s="15"/>
      <c r="Z400" s="6"/>
      <c r="AA400" s="6"/>
      <c r="AB400" s="5"/>
      <c r="AC400" s="3"/>
      <c r="AD400" s="6">
        <v>0.0008399999999999999</v>
      </c>
      <c r="AE400" s="6">
        <v>0.0036</v>
      </c>
      <c r="AF400" s="7">
        <v>1.2</v>
      </c>
      <c r="AG400" s="6">
        <v>0</v>
      </c>
      <c r="AH400" s="7">
        <v>0</v>
      </c>
      <c r="AI400" s="15">
        <v>0.0044399999999999995</v>
      </c>
      <c r="AJ400" s="6">
        <v>7.4</v>
      </c>
      <c r="AK400" s="3"/>
      <c r="AL400" s="6">
        <v>169.07318612218648</v>
      </c>
      <c r="AM400" s="6">
        <v>26.543383999999996</v>
      </c>
      <c r="AN400" s="6">
        <v>130.29185999999999</v>
      </c>
      <c r="AO400" s="6">
        <v>12.237942122186498</v>
      </c>
      <c r="AP400" s="6">
        <v>0</v>
      </c>
      <c r="AQ400" s="6">
        <v>0</v>
      </c>
      <c r="AR400" s="6">
        <v>0</v>
      </c>
      <c r="AS400" s="6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0</v>
      </c>
      <c r="BC400" s="6"/>
      <c r="BD400" s="3"/>
      <c r="BE400" s="3"/>
      <c r="BF400" s="7">
        <v>10.14439116733119</v>
      </c>
    </row>
    <row x14ac:dyDescent="0.25" r="401" customHeight="1" ht="12.75">
      <c r="A401" s="5" t="s">
        <v>607</v>
      </c>
      <c r="B401" s="3" t="s">
        <v>859</v>
      </c>
      <c r="C401" s="3" t="s">
        <v>866</v>
      </c>
      <c r="D401" s="3" t="s">
        <v>988</v>
      </c>
      <c r="E401" s="3"/>
      <c r="F401" s="6">
        <f>100*SUM(AM401:AO401)/AL401</f>
      </c>
      <c r="G401" s="6">
        <f>100*SUM(AP401)/AL401</f>
      </c>
      <c r="H401" s="6">
        <f>100*SUM(AQ401)/AL401</f>
      </c>
      <c r="I401" s="6">
        <f>100*SUM(AR401:BC401)/AL401</f>
      </c>
      <c r="J401" s="3"/>
      <c r="K401" s="6">
        <v>1.22</v>
      </c>
      <c r="L401" s="6">
        <v>2.57</v>
      </c>
      <c r="M401" s="6">
        <v>3.84</v>
      </c>
      <c r="N401" s="5"/>
      <c r="O401" s="6"/>
      <c r="P401" s="6"/>
      <c r="Q401" s="7"/>
      <c r="R401" s="6"/>
      <c r="S401" s="6"/>
      <c r="T401" s="6"/>
      <c r="U401" s="5"/>
      <c r="V401" s="6"/>
      <c r="W401" s="6"/>
      <c r="X401" s="6"/>
      <c r="Y401" s="15"/>
      <c r="Z401" s="6"/>
      <c r="AA401" s="6"/>
      <c r="AB401" s="5"/>
      <c r="AC401" s="3"/>
      <c r="AD401" s="6">
        <v>0.031354</v>
      </c>
      <c r="AE401" s="6">
        <v>0.046848</v>
      </c>
      <c r="AF401" s="7">
        <v>0</v>
      </c>
      <c r="AG401" s="6">
        <v>0</v>
      </c>
      <c r="AH401" s="7">
        <v>0</v>
      </c>
      <c r="AI401" s="15">
        <v>0.078202</v>
      </c>
      <c r="AJ401" s="6">
        <v>6.41</v>
      </c>
      <c r="AK401" s="3"/>
      <c r="AL401" s="6">
        <v>132.11285959999998</v>
      </c>
      <c r="AM401" s="6">
        <v>48.72606919999999</v>
      </c>
      <c r="AN401" s="6">
        <v>83.3867904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0</v>
      </c>
      <c r="BB401" s="6">
        <v>0</v>
      </c>
      <c r="BC401" s="6"/>
      <c r="BD401" s="3"/>
      <c r="BE401" s="3"/>
      <c r="BF401" s="7">
        <v>161.17768871199996</v>
      </c>
    </row>
    <row x14ac:dyDescent="0.25" r="402" customHeight="1" ht="12.75">
      <c r="A402" s="5" t="s">
        <v>388</v>
      </c>
      <c r="B402" s="3" t="s">
        <v>859</v>
      </c>
      <c r="C402" s="3" t="s">
        <v>866</v>
      </c>
      <c r="D402" s="3" t="s">
        <v>988</v>
      </c>
      <c r="E402" s="3"/>
      <c r="F402" s="6">
        <f>100*SUM(AM402:AO402)/AL402</f>
      </c>
      <c r="G402" s="6">
        <f>100*SUM(AP402)/AL402</f>
      </c>
      <c r="H402" s="6">
        <f>100*SUM(AQ402)/AL402</f>
      </c>
      <c r="I402" s="6">
        <f>100*SUM(AR402:BC402)/AL402</f>
      </c>
      <c r="J402" s="3"/>
      <c r="K402" s="5">
        <v>16</v>
      </c>
      <c r="L402" s="6">
        <v>1.17</v>
      </c>
      <c r="M402" s="6">
        <v>5.85</v>
      </c>
      <c r="N402" s="5"/>
      <c r="O402" s="6"/>
      <c r="P402" s="6"/>
      <c r="Q402" s="7"/>
      <c r="R402" s="6"/>
      <c r="S402" s="6"/>
      <c r="T402" s="6"/>
      <c r="U402" s="5"/>
      <c r="V402" s="6"/>
      <c r="W402" s="6"/>
      <c r="X402" s="6"/>
      <c r="Y402" s="15"/>
      <c r="Z402" s="6"/>
      <c r="AA402" s="6"/>
      <c r="AB402" s="5"/>
      <c r="AC402" s="3"/>
      <c r="AD402" s="6">
        <v>0.18719999999999998</v>
      </c>
      <c r="AE402" s="6">
        <v>0.9359999999999999</v>
      </c>
      <c r="AF402" s="7">
        <v>0</v>
      </c>
      <c r="AG402" s="6">
        <v>0</v>
      </c>
      <c r="AH402" s="7">
        <v>0</v>
      </c>
      <c r="AI402" s="15">
        <v>1.1232</v>
      </c>
      <c r="AJ402" s="6">
        <v>7.02</v>
      </c>
      <c r="AK402" s="3"/>
      <c r="AL402" s="6">
        <v>149.21724869999997</v>
      </c>
      <c r="AM402" s="6">
        <v>22.182685199999995</v>
      </c>
      <c r="AN402" s="6">
        <v>127.03456349999999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0</v>
      </c>
      <c r="BC402" s="6"/>
      <c r="BD402" s="3"/>
      <c r="BE402" s="3"/>
      <c r="BF402" s="7">
        <v>2387.4759791999995</v>
      </c>
    </row>
    <row x14ac:dyDescent="0.25" r="403" customHeight="1" ht="12.75">
      <c r="A403" s="5" t="s">
        <v>615</v>
      </c>
      <c r="B403" s="3" t="s">
        <v>859</v>
      </c>
      <c r="C403" s="3" t="s">
        <v>866</v>
      </c>
      <c r="D403" s="3" t="s">
        <v>988</v>
      </c>
      <c r="E403" s="3"/>
      <c r="F403" s="6">
        <f>100*SUM(AM403:AO403)/AL403</f>
      </c>
      <c r="G403" s="6">
        <f>100*SUM(AP403)/AL403</f>
      </c>
      <c r="H403" s="6">
        <f>100*SUM(AQ403)/AL403</f>
      </c>
      <c r="I403" s="6">
        <f>100*SUM(AR403:BC403)/AL403</f>
      </c>
      <c r="J403" s="3"/>
      <c r="K403" s="5">
        <v>7</v>
      </c>
      <c r="L403" s="6">
        <v>4.6</v>
      </c>
      <c r="M403" s="6">
        <v>1.71</v>
      </c>
      <c r="N403" s="5"/>
      <c r="O403" s="6"/>
      <c r="P403" s="6"/>
      <c r="Q403" s="7"/>
      <c r="R403" s="6"/>
      <c r="S403" s="6"/>
      <c r="T403" s="6"/>
      <c r="U403" s="5"/>
      <c r="V403" s="6"/>
      <c r="W403" s="6"/>
      <c r="X403" s="6"/>
      <c r="Y403" s="15"/>
      <c r="Z403" s="6"/>
      <c r="AA403" s="6"/>
      <c r="AB403" s="5"/>
      <c r="AC403" s="3"/>
      <c r="AD403" s="6">
        <v>0.32199999999999995</v>
      </c>
      <c r="AE403" s="6">
        <v>0.11969999999999999</v>
      </c>
      <c r="AF403" s="7">
        <v>0</v>
      </c>
      <c r="AG403" s="6">
        <v>0</v>
      </c>
      <c r="AH403" s="7">
        <v>0</v>
      </c>
      <c r="AI403" s="15">
        <v>0.4416999999999999</v>
      </c>
      <c r="AJ403" s="6">
        <v>6.31</v>
      </c>
      <c r="AK403" s="3"/>
      <c r="AL403" s="6">
        <v>124.34715609999998</v>
      </c>
      <c r="AM403" s="6">
        <v>87.21397599999999</v>
      </c>
      <c r="AN403" s="6">
        <v>37.1331801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/>
      <c r="BD403" s="3"/>
      <c r="BE403" s="3"/>
      <c r="BF403" s="7">
        <v>870.4300926999998</v>
      </c>
    </row>
    <row x14ac:dyDescent="0.25" r="404" customHeight="1" ht="12.75">
      <c r="A404" s="5" t="s">
        <v>833</v>
      </c>
      <c r="B404" s="3" t="s">
        <v>859</v>
      </c>
      <c r="C404" s="3" t="s">
        <v>866</v>
      </c>
      <c r="D404" s="3" t="s">
        <v>988</v>
      </c>
      <c r="E404" s="3"/>
      <c r="F404" s="6">
        <f>100*SUM(AM404:AO404)/AL404</f>
      </c>
      <c r="G404" s="6">
        <f>100*SUM(AP404)/AL404</f>
      </c>
      <c r="H404" s="6">
        <f>100*SUM(AQ404)/AL404</f>
      </c>
      <c r="I404" s="6">
        <f>100*SUM(AR404:BC404)/AL404</f>
      </c>
      <c r="J404" s="3"/>
      <c r="K404" s="6">
        <v>0.23</v>
      </c>
      <c r="L404" s="6">
        <v>1.64</v>
      </c>
      <c r="M404" s="5">
        <v>1</v>
      </c>
      <c r="N404" s="5"/>
      <c r="O404" s="6"/>
      <c r="P404" s="6"/>
      <c r="Q404" s="7"/>
      <c r="R404" s="6"/>
      <c r="S404" s="6"/>
      <c r="T404" s="6"/>
      <c r="U404" s="5"/>
      <c r="V404" s="6"/>
      <c r="W404" s="6"/>
      <c r="X404" s="6"/>
      <c r="Y404" s="15"/>
      <c r="Z404" s="6"/>
      <c r="AA404" s="6"/>
      <c r="AB404" s="5"/>
      <c r="AC404" s="3"/>
      <c r="AD404" s="6">
        <v>0.0037719999999999997</v>
      </c>
      <c r="AE404" s="6">
        <v>0.0023</v>
      </c>
      <c r="AF404" s="7">
        <v>0</v>
      </c>
      <c r="AG404" s="6">
        <v>0</v>
      </c>
      <c r="AH404" s="7">
        <v>0</v>
      </c>
      <c r="AI404" s="15">
        <v>0.006071999999999999</v>
      </c>
      <c r="AJ404" s="6">
        <v>2.6399999999999997</v>
      </c>
      <c r="AK404" s="3"/>
      <c r="AL404" s="6">
        <v>52.80898839999999</v>
      </c>
      <c r="AM404" s="6">
        <v>31.093678399999995</v>
      </c>
      <c r="AN404" s="6">
        <v>21.71531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/>
      <c r="BD404" s="3"/>
      <c r="BE404" s="3"/>
      <c r="BF404" s="7">
        <v>12.146067331999998</v>
      </c>
    </row>
    <row x14ac:dyDescent="0.25" r="405" customHeight="1" ht="12.75">
      <c r="A405" s="5" t="s">
        <v>636</v>
      </c>
      <c r="B405" s="3" t="s">
        <v>859</v>
      </c>
      <c r="C405" s="3" t="s">
        <v>866</v>
      </c>
      <c r="D405" s="3" t="s">
        <v>988</v>
      </c>
      <c r="E405" s="3"/>
      <c r="F405" s="6">
        <f>100*SUM(AM405:AO405)/AL405</f>
      </c>
      <c r="G405" s="6">
        <f>100*SUM(AP405)/AL405</f>
      </c>
      <c r="H405" s="6">
        <f>100*SUM(AQ405)/AL405</f>
      </c>
      <c r="I405" s="6">
        <f>100*SUM(AR405:BC405)/AL405</f>
      </c>
      <c r="J405" s="3"/>
      <c r="K405" s="6">
        <v>17.49</v>
      </c>
      <c r="L405" s="6">
        <v>0.44</v>
      </c>
      <c r="M405" s="6">
        <v>1.84</v>
      </c>
      <c r="N405" s="5"/>
      <c r="O405" s="6"/>
      <c r="P405" s="6"/>
      <c r="Q405" s="7"/>
      <c r="R405" s="6"/>
      <c r="S405" s="6"/>
      <c r="T405" s="6"/>
      <c r="U405" s="5"/>
      <c r="V405" s="6"/>
      <c r="W405" s="6"/>
      <c r="X405" s="6"/>
      <c r="Y405" s="15"/>
      <c r="Z405" s="6"/>
      <c r="AA405" s="6"/>
      <c r="AB405" s="5"/>
      <c r="AC405" s="3"/>
      <c r="AD405" s="6">
        <v>0.076956</v>
      </c>
      <c r="AE405" s="6">
        <v>0.32181599999999994</v>
      </c>
      <c r="AF405" s="7">
        <v>0</v>
      </c>
      <c r="AG405" s="6">
        <v>0</v>
      </c>
      <c r="AH405" s="7">
        <v>0</v>
      </c>
      <c r="AI405" s="15">
        <v>0.3987719999999999</v>
      </c>
      <c r="AJ405" s="6">
        <v>2.2800000000000002</v>
      </c>
      <c r="AK405" s="3"/>
      <c r="AL405" s="6">
        <v>48.2983768</v>
      </c>
      <c r="AM405" s="6">
        <v>8.3422064</v>
      </c>
      <c r="AN405" s="6">
        <v>39.9561704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/>
      <c r="BD405" s="3"/>
      <c r="BE405" s="3"/>
      <c r="BF405" s="7">
        <v>844.7386102319999</v>
      </c>
    </row>
    <row x14ac:dyDescent="0.25" r="406" customHeight="1" ht="12.75">
      <c r="A406" s="5" t="s">
        <v>832</v>
      </c>
      <c r="B406" s="3" t="s">
        <v>859</v>
      </c>
      <c r="C406" s="3" t="s">
        <v>866</v>
      </c>
      <c r="D406" s="3" t="s">
        <v>988</v>
      </c>
      <c r="E406" s="3"/>
      <c r="F406" s="6">
        <f>100*SUM(AM406:AO406)/AL406</f>
      </c>
      <c r="G406" s="6">
        <f>100*SUM(AP406)/AL406</f>
      </c>
      <c r="H406" s="6">
        <f>100*SUM(AQ406)/AL406</f>
      </c>
      <c r="I406" s="6">
        <f>100*SUM(AR406:BC406)/AL406</f>
      </c>
      <c r="J406" s="3"/>
      <c r="K406" s="6">
        <v>0.77</v>
      </c>
      <c r="L406" s="6">
        <v>2.675</v>
      </c>
      <c r="M406" s="6"/>
      <c r="N406" s="5"/>
      <c r="O406" s="6"/>
      <c r="P406" s="6"/>
      <c r="Q406" s="7"/>
      <c r="R406" s="6"/>
      <c r="S406" s="6"/>
      <c r="T406" s="6"/>
      <c r="U406" s="5"/>
      <c r="V406" s="6"/>
      <c r="W406" s="6"/>
      <c r="X406" s="6"/>
      <c r="Y406" s="15"/>
      <c r="Z406" s="6"/>
      <c r="AA406" s="6"/>
      <c r="AB406" s="5"/>
      <c r="AC406" s="3"/>
      <c r="AD406" s="6">
        <v>0.020597499999999998</v>
      </c>
      <c r="AE406" s="6">
        <v>0</v>
      </c>
      <c r="AF406" s="7">
        <v>0</v>
      </c>
      <c r="AG406" s="6">
        <v>0</v>
      </c>
      <c r="AH406" s="7">
        <v>0</v>
      </c>
      <c r="AI406" s="15">
        <v>0.020597499999999998</v>
      </c>
      <c r="AJ406" s="6">
        <v>2.675</v>
      </c>
      <c r="AK406" s="3"/>
      <c r="AL406" s="6">
        <v>50.716823</v>
      </c>
      <c r="AM406" s="6">
        <v>50.716823</v>
      </c>
      <c r="AN406" s="6">
        <v>0</v>
      </c>
      <c r="AO406" s="6">
        <v>0</v>
      </c>
      <c r="AP406" s="6">
        <v>0</v>
      </c>
      <c r="AQ406" s="6">
        <v>0</v>
      </c>
      <c r="AR406" s="6">
        <v>0</v>
      </c>
      <c r="AS406" s="6">
        <v>0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0</v>
      </c>
      <c r="AZ406" s="6">
        <v>0</v>
      </c>
      <c r="BA406" s="6">
        <v>0</v>
      </c>
      <c r="BB406" s="6">
        <v>0</v>
      </c>
      <c r="BC406" s="6"/>
      <c r="BD406" s="3"/>
      <c r="BE406" s="3"/>
      <c r="BF406" s="7">
        <v>39.05195371</v>
      </c>
    </row>
    <row x14ac:dyDescent="0.25" r="407" customHeight="1" ht="12.75">
      <c r="A407" s="5" t="s">
        <v>587</v>
      </c>
      <c r="B407" s="3" t="s">
        <v>859</v>
      </c>
      <c r="C407" s="3" t="s">
        <v>866</v>
      </c>
      <c r="D407" s="3" t="s">
        <v>988</v>
      </c>
      <c r="E407" s="3"/>
      <c r="F407" s="6">
        <f>100*SUM(AM407:AO407)/AL407</f>
      </c>
      <c r="G407" s="6">
        <f>100*SUM(AP407)/AL407</f>
      </c>
      <c r="H407" s="6">
        <f>100*SUM(AQ407)/AL407</f>
      </c>
      <c r="I407" s="6">
        <f>100*SUM(AR407:BC407)/AL407</f>
      </c>
      <c r="J407" s="3"/>
      <c r="K407" s="6">
        <v>9.01</v>
      </c>
      <c r="L407" s="6">
        <v>2.56</v>
      </c>
      <c r="M407" s="6">
        <v>3.22</v>
      </c>
      <c r="N407" s="5"/>
      <c r="O407" s="6"/>
      <c r="P407" s="6"/>
      <c r="Q407" s="7"/>
      <c r="R407" s="6"/>
      <c r="S407" s="6"/>
      <c r="T407" s="6"/>
      <c r="U407" s="5"/>
      <c r="V407" s="6"/>
      <c r="W407" s="6"/>
      <c r="X407" s="6"/>
      <c r="Y407" s="15"/>
      <c r="Z407" s="6"/>
      <c r="AA407" s="6"/>
      <c r="AB407" s="5"/>
      <c r="AC407" s="3"/>
      <c r="AD407" s="6">
        <v>0.230656</v>
      </c>
      <c r="AE407" s="6">
        <v>0.290122</v>
      </c>
      <c r="AF407" s="7">
        <v>0</v>
      </c>
      <c r="AG407" s="6">
        <v>0</v>
      </c>
      <c r="AH407" s="7">
        <v>0</v>
      </c>
      <c r="AI407" s="15">
        <v>0.520778</v>
      </c>
      <c r="AJ407" s="6">
        <v>5.78</v>
      </c>
      <c r="AK407" s="3"/>
      <c r="AL407" s="6">
        <v>118.4597718</v>
      </c>
      <c r="AM407" s="6">
        <v>48.5364736</v>
      </c>
      <c r="AN407" s="6">
        <v>69.92329819999999</v>
      </c>
      <c r="AO407" s="6">
        <v>0</v>
      </c>
      <c r="AP407" s="6">
        <v>0</v>
      </c>
      <c r="AQ407" s="6">
        <v>0</v>
      </c>
      <c r="AR407" s="6">
        <v>0</v>
      </c>
      <c r="AS407" s="6">
        <v>0</v>
      </c>
      <c r="AT407" s="6">
        <v>0</v>
      </c>
      <c r="AU407" s="6">
        <v>0</v>
      </c>
      <c r="AV407" s="6">
        <v>0</v>
      </c>
      <c r="AW407" s="6">
        <v>0</v>
      </c>
      <c r="AX407" s="6">
        <v>0</v>
      </c>
      <c r="AY407" s="6">
        <v>0</v>
      </c>
      <c r="AZ407" s="6">
        <v>0</v>
      </c>
      <c r="BA407" s="6">
        <v>0</v>
      </c>
      <c r="BB407" s="6">
        <v>0</v>
      </c>
      <c r="BC407" s="6"/>
      <c r="BD407" s="3"/>
      <c r="BE407" s="3"/>
      <c r="BF407" s="7">
        <v>1067.322543918</v>
      </c>
    </row>
    <row x14ac:dyDescent="0.25" r="408" customHeight="1" ht="12.75">
      <c r="A408" s="5" t="s">
        <v>569</v>
      </c>
      <c r="B408" s="3" t="s">
        <v>859</v>
      </c>
      <c r="C408" s="3" t="s">
        <v>866</v>
      </c>
      <c r="D408" s="3" t="s">
        <v>988</v>
      </c>
      <c r="E408" s="3"/>
      <c r="F408" s="6">
        <f>100*SUM(AM408:AO408)/AL408</f>
      </c>
      <c r="G408" s="6">
        <f>100*SUM(AP408)/AL408</f>
      </c>
      <c r="H408" s="6">
        <f>100*SUM(AQ408)/AL408</f>
      </c>
      <c r="I408" s="6">
        <f>100*SUM(AR408:BC408)/AL408</f>
      </c>
      <c r="J408" s="3"/>
      <c r="K408" s="6">
        <v>8.2</v>
      </c>
      <c r="L408" s="6"/>
      <c r="M408" s="6">
        <v>6.8</v>
      </c>
      <c r="N408" s="5"/>
      <c r="O408" s="6"/>
      <c r="P408" s="6"/>
      <c r="Q408" s="7"/>
      <c r="R408" s="6"/>
      <c r="S408" s="6"/>
      <c r="T408" s="6"/>
      <c r="U408" s="5"/>
      <c r="V408" s="6"/>
      <c r="W408" s="6"/>
      <c r="X408" s="6"/>
      <c r="Y408" s="15"/>
      <c r="Z408" s="6"/>
      <c r="AA408" s="6"/>
      <c r="AB408" s="5"/>
      <c r="AC408" s="3"/>
      <c r="AD408" s="6">
        <v>0</v>
      </c>
      <c r="AE408" s="6">
        <v>0.5575999999999999</v>
      </c>
      <c r="AF408" s="7">
        <v>0</v>
      </c>
      <c r="AG408" s="6">
        <v>0</v>
      </c>
      <c r="AH408" s="7">
        <v>0</v>
      </c>
      <c r="AI408" s="15">
        <v>0.5575999999999999</v>
      </c>
      <c r="AJ408" s="6">
        <v>6.8</v>
      </c>
      <c r="AK408" s="3"/>
      <c r="AL408" s="6">
        <v>147.664108</v>
      </c>
      <c r="AM408" s="6">
        <v>0</v>
      </c>
      <c r="AN408" s="6">
        <v>147.664108</v>
      </c>
      <c r="AO408" s="6">
        <v>0</v>
      </c>
      <c r="AP408" s="6">
        <v>0</v>
      </c>
      <c r="AQ408" s="6">
        <v>0</v>
      </c>
      <c r="AR408" s="6">
        <v>0</v>
      </c>
      <c r="AS408" s="6">
        <v>0</v>
      </c>
      <c r="AT408" s="6">
        <v>0</v>
      </c>
      <c r="AU408" s="6">
        <v>0</v>
      </c>
      <c r="AV408" s="6">
        <v>0</v>
      </c>
      <c r="AW408" s="6">
        <v>0</v>
      </c>
      <c r="AX408" s="6">
        <v>0</v>
      </c>
      <c r="AY408" s="6">
        <v>0</v>
      </c>
      <c r="AZ408" s="6">
        <v>0</v>
      </c>
      <c r="BA408" s="6">
        <v>0</v>
      </c>
      <c r="BB408" s="6">
        <v>0</v>
      </c>
      <c r="BC408" s="6"/>
      <c r="BD408" s="3"/>
      <c r="BE408" s="3"/>
      <c r="BF408" s="7">
        <v>1210.8456855999998</v>
      </c>
    </row>
    <row x14ac:dyDescent="0.25" r="409" customHeight="1" ht="12.75">
      <c r="A409" s="5" t="s">
        <v>656</v>
      </c>
      <c r="B409" s="3" t="s">
        <v>859</v>
      </c>
      <c r="C409" s="3" t="s">
        <v>866</v>
      </c>
      <c r="D409" s="3" t="s">
        <v>988</v>
      </c>
      <c r="E409" s="3"/>
      <c r="F409" s="6">
        <f>100*SUM(AM409:AO409)/AL409</f>
      </c>
      <c r="G409" s="6">
        <f>100*SUM(AP409)/AL409</f>
      </c>
      <c r="H409" s="6">
        <f>100*SUM(AQ409)/AL409</f>
      </c>
      <c r="I409" s="6">
        <f>100*SUM(AR409:BC409)/AL409</f>
      </c>
      <c r="J409" s="3"/>
      <c r="K409" s="6">
        <v>6.6</v>
      </c>
      <c r="L409" s="6"/>
      <c r="M409" s="6">
        <v>5.51</v>
      </c>
      <c r="N409" s="5"/>
      <c r="O409" s="6"/>
      <c r="P409" s="6"/>
      <c r="Q409" s="7"/>
      <c r="R409" s="6"/>
      <c r="S409" s="6"/>
      <c r="T409" s="6"/>
      <c r="U409" s="5"/>
      <c r="V409" s="6"/>
      <c r="W409" s="6"/>
      <c r="X409" s="6"/>
      <c r="Y409" s="15"/>
      <c r="Z409" s="6"/>
      <c r="AA409" s="6"/>
      <c r="AB409" s="5"/>
      <c r="AC409" s="3"/>
      <c r="AD409" s="6">
        <v>0</v>
      </c>
      <c r="AE409" s="6">
        <v>0.36366</v>
      </c>
      <c r="AF409" s="7">
        <v>0</v>
      </c>
      <c r="AG409" s="6">
        <v>0</v>
      </c>
      <c r="AH409" s="7">
        <v>0</v>
      </c>
      <c r="AI409" s="15">
        <v>0.36366</v>
      </c>
      <c r="AJ409" s="6">
        <v>5.51</v>
      </c>
      <c r="AK409" s="3"/>
      <c r="AL409" s="6">
        <v>119.6513581</v>
      </c>
      <c r="AM409" s="6">
        <v>0</v>
      </c>
      <c r="AN409" s="6">
        <v>119.6513581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/>
      <c r="BD409" s="3"/>
      <c r="BE409" s="3"/>
      <c r="BF409" s="7">
        <v>789.69896346</v>
      </c>
    </row>
    <row x14ac:dyDescent="0.25" r="410" customHeight="1" ht="12.75">
      <c r="A410" s="5" t="s">
        <v>384</v>
      </c>
      <c r="B410" s="3" t="s">
        <v>859</v>
      </c>
      <c r="C410" s="3" t="s">
        <v>866</v>
      </c>
      <c r="D410" s="3" t="s">
        <v>988</v>
      </c>
      <c r="E410" s="3"/>
      <c r="F410" s="6">
        <f>100*SUM(AM410:AO410)/AL410</f>
      </c>
      <c r="G410" s="6">
        <f>100*SUM(AP410)/AL410</f>
      </c>
      <c r="H410" s="6">
        <f>100*SUM(AQ410)/AL410</f>
      </c>
      <c r="I410" s="6">
        <f>100*SUM(AR410:BC410)/AL410</f>
      </c>
      <c r="J410" s="3"/>
      <c r="K410" s="5">
        <v>115</v>
      </c>
      <c r="L410" s="6"/>
      <c r="M410" s="5">
        <v>1</v>
      </c>
      <c r="N410" s="5"/>
      <c r="O410" s="6"/>
      <c r="P410" s="6"/>
      <c r="Q410" s="7"/>
      <c r="R410" s="6"/>
      <c r="S410" s="6"/>
      <c r="T410" s="6"/>
      <c r="U410" s="5"/>
      <c r="V410" s="6"/>
      <c r="W410" s="6"/>
      <c r="X410" s="6"/>
      <c r="Y410" s="15"/>
      <c r="Z410" s="6"/>
      <c r="AA410" s="6"/>
      <c r="AB410" s="5"/>
      <c r="AC410" s="3"/>
      <c r="AD410" s="6">
        <v>0</v>
      </c>
      <c r="AE410" s="6">
        <v>1.15</v>
      </c>
      <c r="AF410" s="7">
        <v>0</v>
      </c>
      <c r="AG410" s="6">
        <v>0</v>
      </c>
      <c r="AH410" s="7">
        <v>0</v>
      </c>
      <c r="AI410" s="15">
        <v>1.15</v>
      </c>
      <c r="AJ410" s="6">
        <v>1</v>
      </c>
      <c r="AK410" s="3"/>
      <c r="AL410" s="6">
        <v>21.71531</v>
      </c>
      <c r="AM410" s="6">
        <v>0</v>
      </c>
      <c r="AN410" s="6">
        <v>21.71531</v>
      </c>
      <c r="AO410" s="6">
        <v>0</v>
      </c>
      <c r="AP410" s="6">
        <v>0</v>
      </c>
      <c r="AQ410" s="6">
        <v>0</v>
      </c>
      <c r="AR410" s="6">
        <v>0</v>
      </c>
      <c r="AS410" s="6">
        <v>0</v>
      </c>
      <c r="AT410" s="6">
        <v>0</v>
      </c>
      <c r="AU410" s="6">
        <v>0</v>
      </c>
      <c r="AV410" s="6">
        <v>0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0</v>
      </c>
      <c r="BC410" s="6"/>
      <c r="BD410" s="3"/>
      <c r="BE410" s="3"/>
      <c r="BF410" s="7">
        <v>2497.2606499999997</v>
      </c>
    </row>
    <row x14ac:dyDescent="0.25" r="411" customHeight="1" ht="12.75">
      <c r="A411" s="5" t="s">
        <v>793</v>
      </c>
      <c r="B411" s="3" t="s">
        <v>859</v>
      </c>
      <c r="C411" s="3" t="s">
        <v>866</v>
      </c>
      <c r="D411" s="3" t="s">
        <v>988</v>
      </c>
      <c r="E411" s="3"/>
      <c r="F411" s="6">
        <f>100*SUM(AM411:AO411)/AL411</f>
      </c>
      <c r="G411" s="6">
        <f>100*SUM(AP411)/AL411</f>
      </c>
      <c r="H411" s="6">
        <f>100*SUM(AQ411)/AL411</f>
      </c>
      <c r="I411" s="6">
        <f>100*SUM(AR411:BC411)/AL411</f>
      </c>
      <c r="J411" s="3"/>
      <c r="K411" s="6">
        <v>3.69</v>
      </c>
      <c r="L411" s="6">
        <v>1.37</v>
      </c>
      <c r="M411" s="6">
        <v>1.85</v>
      </c>
      <c r="N411" s="5"/>
      <c r="O411" s="6"/>
      <c r="P411" s="6"/>
      <c r="Q411" s="7"/>
      <c r="R411" s="6"/>
      <c r="S411" s="6"/>
      <c r="T411" s="6"/>
      <c r="U411" s="5"/>
      <c r="V411" s="6"/>
      <c r="W411" s="6"/>
      <c r="X411" s="6"/>
      <c r="Y411" s="15"/>
      <c r="Z411" s="6"/>
      <c r="AA411" s="6"/>
      <c r="AB411" s="5"/>
      <c r="AC411" s="3"/>
      <c r="AD411" s="6">
        <v>0.050553</v>
      </c>
      <c r="AE411" s="6">
        <v>0.068265</v>
      </c>
      <c r="AF411" s="7">
        <v>0</v>
      </c>
      <c r="AG411" s="6">
        <v>0</v>
      </c>
      <c r="AH411" s="7">
        <v>0</v>
      </c>
      <c r="AI411" s="15">
        <v>0.11881800000000001</v>
      </c>
      <c r="AJ411" s="6">
        <v>3.22</v>
      </c>
      <c r="AK411" s="3"/>
      <c r="AL411" s="6">
        <v>66.1479207</v>
      </c>
      <c r="AM411" s="6">
        <v>25.974597199999998</v>
      </c>
      <c r="AN411" s="6">
        <v>40.1733235</v>
      </c>
      <c r="AO411" s="6">
        <v>0</v>
      </c>
      <c r="AP411" s="6">
        <v>0</v>
      </c>
      <c r="AQ411" s="6">
        <v>0</v>
      </c>
      <c r="AR411" s="6">
        <v>0</v>
      </c>
      <c r="AS411" s="6">
        <v>0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0</v>
      </c>
      <c r="BC411" s="6"/>
      <c r="BD411" s="3"/>
      <c r="BE411" s="3"/>
      <c r="BF411" s="7">
        <v>244.085827383</v>
      </c>
    </row>
    <row x14ac:dyDescent="0.25" r="412" customHeight="1" ht="12.75">
      <c r="A412" s="5" t="s">
        <v>645</v>
      </c>
      <c r="B412" s="3" t="s">
        <v>859</v>
      </c>
      <c r="C412" s="3" t="s">
        <v>866</v>
      </c>
      <c r="D412" s="3" t="s">
        <v>988</v>
      </c>
      <c r="E412" s="3"/>
      <c r="F412" s="6">
        <f>100*SUM(AM412:AO412)/AL412</f>
      </c>
      <c r="G412" s="6">
        <f>100*SUM(AP412)/AL412</f>
      </c>
      <c r="H412" s="6">
        <f>100*SUM(AQ412)/AL412</f>
      </c>
      <c r="I412" s="6">
        <f>100*SUM(AR412:BC412)/AL412</f>
      </c>
      <c r="J412" s="3"/>
      <c r="K412" s="5">
        <v>2</v>
      </c>
      <c r="L412" s="6">
        <v>5.94</v>
      </c>
      <c r="M412" s="6"/>
      <c r="N412" s="5"/>
      <c r="O412" s="6"/>
      <c r="P412" s="6"/>
      <c r="Q412" s="7"/>
      <c r="R412" s="6"/>
      <c r="S412" s="6"/>
      <c r="T412" s="6"/>
      <c r="U412" s="5"/>
      <c r="V412" s="6"/>
      <c r="W412" s="6"/>
      <c r="X412" s="6"/>
      <c r="Y412" s="15"/>
      <c r="Z412" s="6"/>
      <c r="AA412" s="6"/>
      <c r="AB412" s="5"/>
      <c r="AC412" s="3"/>
      <c r="AD412" s="6">
        <v>0.1188</v>
      </c>
      <c r="AE412" s="6">
        <v>0</v>
      </c>
      <c r="AF412" s="7">
        <v>0</v>
      </c>
      <c r="AG412" s="6">
        <v>0</v>
      </c>
      <c r="AH412" s="7">
        <v>0</v>
      </c>
      <c r="AI412" s="15">
        <v>0.1188</v>
      </c>
      <c r="AJ412" s="6">
        <v>5.94</v>
      </c>
      <c r="AK412" s="3"/>
      <c r="AL412" s="6">
        <v>112.6197864</v>
      </c>
      <c r="AM412" s="6">
        <v>112.6197864</v>
      </c>
      <c r="AN412" s="6">
        <v>0</v>
      </c>
      <c r="AO412" s="6">
        <v>0</v>
      </c>
      <c r="AP412" s="6">
        <v>0</v>
      </c>
      <c r="AQ412" s="6">
        <v>0</v>
      </c>
      <c r="AR412" s="6">
        <v>0</v>
      </c>
      <c r="AS412" s="6">
        <v>0</v>
      </c>
      <c r="AT412" s="6">
        <v>0</v>
      </c>
      <c r="AU412" s="6">
        <v>0</v>
      </c>
      <c r="AV412" s="6">
        <v>0</v>
      </c>
      <c r="AW412" s="6">
        <v>0</v>
      </c>
      <c r="AX412" s="6">
        <v>0</v>
      </c>
      <c r="AY412" s="6">
        <v>0</v>
      </c>
      <c r="AZ412" s="6">
        <v>0</v>
      </c>
      <c r="BA412" s="6">
        <v>0</v>
      </c>
      <c r="BB412" s="6">
        <v>0</v>
      </c>
      <c r="BC412" s="6"/>
      <c r="BD412" s="3"/>
      <c r="BE412" s="3"/>
      <c r="BF412" s="7">
        <v>225.2395728</v>
      </c>
    </row>
    <row x14ac:dyDescent="0.25" r="413" customHeight="1" ht="12.75">
      <c r="A413" s="5" t="s">
        <v>789</v>
      </c>
      <c r="B413" s="3" t="s">
        <v>859</v>
      </c>
      <c r="C413" s="3" t="s">
        <v>866</v>
      </c>
      <c r="D413" s="3" t="s">
        <v>988</v>
      </c>
      <c r="E413" s="3"/>
      <c r="F413" s="6">
        <f>100*SUM(AM413:AO413)/AL413</f>
      </c>
      <c r="G413" s="6">
        <f>100*SUM(AP413)/AL413</f>
      </c>
      <c r="H413" s="6">
        <f>100*SUM(AQ413)/AL413</f>
      </c>
      <c r="I413" s="6">
        <f>100*SUM(AR413:BC413)/AL413</f>
      </c>
      <c r="J413" s="3"/>
      <c r="K413" s="6">
        <v>0.9</v>
      </c>
      <c r="L413" s="6">
        <v>2.54</v>
      </c>
      <c r="M413" s="6">
        <v>1.45</v>
      </c>
      <c r="N413" s="5"/>
      <c r="O413" s="6"/>
      <c r="P413" s="6"/>
      <c r="Q413" s="7"/>
      <c r="R413" s="6"/>
      <c r="S413" s="6"/>
      <c r="T413" s="6"/>
      <c r="U413" s="5"/>
      <c r="V413" s="6"/>
      <c r="W413" s="6"/>
      <c r="X413" s="6"/>
      <c r="Y413" s="15"/>
      <c r="Z413" s="6"/>
      <c r="AA413" s="6"/>
      <c r="AB413" s="5"/>
      <c r="AC413" s="3"/>
      <c r="AD413" s="6">
        <v>0.022860000000000002</v>
      </c>
      <c r="AE413" s="6">
        <v>0.013049999999999999</v>
      </c>
      <c r="AF413" s="7">
        <v>0</v>
      </c>
      <c r="AG413" s="6">
        <v>0</v>
      </c>
      <c r="AH413" s="7">
        <v>0</v>
      </c>
      <c r="AI413" s="15">
        <v>0.03591</v>
      </c>
      <c r="AJ413" s="6">
        <v>3.99</v>
      </c>
      <c r="AK413" s="3"/>
      <c r="AL413" s="6">
        <v>79.64448189999999</v>
      </c>
      <c r="AM413" s="6">
        <v>48.15728239999999</v>
      </c>
      <c r="AN413" s="6">
        <v>31.487199499999996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0</v>
      </c>
      <c r="BC413" s="6"/>
      <c r="BD413" s="3"/>
      <c r="BE413" s="3"/>
      <c r="BF413" s="7">
        <v>71.68003370999999</v>
      </c>
    </row>
    <row x14ac:dyDescent="0.25" r="414" customHeight="1" ht="12.75">
      <c r="A414" s="5" t="s">
        <v>642</v>
      </c>
      <c r="B414" s="3" t="s">
        <v>859</v>
      </c>
      <c r="C414" s="3" t="s">
        <v>866</v>
      </c>
      <c r="D414" s="3" t="s">
        <v>988</v>
      </c>
      <c r="E414" s="3"/>
      <c r="F414" s="6">
        <f>100*SUM(AM414:AO414)/AL414</f>
      </c>
      <c r="G414" s="6">
        <f>100*SUM(AP414)/AL414</f>
      </c>
      <c r="H414" s="6">
        <f>100*SUM(AQ414)/AL414</f>
      </c>
      <c r="I414" s="6">
        <f>100*SUM(AR414:BC414)/AL414</f>
      </c>
      <c r="J414" s="3"/>
      <c r="K414" s="6">
        <v>18.38</v>
      </c>
      <c r="L414" s="6">
        <v>0.79</v>
      </c>
      <c r="M414" s="6">
        <v>1.3</v>
      </c>
      <c r="N414" s="5">
        <v>21</v>
      </c>
      <c r="O414" s="6"/>
      <c r="P414" s="6"/>
      <c r="Q414" s="7"/>
      <c r="R414" s="6"/>
      <c r="S414" s="6"/>
      <c r="T414" s="6"/>
      <c r="U414" s="5"/>
      <c r="V414" s="6"/>
      <c r="W414" s="6"/>
      <c r="X414" s="6"/>
      <c r="Y414" s="15"/>
      <c r="Z414" s="6"/>
      <c r="AA414" s="6"/>
      <c r="AB414" s="5"/>
      <c r="AC414" s="3"/>
      <c r="AD414" s="6">
        <v>0.145202</v>
      </c>
      <c r="AE414" s="6">
        <v>0.23893999999999999</v>
      </c>
      <c r="AF414" s="7">
        <v>385.97999999999996</v>
      </c>
      <c r="AG414" s="6">
        <v>0</v>
      </c>
      <c r="AH414" s="7">
        <v>0</v>
      </c>
      <c r="AI414" s="15">
        <v>0.384142</v>
      </c>
      <c r="AJ414" s="6">
        <v>2.09</v>
      </c>
      <c r="AK414" s="3"/>
      <c r="AL414" s="6">
        <v>56.057794628295824</v>
      </c>
      <c r="AM414" s="6">
        <v>14.978052400000001</v>
      </c>
      <c r="AN414" s="6">
        <v>28.229903</v>
      </c>
      <c r="AO414" s="6">
        <v>12.84983922829582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/>
      <c r="BD414" s="3"/>
      <c r="BE414" s="3"/>
      <c r="BF414" s="7">
        <v>1030.3422652680772</v>
      </c>
    </row>
    <row x14ac:dyDescent="0.25" r="415" customHeight="1" ht="12.75">
      <c r="A415" s="5" t="s">
        <v>757</v>
      </c>
      <c r="B415" s="3" t="s">
        <v>859</v>
      </c>
      <c r="C415" s="3" t="s">
        <v>866</v>
      </c>
      <c r="D415" s="3" t="s">
        <v>988</v>
      </c>
      <c r="E415" s="3"/>
      <c r="F415" s="6">
        <f>100*SUM(AM415:AO415)/AL415</f>
      </c>
      <c r="G415" s="6">
        <f>100*SUM(AP415)/AL415</f>
      </c>
      <c r="H415" s="6">
        <f>100*SUM(AQ415)/AL415</f>
      </c>
      <c r="I415" s="6">
        <f>100*SUM(AR415:BC415)/AL415</f>
      </c>
      <c r="J415" s="3"/>
      <c r="K415" s="6">
        <v>1.47</v>
      </c>
      <c r="L415" s="6">
        <v>1.9</v>
      </c>
      <c r="M415" s="6">
        <v>2.59</v>
      </c>
      <c r="N415" s="5"/>
      <c r="O415" s="6"/>
      <c r="P415" s="6"/>
      <c r="Q415" s="7"/>
      <c r="R415" s="6"/>
      <c r="S415" s="6"/>
      <c r="T415" s="6"/>
      <c r="U415" s="5"/>
      <c r="V415" s="6"/>
      <c r="W415" s="6"/>
      <c r="X415" s="6"/>
      <c r="Y415" s="15"/>
      <c r="Z415" s="6"/>
      <c r="AA415" s="6"/>
      <c r="AB415" s="5"/>
      <c r="AC415" s="3"/>
      <c r="AD415" s="6">
        <v>0.027929999999999996</v>
      </c>
      <c r="AE415" s="6">
        <v>0.038072999999999996</v>
      </c>
      <c r="AF415" s="7">
        <v>0</v>
      </c>
      <c r="AG415" s="6">
        <v>0</v>
      </c>
      <c r="AH415" s="7">
        <v>0</v>
      </c>
      <c r="AI415" s="15">
        <v>0.06600299999999999</v>
      </c>
      <c r="AJ415" s="6">
        <v>4.49</v>
      </c>
      <c r="AK415" s="3"/>
      <c r="AL415" s="6">
        <v>92.26581689999999</v>
      </c>
      <c r="AM415" s="6">
        <v>36.023163999999994</v>
      </c>
      <c r="AN415" s="6">
        <v>56.242652899999996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0</v>
      </c>
      <c r="BC415" s="6"/>
      <c r="BD415" s="3"/>
      <c r="BE415" s="3"/>
      <c r="BF415" s="7">
        <v>135.630750843</v>
      </c>
    </row>
    <row x14ac:dyDescent="0.25" r="416" customHeight="1" ht="12.75">
      <c r="A416" s="5" t="s">
        <v>824</v>
      </c>
      <c r="B416" s="3" t="s">
        <v>859</v>
      </c>
      <c r="C416" s="3" t="s">
        <v>866</v>
      </c>
      <c r="D416" s="3" t="s">
        <v>988</v>
      </c>
      <c r="E416" s="3"/>
      <c r="F416" s="6">
        <f>100*SUM(AM416:AO416)/AL416</f>
      </c>
      <c r="G416" s="6">
        <f>100*SUM(AP416)/AL416</f>
      </c>
      <c r="H416" s="6">
        <f>100*SUM(AQ416)/AL416</f>
      </c>
      <c r="I416" s="6">
        <f>100*SUM(AR416:BC416)/AL416</f>
      </c>
      <c r="J416" s="3"/>
      <c r="K416" s="6">
        <v>1.15</v>
      </c>
      <c r="L416" s="6">
        <v>1.75</v>
      </c>
      <c r="M416" s="6">
        <v>1.13</v>
      </c>
      <c r="N416" s="5"/>
      <c r="O416" s="6"/>
      <c r="P416" s="6"/>
      <c r="Q416" s="7"/>
      <c r="R416" s="6"/>
      <c r="S416" s="6"/>
      <c r="T416" s="6"/>
      <c r="U416" s="5"/>
      <c r="V416" s="6"/>
      <c r="W416" s="6"/>
      <c r="X416" s="6"/>
      <c r="Y416" s="15"/>
      <c r="Z416" s="6"/>
      <c r="AA416" s="6"/>
      <c r="AB416" s="5"/>
      <c r="AC416" s="3"/>
      <c r="AD416" s="6">
        <v>0.020124999999999997</v>
      </c>
      <c r="AE416" s="6">
        <v>0.012995</v>
      </c>
      <c r="AF416" s="7">
        <v>0</v>
      </c>
      <c r="AG416" s="6">
        <v>0</v>
      </c>
      <c r="AH416" s="7">
        <v>0</v>
      </c>
      <c r="AI416" s="15">
        <v>0.03312</v>
      </c>
      <c r="AJ416" s="6">
        <v>2.88</v>
      </c>
      <c r="AK416" s="3"/>
      <c r="AL416" s="6">
        <v>57.71753030000001</v>
      </c>
      <c r="AM416" s="6">
        <v>33.179230000000004</v>
      </c>
      <c r="AN416" s="6">
        <v>24.5383003</v>
      </c>
      <c r="AO416" s="6">
        <v>0</v>
      </c>
      <c r="AP416" s="6">
        <v>0</v>
      </c>
      <c r="AQ416" s="6">
        <v>0</v>
      </c>
      <c r="AR416" s="6">
        <v>0</v>
      </c>
      <c r="AS416" s="6">
        <v>0</v>
      </c>
      <c r="AT416" s="6">
        <v>0</v>
      </c>
      <c r="AU416" s="6">
        <v>0</v>
      </c>
      <c r="AV416" s="6">
        <v>0</v>
      </c>
      <c r="AW416" s="6">
        <v>0</v>
      </c>
      <c r="AX416" s="6">
        <v>0</v>
      </c>
      <c r="AY416" s="6">
        <v>0</v>
      </c>
      <c r="AZ416" s="6">
        <v>0</v>
      </c>
      <c r="BA416" s="6">
        <v>0</v>
      </c>
      <c r="BB416" s="6">
        <v>0</v>
      </c>
      <c r="BC416" s="6"/>
      <c r="BD416" s="3"/>
      <c r="BE416" s="3"/>
      <c r="BF416" s="7">
        <v>66.375159845</v>
      </c>
    </row>
    <row x14ac:dyDescent="0.25" r="417" customHeight="1" ht="12.75">
      <c r="A417" s="5" t="s">
        <v>442</v>
      </c>
      <c r="B417" s="3" t="s">
        <v>859</v>
      </c>
      <c r="C417" s="3" t="s">
        <v>866</v>
      </c>
      <c r="D417" s="3" t="s">
        <v>989</v>
      </c>
      <c r="E417" s="3"/>
      <c r="F417" s="6">
        <f>100*SUM(AM417:AO417)/AL417</f>
      </c>
      <c r="G417" s="6">
        <f>100*SUM(AP417)/AL417</f>
      </c>
      <c r="H417" s="6">
        <f>100*SUM(AQ417)/AL417</f>
      </c>
      <c r="I417" s="6">
        <f>100*SUM(AR417:BC417)/AL417</f>
      </c>
      <c r="J417" s="3"/>
      <c r="K417" s="6">
        <v>1.16</v>
      </c>
      <c r="L417" s="6">
        <v>2.7522</v>
      </c>
      <c r="M417" s="6">
        <v>5.5878000000000005</v>
      </c>
      <c r="N417" s="5"/>
      <c r="O417" s="6"/>
      <c r="P417" s="6"/>
      <c r="Q417" s="7"/>
      <c r="R417" s="6"/>
      <c r="S417" s="6"/>
      <c r="T417" s="6"/>
      <c r="U417" s="5"/>
      <c r="V417" s="6"/>
      <c r="W417" s="6"/>
      <c r="X417" s="6"/>
      <c r="Y417" s="15"/>
      <c r="Z417" s="6"/>
      <c r="AA417" s="6"/>
      <c r="AB417" s="5"/>
      <c r="AC417" s="3"/>
      <c r="AD417" s="6">
        <v>0.03192552</v>
      </c>
      <c r="AE417" s="6">
        <v>0.06481848</v>
      </c>
      <c r="AF417" s="7">
        <v>0</v>
      </c>
      <c r="AG417" s="6">
        <v>0</v>
      </c>
      <c r="AH417" s="7">
        <v>0</v>
      </c>
      <c r="AI417" s="15">
        <v>0.096744</v>
      </c>
      <c r="AJ417" s="6">
        <v>8.34</v>
      </c>
      <c r="AK417" s="3"/>
      <c r="AL417" s="6">
        <v>173.52131025</v>
      </c>
      <c r="AM417" s="6">
        <v>52.180501032</v>
      </c>
      <c r="AN417" s="6">
        <v>121.340809218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/>
      <c r="BD417" s="3"/>
      <c r="BE417" s="3"/>
      <c r="BF417" s="7">
        <v>201.28471989</v>
      </c>
    </row>
    <row x14ac:dyDescent="0.25" r="418" customHeight="1" ht="12.75">
      <c r="A418" s="5" t="s">
        <v>99</v>
      </c>
      <c r="B418" s="3" t="s">
        <v>859</v>
      </c>
      <c r="C418" s="3" t="s">
        <v>866</v>
      </c>
      <c r="D418" s="3" t="s">
        <v>989</v>
      </c>
      <c r="E418" s="3"/>
      <c r="F418" s="6">
        <f>100*SUM(AM418:AO418)/AL418</f>
      </c>
      <c r="G418" s="6">
        <f>100*SUM(AP418)/AL418</f>
      </c>
      <c r="H418" s="6">
        <f>100*SUM(AQ418)/AL418</f>
      </c>
      <c r="I418" s="6">
        <f>100*SUM(AR418:BC418)/AL418</f>
      </c>
      <c r="J418" s="3"/>
      <c r="K418" s="6">
        <v>0.9</v>
      </c>
      <c r="L418" s="6">
        <v>5.4</v>
      </c>
      <c r="M418" s="6">
        <v>12.1</v>
      </c>
      <c r="N418" s="5"/>
      <c r="O418" s="6"/>
      <c r="P418" s="6"/>
      <c r="Q418" s="7"/>
      <c r="R418" s="6"/>
      <c r="S418" s="6"/>
      <c r="T418" s="6"/>
      <c r="U418" s="5"/>
      <c r="V418" s="6"/>
      <c r="W418" s="6"/>
      <c r="X418" s="6"/>
      <c r="Y418" s="15"/>
      <c r="Z418" s="6"/>
      <c r="AA418" s="6"/>
      <c r="AB418" s="5"/>
      <c r="AC418" s="3"/>
      <c r="AD418" s="6">
        <v>0.048600000000000004</v>
      </c>
      <c r="AE418" s="6">
        <v>0.10890000000000001</v>
      </c>
      <c r="AF418" s="7">
        <v>0</v>
      </c>
      <c r="AG418" s="6">
        <v>0</v>
      </c>
      <c r="AH418" s="7">
        <v>0</v>
      </c>
      <c r="AI418" s="15">
        <v>0.15750000000000003</v>
      </c>
      <c r="AJ418" s="6">
        <v>17.5</v>
      </c>
      <c r="AK418" s="3"/>
      <c r="AL418" s="6">
        <v>365.136875</v>
      </c>
      <c r="AM418" s="6">
        <v>102.381624</v>
      </c>
      <c r="AN418" s="6">
        <v>262.755251</v>
      </c>
      <c r="AO418" s="6">
        <v>0</v>
      </c>
      <c r="AP418" s="6">
        <v>0</v>
      </c>
      <c r="AQ418" s="6">
        <v>0</v>
      </c>
      <c r="AR418" s="6">
        <v>0</v>
      </c>
      <c r="AS418" s="6">
        <v>0</v>
      </c>
      <c r="AT418" s="6">
        <v>0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6">
        <v>0</v>
      </c>
      <c r="BA418" s="6">
        <v>0</v>
      </c>
      <c r="BB418" s="6">
        <v>0</v>
      </c>
      <c r="BC418" s="6"/>
      <c r="BD418" s="3"/>
      <c r="BE418" s="3"/>
      <c r="BF418" s="7">
        <v>328.6231875</v>
      </c>
    </row>
    <row x14ac:dyDescent="0.25" r="419" customHeight="1" ht="12.75">
      <c r="A419" s="5" t="s">
        <v>175</v>
      </c>
      <c r="B419" s="3" t="s">
        <v>859</v>
      </c>
      <c r="C419" s="3" t="s">
        <v>866</v>
      </c>
      <c r="D419" s="3" t="s">
        <v>988</v>
      </c>
      <c r="E419" s="3"/>
      <c r="F419" s="6">
        <f>100*SUM(AM419:AO419)/AL419</f>
      </c>
      <c r="G419" s="6">
        <f>100*SUM(AP419)/AL419</f>
      </c>
      <c r="H419" s="6">
        <f>100*SUM(AQ419)/AL419</f>
      </c>
      <c r="I419" s="6">
        <f>100*SUM(AR419:BC419)/AL419</f>
      </c>
      <c r="J419" s="3"/>
      <c r="K419" s="5">
        <v>4</v>
      </c>
      <c r="L419" s="5">
        <v>3</v>
      </c>
      <c r="M419" s="5">
        <v>10</v>
      </c>
      <c r="N419" s="5"/>
      <c r="O419" s="6"/>
      <c r="P419" s="6"/>
      <c r="Q419" s="7"/>
      <c r="R419" s="6"/>
      <c r="S419" s="6"/>
      <c r="T419" s="6"/>
      <c r="U419" s="5"/>
      <c r="V419" s="6"/>
      <c r="W419" s="6"/>
      <c r="X419" s="6"/>
      <c r="Y419" s="15"/>
      <c r="Z419" s="6"/>
      <c r="AA419" s="6"/>
      <c r="AB419" s="5"/>
      <c r="AC419" s="3"/>
      <c r="AD419" s="6">
        <v>0.12</v>
      </c>
      <c r="AE419" s="6">
        <v>0.4</v>
      </c>
      <c r="AF419" s="7">
        <v>0</v>
      </c>
      <c r="AG419" s="6">
        <v>0</v>
      </c>
      <c r="AH419" s="7">
        <v>0</v>
      </c>
      <c r="AI419" s="15">
        <v>0.52</v>
      </c>
      <c r="AJ419" s="6">
        <v>13</v>
      </c>
      <c r="AK419" s="3"/>
      <c r="AL419" s="6">
        <v>274.03177999999997</v>
      </c>
      <c r="AM419" s="6">
        <v>56.878679999999996</v>
      </c>
      <c r="AN419" s="6">
        <v>217.1531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/>
      <c r="BD419" s="3"/>
      <c r="BE419" s="3"/>
      <c r="BF419" s="7">
        <v>1096.1271199999999</v>
      </c>
    </row>
    <row x14ac:dyDescent="0.25" r="420" customHeight="1" ht="12.75">
      <c r="A420" s="5" t="s">
        <v>40</v>
      </c>
      <c r="B420" s="3" t="s">
        <v>859</v>
      </c>
      <c r="C420" s="3" t="s">
        <v>866</v>
      </c>
      <c r="D420" s="3" t="s">
        <v>989</v>
      </c>
      <c r="E420" s="3"/>
      <c r="F420" s="6">
        <f>100*SUM(AM420:AO420)/AL420</f>
      </c>
      <c r="G420" s="6">
        <f>100*SUM(AP420)/AL420</f>
      </c>
      <c r="H420" s="6">
        <f>100*SUM(AQ420)/AL420</f>
      </c>
      <c r="I420" s="6">
        <f>100*SUM(AR420:BC420)/AL420</f>
      </c>
      <c r="J420" s="3"/>
      <c r="K420" s="5">
        <v>266</v>
      </c>
      <c r="L420" s="6">
        <v>0.88</v>
      </c>
      <c r="M420" s="6">
        <v>4.21</v>
      </c>
      <c r="N420" s="5"/>
      <c r="O420" s="6"/>
      <c r="P420" s="6"/>
      <c r="Q420" s="7"/>
      <c r="R420" s="6"/>
      <c r="S420" s="6"/>
      <c r="T420" s="6"/>
      <c r="U420" s="5"/>
      <c r="V420" s="6"/>
      <c r="W420" s="6"/>
      <c r="X420" s="6"/>
      <c r="Y420" s="15"/>
      <c r="Z420" s="6"/>
      <c r="AA420" s="6"/>
      <c r="AB420" s="5"/>
      <c r="AC420" s="3"/>
      <c r="AD420" s="6">
        <v>2.3408</v>
      </c>
      <c r="AE420" s="6">
        <v>11.198599999999999</v>
      </c>
      <c r="AF420" s="7">
        <v>0</v>
      </c>
      <c r="AG420" s="6">
        <v>0</v>
      </c>
      <c r="AH420" s="7">
        <v>0</v>
      </c>
      <c r="AI420" s="15">
        <v>13.539399999999999</v>
      </c>
      <c r="AJ420" s="6">
        <v>5.09</v>
      </c>
      <c r="AK420" s="3"/>
      <c r="AL420" s="6">
        <v>108.10586789999999</v>
      </c>
      <c r="AM420" s="6">
        <v>16.6844128</v>
      </c>
      <c r="AN420" s="6">
        <v>91.42145509999999</v>
      </c>
      <c r="AO420" s="6">
        <v>0</v>
      </c>
      <c r="AP420" s="6">
        <v>0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0</v>
      </c>
      <c r="BC420" s="6"/>
      <c r="BD420" s="3"/>
      <c r="BE420" s="3"/>
      <c r="BF420" s="7">
        <v>28756.1608614</v>
      </c>
    </row>
    <row x14ac:dyDescent="0.25" r="421" customHeight="1" ht="12.75">
      <c r="A421" s="5" t="s">
        <v>17</v>
      </c>
      <c r="B421" s="3" t="s">
        <v>859</v>
      </c>
      <c r="C421" s="3" t="s">
        <v>866</v>
      </c>
      <c r="D421" s="3" t="s">
        <v>988</v>
      </c>
      <c r="E421" s="3"/>
      <c r="F421" s="6">
        <f>100*SUM(AM421:AO421)/AL421</f>
      </c>
      <c r="G421" s="6">
        <f>100*SUM(AP421)/AL421</f>
      </c>
      <c r="H421" s="6">
        <f>100*SUM(AQ421)/AL421</f>
      </c>
      <c r="I421" s="6">
        <f>100*SUM(AR421:BC421)/AL421</f>
      </c>
      <c r="J421" s="3"/>
      <c r="K421" s="5">
        <v>300</v>
      </c>
      <c r="L421" s="7">
        <v>6.5</v>
      </c>
      <c r="M421" s="6">
        <v>1.4</v>
      </c>
      <c r="N421" s="5"/>
      <c r="O421" s="6"/>
      <c r="P421" s="6"/>
      <c r="Q421" s="7"/>
      <c r="R421" s="6"/>
      <c r="S421" s="6"/>
      <c r="T421" s="6"/>
      <c r="U421" s="5"/>
      <c r="V421" s="6"/>
      <c r="W421" s="6"/>
      <c r="X421" s="6"/>
      <c r="Y421" s="15"/>
      <c r="Z421" s="6"/>
      <c r="AA421" s="6"/>
      <c r="AB421" s="5"/>
      <c r="AC421" s="3"/>
      <c r="AD421" s="6">
        <v>19.5</v>
      </c>
      <c r="AE421" s="6">
        <v>4.2</v>
      </c>
      <c r="AF421" s="7">
        <v>0</v>
      </c>
      <c r="AG421" s="6">
        <v>0</v>
      </c>
      <c r="AH421" s="7">
        <v>0</v>
      </c>
      <c r="AI421" s="15">
        <v>23.7</v>
      </c>
      <c r="AJ421" s="6">
        <v>7.9</v>
      </c>
      <c r="AK421" s="3"/>
      <c r="AL421" s="6">
        <v>153.638574</v>
      </c>
      <c r="AM421" s="6">
        <v>123.23714</v>
      </c>
      <c r="AN421" s="6">
        <v>30.401433999999995</v>
      </c>
      <c r="AO421" s="6">
        <v>0</v>
      </c>
      <c r="AP421" s="6">
        <v>0</v>
      </c>
      <c r="AQ421" s="6">
        <v>0</v>
      </c>
      <c r="AR421" s="6">
        <v>0</v>
      </c>
      <c r="AS421" s="6">
        <v>0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/>
      <c r="BD421" s="3"/>
      <c r="BE421" s="3"/>
      <c r="BF421" s="7">
        <v>46091.5722</v>
      </c>
    </row>
    <row x14ac:dyDescent="0.25" r="422" customHeight="1" ht="12.75">
      <c r="A422" s="5" t="s">
        <v>170</v>
      </c>
      <c r="B422" s="3" t="s">
        <v>859</v>
      </c>
      <c r="C422" s="3" t="s">
        <v>866</v>
      </c>
      <c r="D422" s="3" t="s">
        <v>989</v>
      </c>
      <c r="E422" s="3"/>
      <c r="F422" s="6">
        <f>100*SUM(AM422:AO422)/AL422</f>
      </c>
      <c r="G422" s="6">
        <f>100*SUM(AP422)/AL422</f>
      </c>
      <c r="H422" s="6">
        <f>100*SUM(AQ422)/AL422</f>
      </c>
      <c r="I422" s="6">
        <f>100*SUM(AR422:BC422)/AL422</f>
      </c>
      <c r="J422" s="3"/>
      <c r="K422" s="6">
        <v>18.3</v>
      </c>
      <c r="L422" s="7">
        <v>2.8961748633879782</v>
      </c>
      <c r="M422" s="7">
        <v>10.382513661202186</v>
      </c>
      <c r="N422" s="7"/>
      <c r="O422" s="6"/>
      <c r="P422" s="6"/>
      <c r="Q422" s="7"/>
      <c r="R422" s="6"/>
      <c r="S422" s="6"/>
      <c r="T422" s="6"/>
      <c r="U422" s="5"/>
      <c r="V422" s="6"/>
      <c r="W422" s="6"/>
      <c r="X422" s="6"/>
      <c r="Y422" s="15"/>
      <c r="Z422" s="6"/>
      <c r="AA422" s="6"/>
      <c r="AB422" s="5"/>
      <c r="AC422" s="3"/>
      <c r="AD422" s="6">
        <v>0.53</v>
      </c>
      <c r="AE422" s="6">
        <v>1.9</v>
      </c>
      <c r="AF422" s="7">
        <v>0</v>
      </c>
      <c r="AG422" s="6">
        <v>0</v>
      </c>
      <c r="AH422" s="7">
        <v>0</v>
      </c>
      <c r="AI422" s="15">
        <v>2.4299999999999997</v>
      </c>
      <c r="AJ422" s="6">
        <v>13.278688524590164</v>
      </c>
      <c r="AK422" s="3"/>
      <c r="AL422" s="6">
        <v>280.36970382513664</v>
      </c>
      <c r="AM422" s="6">
        <v>54.91020109289617</v>
      </c>
      <c r="AN422" s="6">
        <v>225.45950273224045</v>
      </c>
      <c r="AO422" s="6">
        <v>0</v>
      </c>
      <c r="AP422" s="6">
        <v>0</v>
      </c>
      <c r="AQ422" s="6">
        <v>0</v>
      </c>
      <c r="AR422" s="6">
        <v>0</v>
      </c>
      <c r="AS422" s="6">
        <v>0</v>
      </c>
      <c r="AT422" s="6">
        <v>0</v>
      </c>
      <c r="AU422" s="6">
        <v>0</v>
      </c>
      <c r="AV422" s="6">
        <v>0</v>
      </c>
      <c r="AW422" s="6">
        <v>0</v>
      </c>
      <c r="AX422" s="6">
        <v>0</v>
      </c>
      <c r="AY422" s="6">
        <v>0</v>
      </c>
      <c r="AZ422" s="6">
        <v>0</v>
      </c>
      <c r="BA422" s="6">
        <v>0</v>
      </c>
      <c r="BB422" s="6">
        <v>0</v>
      </c>
      <c r="BC422" s="6"/>
      <c r="BD422" s="3"/>
      <c r="BE422" s="3"/>
      <c r="BF422" s="7">
        <v>5130.765580000001</v>
      </c>
    </row>
    <row x14ac:dyDescent="0.25" r="423" customHeight="1" ht="12.75">
      <c r="A423" s="5" t="s">
        <v>244</v>
      </c>
      <c r="B423" s="3" t="s">
        <v>859</v>
      </c>
      <c r="C423" s="3" t="s">
        <v>866</v>
      </c>
      <c r="D423" s="3" t="s">
        <v>989</v>
      </c>
      <c r="E423" s="3"/>
      <c r="F423" s="6">
        <f>100*SUM(AM423:AO423)/AL423</f>
      </c>
      <c r="G423" s="6">
        <f>100*SUM(AP423)/AL423</f>
      </c>
      <c r="H423" s="6">
        <f>100*SUM(AQ423)/AL423</f>
      </c>
      <c r="I423" s="6">
        <f>100*SUM(AR423:BC423)/AL423</f>
      </c>
      <c r="J423" s="3"/>
      <c r="K423" s="5">
        <v>23</v>
      </c>
      <c r="L423" s="6">
        <v>2.85</v>
      </c>
      <c r="M423" s="6">
        <v>6.74</v>
      </c>
      <c r="N423" s="5"/>
      <c r="O423" s="6"/>
      <c r="P423" s="6"/>
      <c r="Q423" s="7"/>
      <c r="R423" s="6"/>
      <c r="S423" s="6"/>
      <c r="T423" s="6"/>
      <c r="U423" s="5"/>
      <c r="V423" s="6"/>
      <c r="W423" s="6"/>
      <c r="X423" s="6"/>
      <c r="Y423" s="15"/>
      <c r="Z423" s="6"/>
      <c r="AA423" s="6"/>
      <c r="AB423" s="5"/>
      <c r="AC423" s="3"/>
      <c r="AD423" s="6">
        <v>0.6555</v>
      </c>
      <c r="AE423" s="6">
        <v>1.5502</v>
      </c>
      <c r="AF423" s="7">
        <v>0</v>
      </c>
      <c r="AG423" s="6">
        <v>0</v>
      </c>
      <c r="AH423" s="7">
        <v>0</v>
      </c>
      <c r="AI423" s="15">
        <v>2.2057</v>
      </c>
      <c r="AJ423" s="6">
        <v>9.59</v>
      </c>
      <c r="AK423" s="3"/>
      <c r="AL423" s="6">
        <v>200.39593539999998</v>
      </c>
      <c r="AM423" s="6">
        <v>54.034746</v>
      </c>
      <c r="AN423" s="6">
        <v>146.3611894</v>
      </c>
      <c r="AO423" s="6">
        <v>0</v>
      </c>
      <c r="AP423" s="6">
        <v>0</v>
      </c>
      <c r="AQ423" s="6">
        <v>0</v>
      </c>
      <c r="AR423" s="6">
        <v>0</v>
      </c>
      <c r="AS423" s="6">
        <v>0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0</v>
      </c>
      <c r="BA423" s="6">
        <v>0</v>
      </c>
      <c r="BB423" s="6">
        <v>0</v>
      </c>
      <c r="BC423" s="6"/>
      <c r="BD423" s="3"/>
      <c r="BE423" s="3"/>
      <c r="BF423" s="7">
        <v>4609.1065142</v>
      </c>
    </row>
    <row x14ac:dyDescent="0.25" r="424" customHeight="1" ht="12.75">
      <c r="A424" s="5" t="s">
        <v>554</v>
      </c>
      <c r="B424" s="3" t="s">
        <v>859</v>
      </c>
      <c r="C424" s="3" t="s">
        <v>866</v>
      </c>
      <c r="D424" s="3" t="s">
        <v>989</v>
      </c>
      <c r="E424" s="3"/>
      <c r="F424" s="6">
        <f>100*SUM(AM424:AO424)/AL424</f>
      </c>
      <c r="G424" s="6">
        <f>100*SUM(AP424)/AL424</f>
      </c>
      <c r="H424" s="6">
        <f>100*SUM(AQ424)/AL424</f>
      </c>
      <c r="I424" s="6">
        <f>100*SUM(AR424:BC424)/AL424</f>
      </c>
      <c r="J424" s="3"/>
      <c r="K424" s="6">
        <v>1.2</v>
      </c>
      <c r="L424" s="6">
        <v>1.4</v>
      </c>
      <c r="M424" s="6">
        <v>5.6</v>
      </c>
      <c r="N424" s="7"/>
      <c r="O424" s="6"/>
      <c r="P424" s="6"/>
      <c r="Q424" s="7"/>
      <c r="R424" s="6"/>
      <c r="S424" s="6"/>
      <c r="T424" s="6"/>
      <c r="U424" s="5"/>
      <c r="V424" s="6"/>
      <c r="W424" s="6"/>
      <c r="X424" s="6"/>
      <c r="Y424" s="15"/>
      <c r="Z424" s="6"/>
      <c r="AA424" s="6"/>
      <c r="AB424" s="5"/>
      <c r="AC424" s="3"/>
      <c r="AD424" s="6">
        <v>0.0168</v>
      </c>
      <c r="AE424" s="6">
        <v>0.0672</v>
      </c>
      <c r="AF424" s="7">
        <v>0</v>
      </c>
      <c r="AG424" s="6">
        <v>0</v>
      </c>
      <c r="AH424" s="7">
        <v>0</v>
      </c>
      <c r="AI424" s="15">
        <v>0.08399999999999999</v>
      </c>
      <c r="AJ424" s="6">
        <v>7</v>
      </c>
      <c r="AK424" s="3"/>
      <c r="AL424" s="6">
        <v>148.14911999999998</v>
      </c>
      <c r="AM424" s="6">
        <v>26.543383999999996</v>
      </c>
      <c r="AN424" s="6">
        <v>121.60573599999998</v>
      </c>
      <c r="AO424" s="6">
        <v>0</v>
      </c>
      <c r="AP424" s="6">
        <v>0</v>
      </c>
      <c r="AQ424" s="6">
        <v>0</v>
      </c>
      <c r="AR424" s="6">
        <v>0</v>
      </c>
      <c r="AS424" s="6">
        <v>0</v>
      </c>
      <c r="AT424" s="6">
        <v>0</v>
      </c>
      <c r="AU424" s="6">
        <v>0</v>
      </c>
      <c r="AV424" s="6">
        <v>0</v>
      </c>
      <c r="AW424" s="6">
        <v>0</v>
      </c>
      <c r="AX424" s="6">
        <v>0</v>
      </c>
      <c r="AY424" s="6">
        <v>0</v>
      </c>
      <c r="AZ424" s="6">
        <v>0</v>
      </c>
      <c r="BA424" s="6">
        <v>0</v>
      </c>
      <c r="BB424" s="6">
        <v>0</v>
      </c>
      <c r="BC424" s="6"/>
      <c r="BD424" s="3"/>
      <c r="BE424" s="3"/>
      <c r="BF424" s="7">
        <v>177.77894399999997</v>
      </c>
    </row>
    <row x14ac:dyDescent="0.25" r="425" customHeight="1" ht="12.75">
      <c r="A425" s="5" t="s">
        <v>393</v>
      </c>
      <c r="B425" s="3" t="s">
        <v>859</v>
      </c>
      <c r="C425" s="3" t="s">
        <v>866</v>
      </c>
      <c r="D425" s="3" t="s">
        <v>988</v>
      </c>
      <c r="E425" s="3"/>
      <c r="F425" s="6">
        <f>100*SUM(AM425:AO425)/AL425</f>
      </c>
      <c r="G425" s="6">
        <f>100*SUM(AP425)/AL425</f>
      </c>
      <c r="H425" s="6">
        <f>100*SUM(AQ425)/AL425</f>
      </c>
      <c r="I425" s="6">
        <f>100*SUM(AR425:BC425)/AL425</f>
      </c>
      <c r="J425" s="3"/>
      <c r="K425" s="6">
        <v>0.9</v>
      </c>
      <c r="L425" s="6">
        <v>1.5</v>
      </c>
      <c r="M425" s="6">
        <v>7.5</v>
      </c>
      <c r="N425" s="5"/>
      <c r="O425" s="6"/>
      <c r="P425" s="6"/>
      <c r="Q425" s="7"/>
      <c r="R425" s="6"/>
      <c r="S425" s="6"/>
      <c r="T425" s="6"/>
      <c r="U425" s="5"/>
      <c r="V425" s="6"/>
      <c r="W425" s="6"/>
      <c r="X425" s="6"/>
      <c r="Y425" s="15"/>
      <c r="Z425" s="6"/>
      <c r="AA425" s="6"/>
      <c r="AB425" s="5"/>
      <c r="AC425" s="3"/>
      <c r="AD425" s="6">
        <v>0.013500000000000002</v>
      </c>
      <c r="AE425" s="6">
        <v>0.0675</v>
      </c>
      <c r="AF425" s="7">
        <v>0</v>
      </c>
      <c r="AG425" s="6">
        <v>0</v>
      </c>
      <c r="AH425" s="7">
        <v>0</v>
      </c>
      <c r="AI425" s="15">
        <v>0.081</v>
      </c>
      <c r="AJ425" s="6">
        <v>9</v>
      </c>
      <c r="AK425" s="3"/>
      <c r="AL425" s="6">
        <v>191.30416499999998</v>
      </c>
      <c r="AM425" s="6">
        <v>28.439339999999998</v>
      </c>
      <c r="AN425" s="6">
        <v>162.864825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/>
      <c r="BD425" s="3"/>
      <c r="BE425" s="3"/>
      <c r="BF425" s="7">
        <v>172.1737485</v>
      </c>
    </row>
    <row x14ac:dyDescent="0.25" r="426" customHeight="1" ht="12.75">
      <c r="A426" s="5" t="s">
        <v>794</v>
      </c>
      <c r="B426" s="3" t="s">
        <v>859</v>
      </c>
      <c r="C426" s="3" t="s">
        <v>866</v>
      </c>
      <c r="D426" s="3" t="s">
        <v>989</v>
      </c>
      <c r="E426" s="3"/>
      <c r="F426" s="6">
        <f>100*SUM(AM426:AO426)/AL426</f>
      </c>
      <c r="G426" s="6">
        <f>100*SUM(AP426)/AL426</f>
      </c>
      <c r="H426" s="6">
        <f>100*SUM(AQ426)/AL426</f>
      </c>
      <c r="I426" s="6">
        <f>100*SUM(AR426:BC426)/AL426</f>
      </c>
      <c r="J426" s="3"/>
      <c r="K426" s="6">
        <v>11.8</v>
      </c>
      <c r="L426" s="6"/>
      <c r="M426" s="6">
        <v>0.99</v>
      </c>
      <c r="N426" s="7"/>
      <c r="O426" s="6"/>
      <c r="P426" s="6"/>
      <c r="Q426" s="7"/>
      <c r="R426" s="6"/>
      <c r="S426" s="6"/>
      <c r="T426" s="6"/>
      <c r="U426" s="5"/>
      <c r="V426" s="6"/>
      <c r="W426" s="6"/>
      <c r="X426" s="6"/>
      <c r="Y426" s="15"/>
      <c r="Z426" s="6"/>
      <c r="AA426" s="6"/>
      <c r="AB426" s="5"/>
      <c r="AC426" s="3"/>
      <c r="AD426" s="6">
        <v>0</v>
      </c>
      <c r="AE426" s="6">
        <v>0.11682000000000001</v>
      </c>
      <c r="AF426" s="7">
        <v>0</v>
      </c>
      <c r="AG426" s="6">
        <v>0</v>
      </c>
      <c r="AH426" s="7">
        <v>0</v>
      </c>
      <c r="AI426" s="15">
        <v>0.11682000000000001</v>
      </c>
      <c r="AJ426" s="6">
        <v>0.99</v>
      </c>
      <c r="AK426" s="3"/>
      <c r="AL426" s="6">
        <v>21.498156899999998</v>
      </c>
      <c r="AM426" s="6">
        <v>0</v>
      </c>
      <c r="AN426" s="6">
        <v>21.498156899999998</v>
      </c>
      <c r="AO426" s="6">
        <v>0</v>
      </c>
      <c r="AP426" s="6">
        <v>0</v>
      </c>
      <c r="AQ426" s="6">
        <v>0</v>
      </c>
      <c r="AR426" s="6">
        <v>0</v>
      </c>
      <c r="AS426" s="6">
        <v>0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0</v>
      </c>
      <c r="AZ426" s="6">
        <v>0</v>
      </c>
      <c r="BA426" s="6">
        <v>0</v>
      </c>
      <c r="BB426" s="6">
        <v>0</v>
      </c>
      <c r="BC426" s="6"/>
      <c r="BD426" s="3"/>
      <c r="BE426" s="3"/>
      <c r="BF426" s="7">
        <v>253.67825141999998</v>
      </c>
    </row>
    <row x14ac:dyDescent="0.25" r="427" customHeight="1" ht="12.75">
      <c r="A427" s="5" t="s">
        <v>67</v>
      </c>
      <c r="B427" s="3" t="s">
        <v>859</v>
      </c>
      <c r="C427" s="3" t="s">
        <v>866</v>
      </c>
      <c r="D427" s="3" t="s">
        <v>989</v>
      </c>
      <c r="E427" s="3"/>
      <c r="F427" s="6">
        <f>100*SUM(AM427:AO427)/AL427</f>
      </c>
      <c r="G427" s="6">
        <f>100*SUM(AP427)/AL427</f>
      </c>
      <c r="H427" s="6">
        <f>100*SUM(AQ427)/AL427</f>
      </c>
      <c r="I427" s="6">
        <f>100*SUM(AR427:BC427)/AL427</f>
      </c>
      <c r="J427" s="3"/>
      <c r="K427" s="6">
        <v>5.899999999999999</v>
      </c>
      <c r="L427" s="7">
        <v>4.040677966101694</v>
      </c>
      <c r="M427" s="7">
        <v>15.603389830508478</v>
      </c>
      <c r="N427" s="5"/>
      <c r="O427" s="6"/>
      <c r="P427" s="6"/>
      <c r="Q427" s="7"/>
      <c r="R427" s="6"/>
      <c r="S427" s="6"/>
      <c r="T427" s="6"/>
      <c r="U427" s="5"/>
      <c r="V427" s="6"/>
      <c r="W427" s="6"/>
      <c r="X427" s="6"/>
      <c r="Y427" s="15"/>
      <c r="Z427" s="6"/>
      <c r="AA427" s="6"/>
      <c r="AB427" s="5"/>
      <c r="AC427" s="3"/>
      <c r="AD427" s="6">
        <v>0.2383999999999999</v>
      </c>
      <c r="AE427" s="6">
        <v>0.9206</v>
      </c>
      <c r="AF427" s="7">
        <v>0</v>
      </c>
      <c r="AG427" s="6">
        <v>0</v>
      </c>
      <c r="AH427" s="7">
        <v>0</v>
      </c>
      <c r="AI427" s="15">
        <v>1.1589999999999998</v>
      </c>
      <c r="AJ427" s="6">
        <v>19.644067796610173</v>
      </c>
      <c r="AK427" s="3"/>
      <c r="AL427" s="6">
        <v>415.44192355932205</v>
      </c>
      <c r="AM427" s="6">
        <v>76.60947633898303</v>
      </c>
      <c r="AN427" s="6">
        <v>338.832447220339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0</v>
      </c>
      <c r="BC427" s="6"/>
      <c r="BD427" s="3"/>
      <c r="BE427" s="3"/>
      <c r="BF427" s="7">
        <v>2451.1073489999994</v>
      </c>
    </row>
    <row x14ac:dyDescent="0.25" r="428" customHeight="1" ht="12.75">
      <c r="A428" s="5" t="s">
        <v>426</v>
      </c>
      <c r="B428" s="3" t="s">
        <v>859</v>
      </c>
      <c r="C428" s="3" t="s">
        <v>866</v>
      </c>
      <c r="D428" s="3"/>
      <c r="E428" s="3"/>
      <c r="F428" s="6">
        <f>100*SUM(AM428:AO428)/AL428</f>
      </c>
      <c r="G428" s="6">
        <f>100*SUM(AP428)/AL428</f>
      </c>
      <c r="H428" s="6">
        <f>100*SUM(AQ428)/AL428</f>
      </c>
      <c r="I428" s="6">
        <f>100*SUM(AR428:BC428)/AL428</f>
      </c>
      <c r="J428" s="3"/>
      <c r="K428" s="5">
        <v>46</v>
      </c>
      <c r="L428" s="6">
        <v>1.3</v>
      </c>
      <c r="M428" s="6">
        <v>0.9</v>
      </c>
      <c r="N428" s="5">
        <v>12</v>
      </c>
      <c r="O428" s="6"/>
      <c r="P428" s="6"/>
      <c r="Q428" s="7"/>
      <c r="R428" s="6"/>
      <c r="S428" s="6"/>
      <c r="T428" s="6"/>
      <c r="U428" s="5"/>
      <c r="V428" s="6"/>
      <c r="W428" s="6"/>
      <c r="X428" s="6"/>
      <c r="Y428" s="15"/>
      <c r="Z428" s="6"/>
      <c r="AA428" s="6"/>
      <c r="AB428" s="5"/>
      <c r="AC428" s="3"/>
      <c r="AD428" s="6">
        <v>0.5980000000000001</v>
      </c>
      <c r="AE428" s="6">
        <v>0.414</v>
      </c>
      <c r="AF428" s="7">
        <v>552</v>
      </c>
      <c r="AG428" s="6">
        <v>0</v>
      </c>
      <c r="AH428" s="7">
        <v>0</v>
      </c>
      <c r="AI428" s="15">
        <v>1.012</v>
      </c>
      <c r="AJ428" s="6">
        <v>2.2</v>
      </c>
      <c r="AK428" s="3"/>
      <c r="AL428" s="6">
        <v>51.5339722733119</v>
      </c>
      <c r="AM428" s="6">
        <v>24.647428</v>
      </c>
      <c r="AN428" s="6">
        <v>19.543779</v>
      </c>
      <c r="AO428" s="6">
        <v>7.342765273311898</v>
      </c>
      <c r="AP428" s="6">
        <v>0</v>
      </c>
      <c r="AQ428" s="6">
        <v>0</v>
      </c>
      <c r="AR428" s="6">
        <v>0</v>
      </c>
      <c r="AS428" s="6">
        <v>0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6">
        <v>0</v>
      </c>
      <c r="BA428" s="6">
        <v>0</v>
      </c>
      <c r="BB428" s="6">
        <v>0</v>
      </c>
      <c r="BC428" s="6"/>
      <c r="BD428" s="3"/>
      <c r="BE428" s="3"/>
      <c r="BF428" s="7">
        <v>2370.5627245723476</v>
      </c>
    </row>
    <row x14ac:dyDescent="0.25" r="429" customHeight="1" ht="12.75">
      <c r="A429" s="5" t="s">
        <v>431</v>
      </c>
      <c r="B429" s="3" t="s">
        <v>859</v>
      </c>
      <c r="C429" s="3" t="s">
        <v>866</v>
      </c>
      <c r="D429" s="3" t="s">
        <v>989</v>
      </c>
      <c r="E429" s="3"/>
      <c r="F429" s="6">
        <f>100*SUM(AM429:AO429)/AL429</f>
      </c>
      <c r="G429" s="6">
        <f>100*SUM(AP429)/AL429</f>
      </c>
      <c r="H429" s="6">
        <f>100*SUM(AQ429)/AL429</f>
      </c>
      <c r="I429" s="6">
        <f>100*SUM(AR429:BC429)/AL429</f>
      </c>
      <c r="J429" s="3"/>
      <c r="K429" s="6">
        <v>20.13762</v>
      </c>
      <c r="L429" s="7">
        <v>1.6666666666666667</v>
      </c>
      <c r="M429" s="7">
        <v>3.333333333333333</v>
      </c>
      <c r="N429" s="5"/>
      <c r="O429" s="6"/>
      <c r="P429" s="6"/>
      <c r="Q429" s="7"/>
      <c r="R429" s="6"/>
      <c r="S429" s="6"/>
      <c r="T429" s="6"/>
      <c r="U429" s="5"/>
      <c r="V429" s="6"/>
      <c r="W429" s="6"/>
      <c r="X429" s="6"/>
      <c r="Y429" s="15"/>
      <c r="Z429" s="6"/>
      <c r="AA429" s="6"/>
      <c r="AB429" s="5"/>
      <c r="AC429" s="3"/>
      <c r="AD429" s="6">
        <v>0.335627</v>
      </c>
      <c r="AE429" s="6">
        <v>0.6712539999999998</v>
      </c>
      <c r="AF429" s="7">
        <v>0</v>
      </c>
      <c r="AG429" s="6">
        <v>0</v>
      </c>
      <c r="AH429" s="7">
        <v>0</v>
      </c>
      <c r="AI429" s="15">
        <v>1.006881</v>
      </c>
      <c r="AJ429" s="6">
        <v>5</v>
      </c>
      <c r="AK429" s="3"/>
      <c r="AL429" s="6">
        <v>103.98363333333333</v>
      </c>
      <c r="AM429" s="6">
        <v>31.599266666666665</v>
      </c>
      <c r="AN429" s="6">
        <v>72.38436666666666</v>
      </c>
      <c r="AO429" s="6">
        <v>0</v>
      </c>
      <c r="AP429" s="6">
        <v>0</v>
      </c>
      <c r="AQ429" s="6">
        <v>0</v>
      </c>
      <c r="AR429" s="6">
        <v>0</v>
      </c>
      <c r="AS429" s="6">
        <v>0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0</v>
      </c>
      <c r="BC429" s="6"/>
      <c r="BD429" s="3"/>
      <c r="BE429" s="3"/>
      <c r="BF429" s="7">
        <v>2093.982894286</v>
      </c>
    </row>
    <row x14ac:dyDescent="0.25" r="430" customHeight="1" ht="12.75">
      <c r="A430" s="5" t="s">
        <v>95</v>
      </c>
      <c r="B430" s="3" t="s">
        <v>859</v>
      </c>
      <c r="C430" s="3" t="s">
        <v>866</v>
      </c>
      <c r="D430" s="3" t="s">
        <v>988</v>
      </c>
      <c r="E430" s="3"/>
      <c r="F430" s="6">
        <f>100*SUM(AM430:AO430)/AL430</f>
      </c>
      <c r="G430" s="6">
        <f>100*SUM(AP430)/AL430</f>
      </c>
      <c r="H430" s="6">
        <f>100*SUM(AQ430)/AL430</f>
      </c>
      <c r="I430" s="6">
        <f>100*SUM(AR430:BC430)/AL430</f>
      </c>
      <c r="J430" s="3"/>
      <c r="K430" s="6">
        <v>4.417000000000002</v>
      </c>
      <c r="L430" s="7">
        <v>3.400000000000004</v>
      </c>
      <c r="M430" s="7">
        <v>14.12836767036449</v>
      </c>
      <c r="N430" s="31">
        <v>72.12157573013353</v>
      </c>
      <c r="O430" s="6"/>
      <c r="P430" s="6"/>
      <c r="Q430" s="7"/>
      <c r="R430" s="6"/>
      <c r="S430" s="6"/>
      <c r="T430" s="6"/>
      <c r="U430" s="5"/>
      <c r="V430" s="6"/>
      <c r="W430" s="6"/>
      <c r="X430" s="6"/>
      <c r="Y430" s="15"/>
      <c r="Z430" s="6"/>
      <c r="AA430" s="6"/>
      <c r="AB430" s="5"/>
      <c r="AC430" s="3"/>
      <c r="AD430" s="6">
        <v>0.15017800000000023</v>
      </c>
      <c r="AE430" s="6">
        <v>0.6240499999999998</v>
      </c>
      <c r="AF430" s="7">
        <v>318.5609999999999</v>
      </c>
      <c r="AG430" s="6">
        <v>0</v>
      </c>
      <c r="AH430" s="7">
        <v>0</v>
      </c>
      <c r="AI430" s="15">
        <v>0.774228</v>
      </c>
      <c r="AJ430" s="6">
        <v>17.528367670364496</v>
      </c>
      <c r="AK430" s="3"/>
      <c r="AL430" s="6">
        <v>415.395371233256</v>
      </c>
      <c r="AM430" s="6">
        <v>64.46250400000007</v>
      </c>
      <c r="AN430" s="6">
        <v>306.8018837559427</v>
      </c>
      <c r="AO430" s="6">
        <v>44.13098347731322</v>
      </c>
      <c r="AP430" s="6">
        <v>0</v>
      </c>
      <c r="AQ430" s="6">
        <v>0</v>
      </c>
      <c r="AR430" s="6">
        <v>0</v>
      </c>
      <c r="AS430" s="6">
        <v>0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0</v>
      </c>
      <c r="BC430" s="6"/>
      <c r="BD430" s="3"/>
      <c r="BE430" s="3"/>
      <c r="BF430" s="7">
        <v>1834.8013547372925</v>
      </c>
    </row>
    <row x14ac:dyDescent="0.25" r="431" customHeight="1" ht="12.75">
      <c r="A431" s="5" t="s">
        <v>455</v>
      </c>
      <c r="B431" s="3" t="s">
        <v>859</v>
      </c>
      <c r="C431" s="3" t="s">
        <v>866</v>
      </c>
      <c r="D431" s="3" t="s">
        <v>988</v>
      </c>
      <c r="E431" s="3"/>
      <c r="F431" s="6">
        <f>100*SUM(AM431:AO431)/AL431</f>
      </c>
      <c r="G431" s="6">
        <f>100*SUM(AP431)/AL431</f>
      </c>
      <c r="H431" s="6">
        <f>100*SUM(AQ431)/AL431</f>
      </c>
      <c r="I431" s="6">
        <f>100*SUM(AR431:BC431)/AL431</f>
      </c>
      <c r="J431" s="3"/>
      <c r="K431" s="6">
        <v>9.47</v>
      </c>
      <c r="L431" s="5">
        <v>2</v>
      </c>
      <c r="M431" s="6">
        <v>6.13</v>
      </c>
      <c r="N431" s="5"/>
      <c r="O431" s="6"/>
      <c r="P431" s="6"/>
      <c r="Q431" s="7"/>
      <c r="R431" s="6"/>
      <c r="S431" s="6"/>
      <c r="T431" s="6"/>
      <c r="U431" s="5"/>
      <c r="V431" s="6"/>
      <c r="W431" s="6"/>
      <c r="X431" s="6"/>
      <c r="Y431" s="15"/>
      <c r="Z431" s="6"/>
      <c r="AA431" s="6"/>
      <c r="AB431" s="5"/>
      <c r="AC431" s="3"/>
      <c r="AD431" s="6">
        <v>0.1894</v>
      </c>
      <c r="AE431" s="6">
        <v>0.580511</v>
      </c>
      <c r="AF431" s="7">
        <v>0</v>
      </c>
      <c r="AG431" s="6">
        <v>0</v>
      </c>
      <c r="AH431" s="7">
        <v>0</v>
      </c>
      <c r="AI431" s="15">
        <v>0.769911</v>
      </c>
      <c r="AJ431" s="6">
        <v>8.129999999999999</v>
      </c>
      <c r="AK431" s="3"/>
      <c r="AL431" s="6">
        <v>171.0339703</v>
      </c>
      <c r="AM431" s="6">
        <v>37.91912</v>
      </c>
      <c r="AN431" s="6">
        <v>133.1148503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/>
      <c r="BD431" s="3"/>
      <c r="BE431" s="3"/>
      <c r="BF431" s="7">
        <v>1619.691698741</v>
      </c>
    </row>
    <row x14ac:dyDescent="0.25" r="432" customHeight="1" ht="12.75">
      <c r="A432" s="5" t="s">
        <v>512</v>
      </c>
      <c r="B432" s="3" t="s">
        <v>859</v>
      </c>
      <c r="C432" s="3" t="s">
        <v>866</v>
      </c>
      <c r="D432" s="3" t="s">
        <v>988</v>
      </c>
      <c r="E432" s="3"/>
      <c r="F432" s="6">
        <f>100*SUM(AM432:AO432)/AL432</f>
      </c>
      <c r="G432" s="6">
        <f>100*SUM(AP432)/AL432</f>
      </c>
      <c r="H432" s="6">
        <f>100*SUM(AQ432)/AL432</f>
      </c>
      <c r="I432" s="6">
        <f>100*SUM(AR432:BC432)/AL432</f>
      </c>
      <c r="J432" s="3"/>
      <c r="K432" s="6">
        <v>9.9</v>
      </c>
      <c r="L432" s="6">
        <v>1.4</v>
      </c>
      <c r="M432" s="6">
        <v>5.4</v>
      </c>
      <c r="N432" s="5"/>
      <c r="O432" s="6"/>
      <c r="P432" s="6"/>
      <c r="Q432" s="7"/>
      <c r="R432" s="6"/>
      <c r="S432" s="6"/>
      <c r="T432" s="6"/>
      <c r="U432" s="5"/>
      <c r="V432" s="6"/>
      <c r="W432" s="6"/>
      <c r="X432" s="6"/>
      <c r="Y432" s="15"/>
      <c r="Z432" s="6"/>
      <c r="AA432" s="6"/>
      <c r="AB432" s="5"/>
      <c r="AC432" s="3"/>
      <c r="AD432" s="6">
        <v>0.1386</v>
      </c>
      <c r="AE432" s="6">
        <v>0.5346000000000001</v>
      </c>
      <c r="AF432" s="7">
        <v>0</v>
      </c>
      <c r="AG432" s="6">
        <v>0</v>
      </c>
      <c r="AH432" s="7">
        <v>0</v>
      </c>
      <c r="AI432" s="15">
        <v>0.6732</v>
      </c>
      <c r="AJ432" s="6">
        <v>6.800000000000001</v>
      </c>
      <c r="AK432" s="3"/>
      <c r="AL432" s="6">
        <v>143.806058</v>
      </c>
      <c r="AM432" s="6">
        <v>26.543383999999996</v>
      </c>
      <c r="AN432" s="6">
        <v>117.262674</v>
      </c>
      <c r="AO432" s="6">
        <v>0</v>
      </c>
      <c r="AP432" s="6">
        <v>0</v>
      </c>
      <c r="AQ432" s="6">
        <v>0</v>
      </c>
      <c r="AR432" s="6">
        <v>0</v>
      </c>
      <c r="AS432" s="6">
        <v>0</v>
      </c>
      <c r="AT432" s="6">
        <v>0</v>
      </c>
      <c r="AU432" s="6">
        <v>0</v>
      </c>
      <c r="AV432" s="6">
        <v>0</v>
      </c>
      <c r="AW432" s="6">
        <v>0</v>
      </c>
      <c r="AX432" s="6">
        <v>0</v>
      </c>
      <c r="AY432" s="6">
        <v>0</v>
      </c>
      <c r="AZ432" s="6">
        <v>0</v>
      </c>
      <c r="BA432" s="6">
        <v>0</v>
      </c>
      <c r="BB432" s="6">
        <v>0</v>
      </c>
      <c r="BC432" s="6"/>
      <c r="BD432" s="3"/>
      <c r="BE432" s="3"/>
      <c r="BF432" s="7">
        <v>1423.6799742</v>
      </c>
    </row>
    <row x14ac:dyDescent="0.25" r="433" customHeight="1" ht="12.75">
      <c r="A433" s="5" t="s">
        <v>513</v>
      </c>
      <c r="B433" s="3" t="s">
        <v>859</v>
      </c>
      <c r="C433" s="3" t="s">
        <v>866</v>
      </c>
      <c r="D433" s="3" t="s">
        <v>988</v>
      </c>
      <c r="E433" s="3"/>
      <c r="F433" s="6">
        <f>100*SUM(AM433:AO433)/AL433</f>
      </c>
      <c r="G433" s="6">
        <f>100*SUM(AP433)/AL433</f>
      </c>
      <c r="H433" s="6">
        <f>100*SUM(AQ433)/AL433</f>
      </c>
      <c r="I433" s="6">
        <f>100*SUM(AR433:BC433)/AL433</f>
      </c>
      <c r="J433" s="3"/>
      <c r="K433" s="5">
        <v>12</v>
      </c>
      <c r="L433" s="6">
        <v>3.2</v>
      </c>
      <c r="M433" s="6">
        <v>2.4</v>
      </c>
      <c r="N433" s="5">
        <v>43</v>
      </c>
      <c r="O433" s="6"/>
      <c r="P433" s="6"/>
      <c r="Q433" s="7"/>
      <c r="R433" s="6"/>
      <c r="S433" s="6"/>
      <c r="T433" s="6"/>
      <c r="U433" s="5"/>
      <c r="V433" s="6"/>
      <c r="W433" s="6"/>
      <c r="X433" s="6"/>
      <c r="Y433" s="15"/>
      <c r="Z433" s="6"/>
      <c r="AA433" s="6"/>
      <c r="AB433" s="5"/>
      <c r="AC433" s="3"/>
      <c r="AD433" s="6">
        <v>0.38400000000000006</v>
      </c>
      <c r="AE433" s="6">
        <v>0.288</v>
      </c>
      <c r="AF433" s="7">
        <v>516</v>
      </c>
      <c r="AG433" s="6">
        <v>0</v>
      </c>
      <c r="AH433" s="7">
        <v>0</v>
      </c>
      <c r="AI433" s="15">
        <v>0.672</v>
      </c>
      <c r="AJ433" s="6">
        <v>5.6</v>
      </c>
      <c r="AK433" s="3"/>
      <c r="AL433" s="6">
        <v>139.09891156270098</v>
      </c>
      <c r="AM433" s="6">
        <v>60.670592</v>
      </c>
      <c r="AN433" s="6">
        <v>52.116744</v>
      </c>
      <c r="AO433" s="6">
        <v>26.31157556270097</v>
      </c>
      <c r="AP433" s="6">
        <v>0</v>
      </c>
      <c r="AQ433" s="6">
        <v>0</v>
      </c>
      <c r="AR433" s="6">
        <v>0</v>
      </c>
      <c r="AS433" s="6">
        <v>0</v>
      </c>
      <c r="AT433" s="6">
        <v>0</v>
      </c>
      <c r="AU433" s="6">
        <v>0</v>
      </c>
      <c r="AV433" s="6">
        <v>0</v>
      </c>
      <c r="AW433" s="6">
        <v>0</v>
      </c>
      <c r="AX433" s="6">
        <v>0</v>
      </c>
      <c r="AY433" s="6">
        <v>0</v>
      </c>
      <c r="AZ433" s="6">
        <v>0</v>
      </c>
      <c r="BA433" s="6">
        <v>0</v>
      </c>
      <c r="BB433" s="6">
        <v>0</v>
      </c>
      <c r="BC433" s="6"/>
      <c r="BD433" s="3"/>
      <c r="BE433" s="3"/>
      <c r="BF433" s="7">
        <v>1669.1869387524116</v>
      </c>
    </row>
    <row x14ac:dyDescent="0.25" r="434" customHeight="1" ht="12.75">
      <c r="A434" s="5" t="s">
        <v>414</v>
      </c>
      <c r="B434" s="3" t="s">
        <v>859</v>
      </c>
      <c r="C434" s="3" t="s">
        <v>866</v>
      </c>
      <c r="D434" s="3" t="s">
        <v>989</v>
      </c>
      <c r="E434" s="3"/>
      <c r="F434" s="6">
        <f>100*SUM(AM434:AO434)/AL434</f>
      </c>
      <c r="G434" s="6">
        <f>100*SUM(AP434)/AL434</f>
      </c>
      <c r="H434" s="6">
        <f>100*SUM(AQ434)/AL434</f>
      </c>
      <c r="I434" s="6">
        <f>100*SUM(AR434:BC434)/AL434</f>
      </c>
      <c r="J434" s="3"/>
      <c r="K434" s="5">
        <v>7</v>
      </c>
      <c r="L434" s="6">
        <v>8.33</v>
      </c>
      <c r="M434" s="6">
        <v>0.38</v>
      </c>
      <c r="N434" s="5">
        <v>72</v>
      </c>
      <c r="O434" s="6"/>
      <c r="P434" s="6"/>
      <c r="Q434" s="7"/>
      <c r="R434" s="6"/>
      <c r="S434" s="6"/>
      <c r="T434" s="6"/>
      <c r="U434" s="5"/>
      <c r="V434" s="6"/>
      <c r="W434" s="6"/>
      <c r="X434" s="6"/>
      <c r="Y434" s="15"/>
      <c r="Z434" s="6"/>
      <c r="AA434" s="6"/>
      <c r="AB434" s="5"/>
      <c r="AC434" s="3"/>
      <c r="AD434" s="6">
        <v>0.5831000000000001</v>
      </c>
      <c r="AE434" s="6">
        <v>0.026600000000000002</v>
      </c>
      <c r="AF434" s="7">
        <v>504</v>
      </c>
      <c r="AG434" s="6">
        <v>0</v>
      </c>
      <c r="AH434" s="7">
        <v>0</v>
      </c>
      <c r="AI434" s="15">
        <v>0.6097</v>
      </c>
      <c r="AJ434" s="6">
        <v>8.71</v>
      </c>
      <c r="AK434" s="3"/>
      <c r="AL434" s="6">
        <v>210.24154423987136</v>
      </c>
      <c r="AM434" s="6">
        <v>157.93313479999998</v>
      </c>
      <c r="AN434" s="6">
        <v>8.2518178</v>
      </c>
      <c r="AO434" s="6">
        <v>44.05659163987139</v>
      </c>
      <c r="AP434" s="6">
        <v>0</v>
      </c>
      <c r="AQ434" s="6">
        <v>0</v>
      </c>
      <c r="AR434" s="6">
        <v>0</v>
      </c>
      <c r="AS434" s="6">
        <v>0</v>
      </c>
      <c r="AT434" s="6">
        <v>0</v>
      </c>
      <c r="AU434" s="6">
        <v>0</v>
      </c>
      <c r="AV434" s="6">
        <v>0</v>
      </c>
      <c r="AW434" s="6">
        <v>0</v>
      </c>
      <c r="AX434" s="6">
        <v>0</v>
      </c>
      <c r="AY434" s="6">
        <v>0</v>
      </c>
      <c r="AZ434" s="6">
        <v>0</v>
      </c>
      <c r="BA434" s="6">
        <v>0</v>
      </c>
      <c r="BB434" s="6">
        <v>0</v>
      </c>
      <c r="BC434" s="6"/>
      <c r="BD434" s="3"/>
      <c r="BE434" s="3"/>
      <c r="BF434" s="7">
        <v>1471.6908096790994</v>
      </c>
    </row>
    <row x14ac:dyDescent="0.25" r="435" customHeight="1" ht="12.75">
      <c r="A435" s="5" t="s">
        <v>483</v>
      </c>
      <c r="B435" s="3" t="s">
        <v>859</v>
      </c>
      <c r="C435" s="3" t="s">
        <v>866</v>
      </c>
      <c r="D435" s="3" t="s">
        <v>989</v>
      </c>
      <c r="E435" s="3"/>
      <c r="F435" s="6">
        <f>100*SUM(AM435:AO435)/AL435</f>
      </c>
      <c r="G435" s="6">
        <f>100*SUM(AP435)/AL435</f>
      </c>
      <c r="H435" s="6">
        <f>100*SUM(AQ435)/AL435</f>
      </c>
      <c r="I435" s="6">
        <f>100*SUM(AR435:BC435)/AL435</f>
      </c>
      <c r="J435" s="3"/>
      <c r="K435" s="6">
        <v>7.83</v>
      </c>
      <c r="L435" s="6">
        <v>1.1</v>
      </c>
      <c r="M435" s="6">
        <v>6.8</v>
      </c>
      <c r="N435" s="5">
        <v>27</v>
      </c>
      <c r="O435" s="6"/>
      <c r="P435" s="6"/>
      <c r="Q435" s="7"/>
      <c r="R435" s="6"/>
      <c r="S435" s="6"/>
      <c r="T435" s="6"/>
      <c r="U435" s="5"/>
      <c r="V435" s="6"/>
      <c r="W435" s="6"/>
      <c r="X435" s="6"/>
      <c r="Y435" s="15"/>
      <c r="Z435" s="6"/>
      <c r="AA435" s="6"/>
      <c r="AB435" s="5"/>
      <c r="AC435" s="3"/>
      <c r="AD435" s="6">
        <v>0.08613000000000001</v>
      </c>
      <c r="AE435" s="6">
        <v>0.53244</v>
      </c>
      <c r="AF435" s="7">
        <v>211.41</v>
      </c>
      <c r="AG435" s="6">
        <v>0</v>
      </c>
      <c r="AH435" s="7">
        <v>0</v>
      </c>
      <c r="AI435" s="15">
        <v>0.6185700000000001</v>
      </c>
      <c r="AJ435" s="6">
        <v>7.9</v>
      </c>
      <c r="AK435" s="3"/>
      <c r="AL435" s="6">
        <v>185.04084586495176</v>
      </c>
      <c r="AM435" s="6">
        <v>20.855516</v>
      </c>
      <c r="AN435" s="6">
        <v>147.664108</v>
      </c>
      <c r="AO435" s="6">
        <v>16.52122186495177</v>
      </c>
      <c r="AP435" s="6">
        <v>0</v>
      </c>
      <c r="AQ435" s="6">
        <v>0</v>
      </c>
      <c r="AR435" s="6">
        <v>0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0</v>
      </c>
      <c r="BA435" s="6">
        <v>0</v>
      </c>
      <c r="BB435" s="6">
        <v>0</v>
      </c>
      <c r="BC435" s="6"/>
      <c r="BD435" s="3"/>
      <c r="BE435" s="3"/>
      <c r="BF435" s="7">
        <v>1448.8698231225724</v>
      </c>
    </row>
    <row x14ac:dyDescent="0.25" r="436" customHeight="1" ht="12.75">
      <c r="A436" s="5" t="s">
        <v>416</v>
      </c>
      <c r="B436" s="3" t="s">
        <v>859</v>
      </c>
      <c r="C436" s="3" t="s">
        <v>866</v>
      </c>
      <c r="D436" s="3" t="s">
        <v>989</v>
      </c>
      <c r="E436" s="3"/>
      <c r="F436" s="6">
        <f>100*SUM(AM436:AO436)/AL436</f>
      </c>
      <c r="G436" s="6">
        <f>100*SUM(AP436)/AL436</f>
      </c>
      <c r="H436" s="6">
        <f>100*SUM(AQ436)/AL436</f>
      </c>
      <c r="I436" s="6">
        <f>100*SUM(AR436:BC436)/AL436</f>
      </c>
      <c r="J436" s="3"/>
      <c r="K436" s="5">
        <v>12</v>
      </c>
      <c r="L436" s="6">
        <v>2.07</v>
      </c>
      <c r="M436" s="6">
        <v>6.5</v>
      </c>
      <c r="N436" s="5"/>
      <c r="O436" s="6"/>
      <c r="P436" s="6"/>
      <c r="Q436" s="7"/>
      <c r="R436" s="6"/>
      <c r="S436" s="6"/>
      <c r="T436" s="6"/>
      <c r="U436" s="5"/>
      <c r="V436" s="6"/>
      <c r="W436" s="6"/>
      <c r="X436" s="6"/>
      <c r="Y436" s="15"/>
      <c r="Z436" s="6"/>
      <c r="AA436" s="6"/>
      <c r="AB436" s="5"/>
      <c r="AC436" s="3"/>
      <c r="AD436" s="6">
        <v>0.24839999999999995</v>
      </c>
      <c r="AE436" s="6">
        <v>0.78</v>
      </c>
      <c r="AF436" s="7">
        <v>0</v>
      </c>
      <c r="AG436" s="6">
        <v>0</v>
      </c>
      <c r="AH436" s="7">
        <v>0</v>
      </c>
      <c r="AI436" s="15">
        <v>1.0284</v>
      </c>
      <c r="AJ436" s="6">
        <v>8.57</v>
      </c>
      <c r="AK436" s="3"/>
      <c r="AL436" s="6">
        <v>180.39580420000001</v>
      </c>
      <c r="AM436" s="6">
        <v>39.2462892</v>
      </c>
      <c r="AN436" s="6">
        <v>141.149515</v>
      </c>
      <c r="AO436" s="6">
        <v>0</v>
      </c>
      <c r="AP436" s="6">
        <v>0</v>
      </c>
      <c r="AQ436" s="6">
        <v>0</v>
      </c>
      <c r="AR436" s="6">
        <v>0</v>
      </c>
      <c r="AS436" s="6">
        <v>0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0</v>
      </c>
      <c r="BC436" s="6"/>
      <c r="BD436" s="3"/>
      <c r="BE436" s="3"/>
      <c r="BF436" s="7">
        <v>2164.7496504</v>
      </c>
    </row>
    <row x14ac:dyDescent="0.25" r="437" customHeight="1" ht="12.75">
      <c r="A437" s="5" t="s">
        <v>674</v>
      </c>
      <c r="B437" s="3" t="s">
        <v>859</v>
      </c>
      <c r="C437" s="3" t="s">
        <v>866</v>
      </c>
      <c r="D437" s="3" t="s">
        <v>988</v>
      </c>
      <c r="E437" s="3"/>
      <c r="F437" s="6">
        <f>100*SUM(AM437:AO437)/AL437</f>
      </c>
      <c r="G437" s="6">
        <f>100*SUM(AP437)/AL437</f>
      </c>
      <c r="H437" s="6">
        <f>100*SUM(AQ437)/AL437</f>
      </c>
      <c r="I437" s="6">
        <f>100*SUM(AR437:BC437)/AL437</f>
      </c>
      <c r="J437" s="3"/>
      <c r="K437" s="6">
        <v>6.45</v>
      </c>
      <c r="L437" s="6">
        <v>0.77</v>
      </c>
      <c r="M437" s="6">
        <v>4.1</v>
      </c>
      <c r="N437" s="6">
        <v>4.8</v>
      </c>
      <c r="O437" s="6"/>
      <c r="P437" s="6"/>
      <c r="Q437" s="7"/>
      <c r="R437" s="6"/>
      <c r="S437" s="6"/>
      <c r="T437" s="6"/>
      <c r="U437" s="5"/>
      <c r="V437" s="6"/>
      <c r="W437" s="6"/>
      <c r="X437" s="6"/>
      <c r="Y437" s="15"/>
      <c r="Z437" s="6"/>
      <c r="AA437" s="6"/>
      <c r="AB437" s="5"/>
      <c r="AC437" s="3"/>
      <c r="AD437" s="6">
        <v>0.049665</v>
      </c>
      <c r="AE437" s="6">
        <v>0.26444999999999996</v>
      </c>
      <c r="AF437" s="7">
        <v>30.96</v>
      </c>
      <c r="AG437" s="6">
        <v>0</v>
      </c>
      <c r="AH437" s="7">
        <v>0</v>
      </c>
      <c r="AI437" s="15">
        <v>0.314115</v>
      </c>
      <c r="AJ437" s="6">
        <v>4.869999999999999</v>
      </c>
      <c r="AK437" s="3"/>
      <c r="AL437" s="6">
        <v>106.56873830932474</v>
      </c>
      <c r="AM437" s="6">
        <v>14.5988612</v>
      </c>
      <c r="AN437" s="6">
        <v>89.03277099999998</v>
      </c>
      <c r="AO437" s="6">
        <v>2.937106109324759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0</v>
      </c>
      <c r="AW437" s="6">
        <v>0</v>
      </c>
      <c r="AX437" s="6">
        <v>0</v>
      </c>
      <c r="AY437" s="6">
        <v>0</v>
      </c>
      <c r="AZ437" s="6">
        <v>0</v>
      </c>
      <c r="BA437" s="6">
        <v>0</v>
      </c>
      <c r="BB437" s="6">
        <v>0</v>
      </c>
      <c r="BC437" s="6"/>
      <c r="BD437" s="3"/>
      <c r="BE437" s="3"/>
      <c r="BF437" s="7">
        <v>687.3683620951446</v>
      </c>
    </row>
    <row x14ac:dyDescent="0.25" r="438" customHeight="1" ht="12.75">
      <c r="A438" s="5" t="s">
        <v>635</v>
      </c>
      <c r="B438" s="3" t="s">
        <v>859</v>
      </c>
      <c r="C438" s="3" t="s">
        <v>866</v>
      </c>
      <c r="D438" s="3" t="s">
        <v>988</v>
      </c>
      <c r="E438" s="3"/>
      <c r="F438" s="6">
        <f>100*SUM(AM438:AO438)/AL438</f>
      </c>
      <c r="G438" s="6">
        <f>100*SUM(AP438)/AL438</f>
      </c>
      <c r="H438" s="6">
        <f>100*SUM(AQ438)/AL438</f>
      </c>
      <c r="I438" s="6">
        <f>100*SUM(AR438:BC438)/AL438</f>
      </c>
      <c r="J438" s="3"/>
      <c r="K438" s="6">
        <v>7.88</v>
      </c>
      <c r="L438" s="6">
        <v>1.63</v>
      </c>
      <c r="M438" s="6">
        <v>3.49</v>
      </c>
      <c r="N438" s="7">
        <v>3</v>
      </c>
      <c r="O438" s="6"/>
      <c r="P438" s="6"/>
      <c r="Q438" s="7"/>
      <c r="R438" s="6"/>
      <c r="S438" s="6"/>
      <c r="T438" s="6"/>
      <c r="U438" s="5"/>
      <c r="V438" s="6"/>
      <c r="W438" s="6"/>
      <c r="X438" s="6"/>
      <c r="Y438" s="15"/>
      <c r="Z438" s="6"/>
      <c r="AA438" s="6"/>
      <c r="AB438" s="5"/>
      <c r="AC438" s="3"/>
      <c r="AD438" s="6">
        <v>0.12844399999999997</v>
      </c>
      <c r="AE438" s="6">
        <v>0.27501200000000003</v>
      </c>
      <c r="AF438" s="7">
        <v>23.64</v>
      </c>
      <c r="AG438" s="6">
        <v>0</v>
      </c>
      <c r="AH438" s="7">
        <v>0</v>
      </c>
      <c r="AI438" s="15">
        <v>0.40345600000000004</v>
      </c>
      <c r="AJ438" s="6">
        <v>5.12</v>
      </c>
      <c r="AK438" s="3"/>
      <c r="AL438" s="6">
        <v>108.52620601832797</v>
      </c>
      <c r="AM438" s="6">
        <v>30.904082799999994</v>
      </c>
      <c r="AN438" s="6">
        <v>75.7864319</v>
      </c>
      <c r="AO438" s="6">
        <v>1.8356913183279746</v>
      </c>
      <c r="AP438" s="6">
        <v>0</v>
      </c>
      <c r="AQ438" s="6">
        <v>0</v>
      </c>
      <c r="AR438" s="6">
        <v>0</v>
      </c>
      <c r="AS438" s="6">
        <v>0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6">
        <v>0</v>
      </c>
      <c r="BA438" s="6">
        <v>0</v>
      </c>
      <c r="BB438" s="6">
        <v>0</v>
      </c>
      <c r="BC438" s="6"/>
      <c r="BD438" s="3"/>
      <c r="BE438" s="3"/>
      <c r="BF438" s="7">
        <v>855.1865034244244</v>
      </c>
    </row>
    <row x14ac:dyDescent="0.25" r="439" customHeight="1" ht="12.75">
      <c r="A439" s="5" t="s">
        <v>652</v>
      </c>
      <c r="B439" s="3" t="s">
        <v>859</v>
      </c>
      <c r="C439" s="3" t="s">
        <v>866</v>
      </c>
      <c r="D439" s="3" t="s">
        <v>988</v>
      </c>
      <c r="E439" s="3"/>
      <c r="F439" s="6">
        <f>100*SUM(AM439:AO439)/AL439</f>
      </c>
      <c r="G439" s="6">
        <f>100*SUM(AP439)/AL439</f>
      </c>
      <c r="H439" s="6">
        <f>100*SUM(AQ439)/AL439</f>
      </c>
      <c r="I439" s="6">
        <f>100*SUM(AR439:BC439)/AL439</f>
      </c>
      <c r="J439" s="3"/>
      <c r="K439" s="6">
        <v>2.1</v>
      </c>
      <c r="L439" s="6">
        <v>1.76</v>
      </c>
      <c r="M439" s="6">
        <v>4.12</v>
      </c>
      <c r="N439" s="6">
        <v>24.8</v>
      </c>
      <c r="O439" s="6"/>
      <c r="P439" s="6"/>
      <c r="Q439" s="7"/>
      <c r="R439" s="6"/>
      <c r="S439" s="6"/>
      <c r="T439" s="6"/>
      <c r="U439" s="5"/>
      <c r="V439" s="6"/>
      <c r="W439" s="6"/>
      <c r="X439" s="6"/>
      <c r="Y439" s="15"/>
      <c r="Z439" s="6"/>
      <c r="AA439" s="6"/>
      <c r="AB439" s="5"/>
      <c r="AC439" s="3"/>
      <c r="AD439" s="6">
        <v>0.03696</v>
      </c>
      <c r="AE439" s="6">
        <v>0.08652000000000001</v>
      </c>
      <c r="AF439" s="7">
        <v>52.080000000000005</v>
      </c>
      <c r="AG439" s="6">
        <v>0</v>
      </c>
      <c r="AH439" s="7">
        <v>0</v>
      </c>
      <c r="AI439" s="15">
        <v>0.12348</v>
      </c>
      <c r="AJ439" s="6">
        <v>5.88</v>
      </c>
      <c r="AK439" s="3"/>
      <c r="AL439" s="6">
        <v>138.01095103151127</v>
      </c>
      <c r="AM439" s="6">
        <v>33.3688256</v>
      </c>
      <c r="AN439" s="6">
        <v>89.4670772</v>
      </c>
      <c r="AO439" s="6">
        <v>15.175048231511257</v>
      </c>
      <c r="AP439" s="6">
        <v>0</v>
      </c>
      <c r="AQ439" s="6">
        <v>0</v>
      </c>
      <c r="AR439" s="6">
        <v>0</v>
      </c>
      <c r="AS439" s="6">
        <v>0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6">
        <v>0</v>
      </c>
      <c r="BA439" s="6">
        <v>0</v>
      </c>
      <c r="BB439" s="6">
        <v>0</v>
      </c>
      <c r="BC439" s="6"/>
      <c r="BD439" s="3"/>
      <c r="BE439" s="3"/>
      <c r="BF439" s="7">
        <v>289.82299716617365</v>
      </c>
    </row>
    <row x14ac:dyDescent="0.25" r="440" customHeight="1" ht="12.75">
      <c r="A440" s="5" t="s">
        <v>752</v>
      </c>
      <c r="B440" s="3" t="s">
        <v>859</v>
      </c>
      <c r="C440" s="3" t="s">
        <v>866</v>
      </c>
      <c r="D440" s="3" t="s">
        <v>989</v>
      </c>
      <c r="E440" s="3"/>
      <c r="F440" s="6">
        <f>100*SUM(AM440:AO440)/AL440</f>
      </c>
      <c r="G440" s="6">
        <f>100*SUM(AP440)/AL440</f>
      </c>
      <c r="H440" s="6">
        <f>100*SUM(AQ440)/AL440</f>
      </c>
      <c r="I440" s="6">
        <f>100*SUM(AR440:BC440)/AL440</f>
      </c>
      <c r="J440" s="3"/>
      <c r="K440" s="5">
        <v>3</v>
      </c>
      <c r="L440" s="6"/>
      <c r="M440" s="6">
        <v>4.5</v>
      </c>
      <c r="N440" s="5"/>
      <c r="O440" s="6"/>
      <c r="P440" s="6"/>
      <c r="Q440" s="7"/>
      <c r="R440" s="6"/>
      <c r="S440" s="6"/>
      <c r="T440" s="6"/>
      <c r="U440" s="5"/>
      <c r="V440" s="6"/>
      <c r="W440" s="6"/>
      <c r="X440" s="6"/>
      <c r="Y440" s="15"/>
      <c r="Z440" s="6"/>
      <c r="AA440" s="6"/>
      <c r="AB440" s="5"/>
      <c r="AC440" s="3"/>
      <c r="AD440" s="6">
        <v>0</v>
      </c>
      <c r="AE440" s="6">
        <v>0.135</v>
      </c>
      <c r="AF440" s="7">
        <v>0</v>
      </c>
      <c r="AG440" s="6">
        <v>0</v>
      </c>
      <c r="AH440" s="7">
        <v>0</v>
      </c>
      <c r="AI440" s="15">
        <v>0.135</v>
      </c>
      <c r="AJ440" s="6">
        <v>4.5</v>
      </c>
      <c r="AK440" s="3"/>
      <c r="AL440" s="6">
        <v>97.71889499999999</v>
      </c>
      <c r="AM440" s="6">
        <v>0</v>
      </c>
      <c r="AN440" s="6">
        <v>97.71889499999999</v>
      </c>
      <c r="AO440" s="6">
        <v>0</v>
      </c>
      <c r="AP440" s="6">
        <v>0</v>
      </c>
      <c r="AQ440" s="6">
        <v>0</v>
      </c>
      <c r="AR440" s="6">
        <v>0</v>
      </c>
      <c r="AS440" s="6">
        <v>0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0</v>
      </c>
      <c r="BC440" s="6"/>
      <c r="BD440" s="3"/>
      <c r="BE440" s="3"/>
      <c r="BF440" s="7">
        <v>293.156685</v>
      </c>
    </row>
    <row x14ac:dyDescent="0.25" r="441" customHeight="1" ht="12.75">
      <c r="A441" s="5" t="s">
        <v>705</v>
      </c>
      <c r="B441" s="3" t="s">
        <v>859</v>
      </c>
      <c r="C441" s="3" t="s">
        <v>866</v>
      </c>
      <c r="D441" s="3" t="s">
        <v>988</v>
      </c>
      <c r="E441" s="3"/>
      <c r="F441" s="6">
        <f>100*SUM(AM441:AO441)/AL441</f>
      </c>
      <c r="G441" s="6">
        <f>100*SUM(AP441)/AL441</f>
      </c>
      <c r="H441" s="6">
        <f>100*SUM(AQ441)/AL441</f>
      </c>
      <c r="I441" s="6">
        <f>100*SUM(AR441:BC441)/AL441</f>
      </c>
      <c r="J441" s="3"/>
      <c r="K441" s="6">
        <v>5.8</v>
      </c>
      <c r="L441" s="6">
        <v>0.98</v>
      </c>
      <c r="M441" s="6">
        <v>3.42</v>
      </c>
      <c r="N441" s="6">
        <v>3.4</v>
      </c>
      <c r="O441" s="6"/>
      <c r="P441" s="6"/>
      <c r="Q441" s="7"/>
      <c r="R441" s="6"/>
      <c r="S441" s="6"/>
      <c r="T441" s="6"/>
      <c r="U441" s="5"/>
      <c r="V441" s="6"/>
      <c r="W441" s="6"/>
      <c r="X441" s="6"/>
      <c r="Y441" s="15"/>
      <c r="Z441" s="6"/>
      <c r="AA441" s="6"/>
      <c r="AB441" s="5"/>
      <c r="AC441" s="3"/>
      <c r="AD441" s="6">
        <v>0.05684</v>
      </c>
      <c r="AE441" s="6">
        <v>0.19835999999999998</v>
      </c>
      <c r="AF441" s="7">
        <v>19.72</v>
      </c>
      <c r="AG441" s="6">
        <v>0</v>
      </c>
      <c r="AH441" s="7">
        <v>0</v>
      </c>
      <c r="AI441" s="15">
        <v>0.2552</v>
      </c>
      <c r="AJ441" s="6">
        <v>4.4</v>
      </c>
      <c r="AK441" s="3"/>
      <c r="AL441" s="6">
        <v>94.9271791607717</v>
      </c>
      <c r="AM441" s="6">
        <v>18.5803688</v>
      </c>
      <c r="AN441" s="6">
        <v>74.2663602</v>
      </c>
      <c r="AO441" s="6">
        <v>2.0804501607717043</v>
      </c>
      <c r="AP441" s="6">
        <v>0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0</v>
      </c>
      <c r="AZ441" s="6">
        <v>0</v>
      </c>
      <c r="BA441" s="6">
        <v>0</v>
      </c>
      <c r="BB441" s="6">
        <v>0</v>
      </c>
      <c r="BC441" s="6"/>
      <c r="BD441" s="3"/>
      <c r="BE441" s="3"/>
      <c r="BF441" s="7">
        <v>550.5776391324758</v>
      </c>
    </row>
    <row x14ac:dyDescent="0.25" r="442" customHeight="1" ht="12.75">
      <c r="A442" s="5" t="s">
        <v>255</v>
      </c>
      <c r="B442" s="3" t="s">
        <v>859</v>
      </c>
      <c r="C442" s="3" t="s">
        <v>866</v>
      </c>
      <c r="D442" s="3" t="s">
        <v>989</v>
      </c>
      <c r="E442" s="3"/>
      <c r="F442" s="6">
        <f>100*SUM(AM442:AO442)/AL442</f>
      </c>
      <c r="G442" s="6">
        <f>100*SUM(AP442)/AL442</f>
      </c>
      <c r="H442" s="6">
        <f>100*SUM(AQ442)/AL442</f>
      </c>
      <c r="I442" s="6">
        <f>100*SUM(AR442:BC442)/AL442</f>
      </c>
      <c r="J442" s="3"/>
      <c r="K442" s="6">
        <v>0.1</v>
      </c>
      <c r="L442" s="6">
        <v>7.5</v>
      </c>
      <c r="M442" s="7">
        <v>4</v>
      </c>
      <c r="N442" s="5"/>
      <c r="O442" s="6"/>
      <c r="P442" s="6"/>
      <c r="Q442" s="7"/>
      <c r="R442" s="6"/>
      <c r="S442" s="6"/>
      <c r="T442" s="6"/>
      <c r="U442" s="5"/>
      <c r="V442" s="6"/>
      <c r="W442" s="6"/>
      <c r="X442" s="6"/>
      <c r="Y442" s="15"/>
      <c r="Z442" s="6"/>
      <c r="AA442" s="6"/>
      <c r="AB442" s="5"/>
      <c r="AC442" s="3"/>
      <c r="AD442" s="6">
        <v>0.0075</v>
      </c>
      <c r="AE442" s="6">
        <v>0.004</v>
      </c>
      <c r="AF442" s="7">
        <v>0</v>
      </c>
      <c r="AG442" s="6">
        <v>0</v>
      </c>
      <c r="AH442" s="7">
        <v>0</v>
      </c>
      <c r="AI442" s="15">
        <v>0.0115</v>
      </c>
      <c r="AJ442" s="6">
        <v>11.5</v>
      </c>
      <c r="AK442" s="3"/>
      <c r="AL442" s="6">
        <v>229.05793999999997</v>
      </c>
      <c r="AM442" s="6">
        <v>142.1967</v>
      </c>
      <c r="AN442" s="6">
        <v>86.86124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0</v>
      </c>
      <c r="BB442" s="6">
        <v>0</v>
      </c>
      <c r="BC442" s="6"/>
      <c r="BD442" s="3"/>
      <c r="BE442" s="3"/>
      <c r="BF442" s="7">
        <v>22.905794</v>
      </c>
    </row>
    <row x14ac:dyDescent="0.25" r="443" customHeight="1" ht="12.75">
      <c r="A443" s="5" t="s">
        <v>637</v>
      </c>
      <c r="B443" s="3" t="s">
        <v>859</v>
      </c>
      <c r="C443" s="3" t="s">
        <v>866</v>
      </c>
      <c r="D443" s="3" t="s">
        <v>989</v>
      </c>
      <c r="E443" s="3"/>
      <c r="F443" s="6">
        <f>100*SUM(AM443:AO443)/AL443</f>
      </c>
      <c r="G443" s="6">
        <f>100*SUM(AP443)/AL443</f>
      </c>
      <c r="H443" s="6">
        <f>100*SUM(AQ443)/AL443</f>
      </c>
      <c r="I443" s="6">
        <f>100*SUM(AR443:BC443)/AL443</f>
      </c>
      <c r="J443" s="3"/>
      <c r="K443" s="6">
        <v>3.3</v>
      </c>
      <c r="L443" s="6">
        <v>4.13</v>
      </c>
      <c r="M443" s="6">
        <v>1.88</v>
      </c>
      <c r="N443" s="5"/>
      <c r="O443" s="6"/>
      <c r="P443" s="6"/>
      <c r="Q443" s="7"/>
      <c r="R443" s="6"/>
      <c r="S443" s="6"/>
      <c r="T443" s="6"/>
      <c r="U443" s="5"/>
      <c r="V443" s="6"/>
      <c r="W443" s="6"/>
      <c r="X443" s="6"/>
      <c r="Y443" s="15"/>
      <c r="Z443" s="6"/>
      <c r="AA443" s="6"/>
      <c r="AB443" s="5"/>
      <c r="AC443" s="3"/>
      <c r="AD443" s="6">
        <v>0.13629</v>
      </c>
      <c r="AE443" s="6">
        <v>0.06204</v>
      </c>
      <c r="AF443" s="7">
        <v>0</v>
      </c>
      <c r="AG443" s="6">
        <v>0</v>
      </c>
      <c r="AH443" s="7">
        <v>0</v>
      </c>
      <c r="AI443" s="15">
        <v>0.19833</v>
      </c>
      <c r="AJ443" s="6">
        <v>6.01</v>
      </c>
      <c r="AK443" s="3"/>
      <c r="AL443" s="6">
        <v>119.12776559999999</v>
      </c>
      <c r="AM443" s="6">
        <v>78.3029828</v>
      </c>
      <c r="AN443" s="6">
        <v>40.824782799999994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0</v>
      </c>
      <c r="BC443" s="6"/>
      <c r="BD443" s="3"/>
      <c r="BE443" s="3"/>
      <c r="BF443" s="7">
        <v>393.1216264799999</v>
      </c>
    </row>
    <row x14ac:dyDescent="0.25" r="444" customHeight="1" ht="12.75">
      <c r="A444" s="5" t="s">
        <v>391</v>
      </c>
      <c r="B444" s="3" t="s">
        <v>859</v>
      </c>
      <c r="C444" s="3" t="s">
        <v>866</v>
      </c>
      <c r="D444" s="3" t="s">
        <v>989</v>
      </c>
      <c r="E444" s="3"/>
      <c r="F444" s="6">
        <f>100*SUM(AM444:AO444)/AL444</f>
      </c>
      <c r="G444" s="6">
        <f>100*SUM(AP444)/AL444</f>
      </c>
      <c r="H444" s="6">
        <f>100*SUM(AQ444)/AL444</f>
      </c>
      <c r="I444" s="6">
        <f>100*SUM(AR444:BC444)/AL444</f>
      </c>
      <c r="J444" s="3"/>
      <c r="K444" s="7">
        <v>7</v>
      </c>
      <c r="L444" s="6">
        <v>1.4</v>
      </c>
      <c r="M444" s="6">
        <v>7.6</v>
      </c>
      <c r="N444" s="5"/>
      <c r="O444" s="6"/>
      <c r="P444" s="6"/>
      <c r="Q444" s="7"/>
      <c r="R444" s="6"/>
      <c r="S444" s="6"/>
      <c r="T444" s="6"/>
      <c r="U444" s="5"/>
      <c r="V444" s="6"/>
      <c r="W444" s="6"/>
      <c r="X444" s="6"/>
      <c r="Y444" s="15"/>
      <c r="Z444" s="6"/>
      <c r="AA444" s="6"/>
      <c r="AB444" s="5"/>
      <c r="AC444" s="3"/>
      <c r="AD444" s="6">
        <v>0.09799999999999999</v>
      </c>
      <c r="AE444" s="6">
        <v>0.5319999999999999</v>
      </c>
      <c r="AF444" s="7">
        <v>0</v>
      </c>
      <c r="AG444" s="6">
        <v>0</v>
      </c>
      <c r="AH444" s="7">
        <v>0</v>
      </c>
      <c r="AI444" s="15">
        <v>0.6299999999999999</v>
      </c>
      <c r="AJ444" s="6">
        <v>9</v>
      </c>
      <c r="AK444" s="3"/>
      <c r="AL444" s="6">
        <v>191.57974</v>
      </c>
      <c r="AM444" s="6">
        <v>26.543383999999996</v>
      </c>
      <c r="AN444" s="6">
        <v>165.03635599999998</v>
      </c>
      <c r="AO444" s="6">
        <v>0</v>
      </c>
      <c r="AP444" s="6">
        <v>0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0</v>
      </c>
      <c r="BC444" s="6"/>
      <c r="BD444" s="3"/>
      <c r="BE444" s="3"/>
      <c r="BF444" s="7">
        <v>1341.05818</v>
      </c>
    </row>
    <row x14ac:dyDescent="0.25" r="445" customHeight="1" ht="12.75">
      <c r="A445" s="5" t="s">
        <v>239</v>
      </c>
      <c r="B445" s="3" t="s">
        <v>859</v>
      </c>
      <c r="C445" s="3" t="s">
        <v>866</v>
      </c>
      <c r="D445" s="3" t="s">
        <v>989</v>
      </c>
      <c r="E445" s="3"/>
      <c r="F445" s="6">
        <f>100*SUM(AM445:AO445)/AL445</f>
      </c>
      <c r="G445" s="6">
        <f>100*SUM(AP445)/AL445</f>
      </c>
      <c r="H445" s="6">
        <f>100*SUM(AQ445)/AL445</f>
      </c>
      <c r="I445" s="6">
        <f>100*SUM(AR445:BC445)/AL445</f>
      </c>
      <c r="J445" s="3"/>
      <c r="K445" s="5">
        <v>38</v>
      </c>
      <c r="L445" s="6">
        <v>2.33</v>
      </c>
      <c r="M445" s="6">
        <v>3.52</v>
      </c>
      <c r="N445" s="5"/>
      <c r="O445" s="6"/>
      <c r="P445" s="6"/>
      <c r="Q445" s="7"/>
      <c r="R445" s="6"/>
      <c r="S445" s="6"/>
      <c r="T445" s="6"/>
      <c r="U445" s="5"/>
      <c r="V445" s="6"/>
      <c r="W445" s="6"/>
      <c r="X445" s="6"/>
      <c r="Y445" s="15"/>
      <c r="Z445" s="6"/>
      <c r="AA445" s="6"/>
      <c r="AB445" s="5"/>
      <c r="AC445" s="3"/>
      <c r="AD445" s="6">
        <v>0.8854000000000001</v>
      </c>
      <c r="AE445" s="6">
        <v>1.3376</v>
      </c>
      <c r="AF445" s="7">
        <v>0</v>
      </c>
      <c r="AG445" s="6">
        <v>0</v>
      </c>
      <c r="AH445" s="7">
        <v>0</v>
      </c>
      <c r="AI445" s="15">
        <v>2.223</v>
      </c>
      <c r="AJ445" s="6">
        <v>5.85</v>
      </c>
      <c r="AK445" s="3"/>
      <c r="AL445" s="6">
        <v>120.613666</v>
      </c>
      <c r="AM445" s="6">
        <v>44.1757748</v>
      </c>
      <c r="AN445" s="6">
        <v>76.4378912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/>
      <c r="BD445" s="3"/>
      <c r="BE445" s="3"/>
      <c r="BF445" s="7">
        <v>4583.319308</v>
      </c>
    </row>
    <row x14ac:dyDescent="0.25" r="446" customHeight="1" ht="12.75">
      <c r="A446" s="5" t="s">
        <v>21</v>
      </c>
      <c r="B446" s="3" t="s">
        <v>859</v>
      </c>
      <c r="C446" s="3" t="s">
        <v>866</v>
      </c>
      <c r="D446" s="3" t="s">
        <v>989</v>
      </c>
      <c r="E446" s="3"/>
      <c r="F446" s="6">
        <f>100*SUM(AM446:AO446)/AL446</f>
      </c>
      <c r="G446" s="6">
        <f>100*SUM(AP446)/AL446</f>
      </c>
      <c r="H446" s="6">
        <f>100*SUM(AQ446)/AL446</f>
      </c>
      <c r="I446" s="6">
        <f>100*SUM(AR446:BC446)/AL446</f>
      </c>
      <c r="J446" s="3"/>
      <c r="K446" s="23">
        <v>2.17704</v>
      </c>
      <c r="L446" s="6">
        <v>6.5</v>
      </c>
      <c r="M446" s="7">
        <v>18.5</v>
      </c>
      <c r="N446" s="6">
        <v>68.5</v>
      </c>
      <c r="O446" s="6"/>
      <c r="P446" s="6"/>
      <c r="Q446" s="7"/>
      <c r="R446" s="6"/>
      <c r="S446" s="6"/>
      <c r="T446" s="6"/>
      <c r="U446" s="5"/>
      <c r="V446" s="6"/>
      <c r="W446" s="6"/>
      <c r="X446" s="6"/>
      <c r="Y446" s="15"/>
      <c r="Z446" s="6"/>
      <c r="AA446" s="6"/>
      <c r="AB446" s="5"/>
      <c r="AC446" s="3"/>
      <c r="AD446" s="6">
        <v>0.14150759999999998</v>
      </c>
      <c r="AE446" s="6">
        <v>0.40275239999999995</v>
      </c>
      <c r="AF446" s="7">
        <v>149.12724</v>
      </c>
      <c r="AG446" s="6">
        <v>0</v>
      </c>
      <c r="AH446" s="7">
        <v>0</v>
      </c>
      <c r="AI446" s="15">
        <v>0.54426</v>
      </c>
      <c r="AJ446" s="6">
        <v>25</v>
      </c>
      <c r="AK446" s="3"/>
      <c r="AL446" s="6">
        <v>566.8853267684888</v>
      </c>
      <c r="AM446" s="6">
        <v>123.23714</v>
      </c>
      <c r="AN446" s="6">
        <v>401.733235</v>
      </c>
      <c r="AO446" s="6">
        <v>41.91495176848875</v>
      </c>
      <c r="AP446" s="6">
        <v>0</v>
      </c>
      <c r="AQ446" s="6">
        <v>0</v>
      </c>
      <c r="AR446" s="6">
        <v>0</v>
      </c>
      <c r="AS446" s="6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/>
      <c r="BD446" s="3"/>
      <c r="BE446" s="3"/>
      <c r="BF446" s="7">
        <v>1234.1320317880707</v>
      </c>
    </row>
    <row x14ac:dyDescent="0.25" r="447" customHeight="1" ht="12.75">
      <c r="A447" s="5" t="s">
        <v>651</v>
      </c>
      <c r="B447" s="3" t="s">
        <v>859</v>
      </c>
      <c r="C447" s="3" t="s">
        <v>866</v>
      </c>
      <c r="D447" s="3"/>
      <c r="E447" s="3"/>
      <c r="F447" s="6">
        <f>100*SUM(AM447:AO447)/AL447</f>
      </c>
      <c r="G447" s="6">
        <f>100*SUM(AP447)/AL447</f>
      </c>
      <c r="H447" s="6">
        <f>100*SUM(AQ447)/AL447</f>
      </c>
      <c r="I447" s="6">
        <f>100*SUM(AR447:BC447)/AL447</f>
      </c>
      <c r="J447" s="3"/>
      <c r="K447" s="5">
        <v>7</v>
      </c>
      <c r="L447" s="6">
        <v>4.7</v>
      </c>
      <c r="M447" s="6">
        <v>0.6</v>
      </c>
      <c r="N447" s="5">
        <v>30</v>
      </c>
      <c r="O447" s="6"/>
      <c r="P447" s="6"/>
      <c r="Q447" s="7"/>
      <c r="R447" s="6"/>
      <c r="S447" s="6"/>
      <c r="T447" s="6"/>
      <c r="U447" s="5"/>
      <c r="V447" s="6"/>
      <c r="W447" s="6"/>
      <c r="X447" s="6"/>
      <c r="Y447" s="15"/>
      <c r="Z447" s="6"/>
      <c r="AA447" s="6"/>
      <c r="AB447" s="5"/>
      <c r="AC447" s="3"/>
      <c r="AD447" s="6">
        <v>0.32899999999999996</v>
      </c>
      <c r="AE447" s="6">
        <v>0.042</v>
      </c>
      <c r="AF447" s="7">
        <v>210</v>
      </c>
      <c r="AG447" s="6">
        <v>0</v>
      </c>
      <c r="AH447" s="7">
        <v>0</v>
      </c>
      <c r="AI447" s="15">
        <v>0.37099999999999994</v>
      </c>
      <c r="AJ447" s="6">
        <v>5.3</v>
      </c>
      <c r="AK447" s="3"/>
      <c r="AL447" s="6">
        <v>120.49603118327974</v>
      </c>
      <c r="AM447" s="6">
        <v>89.109932</v>
      </c>
      <c r="AN447" s="6">
        <v>13.029186</v>
      </c>
      <c r="AO447" s="6">
        <v>18.356913183279747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/>
      <c r="BD447" s="3"/>
      <c r="BE447" s="3"/>
      <c r="BF447" s="7">
        <v>843.4722182829582</v>
      </c>
    </row>
    <row x14ac:dyDescent="0.25" r="448" customHeight="1" ht="12.75">
      <c r="A448" s="5" t="s">
        <v>353</v>
      </c>
      <c r="B448" s="3" t="s">
        <v>859</v>
      </c>
      <c r="C448" s="3" t="s">
        <v>866</v>
      </c>
      <c r="D448" s="3" t="s">
        <v>989</v>
      </c>
      <c r="E448" s="3"/>
      <c r="F448" s="6">
        <f>100*SUM(AM448:AO448)/AL448</f>
      </c>
      <c r="G448" s="6">
        <f>100*SUM(AP448)/AL448</f>
      </c>
      <c r="H448" s="6">
        <f>100*SUM(AQ448)/AL448</f>
      </c>
      <c r="I448" s="6">
        <f>100*SUM(AR448:BC448)/AL448</f>
      </c>
      <c r="J448" s="3"/>
      <c r="K448" s="6">
        <v>3.7</v>
      </c>
      <c r="L448" s="6">
        <v>1.1</v>
      </c>
      <c r="M448" s="6">
        <v>8.8</v>
      </c>
      <c r="N448" s="5">
        <v>10</v>
      </c>
      <c r="O448" s="6"/>
      <c r="P448" s="6"/>
      <c r="Q448" s="7"/>
      <c r="R448" s="6"/>
      <c r="S448" s="6"/>
      <c r="T448" s="6"/>
      <c r="U448" s="5"/>
      <c r="V448" s="6"/>
      <c r="W448" s="6"/>
      <c r="X448" s="6"/>
      <c r="Y448" s="15"/>
      <c r="Z448" s="6"/>
      <c r="AA448" s="6"/>
      <c r="AB448" s="5"/>
      <c r="AC448" s="3"/>
      <c r="AD448" s="6">
        <v>0.0407</v>
      </c>
      <c r="AE448" s="6">
        <v>0.3256</v>
      </c>
      <c r="AF448" s="7">
        <v>37</v>
      </c>
      <c r="AG448" s="6">
        <v>0</v>
      </c>
      <c r="AH448" s="7">
        <v>0</v>
      </c>
      <c r="AI448" s="15">
        <v>0.3663</v>
      </c>
      <c r="AJ448" s="6">
        <v>9.9</v>
      </c>
      <c r="AK448" s="3"/>
      <c r="AL448" s="6">
        <v>218.06921506109325</v>
      </c>
      <c r="AM448" s="6">
        <v>20.855516</v>
      </c>
      <c r="AN448" s="6">
        <v>191.094728</v>
      </c>
      <c r="AO448" s="6">
        <v>6.118971061093249</v>
      </c>
      <c r="AP448" s="6">
        <v>0</v>
      </c>
      <c r="AQ448" s="6">
        <v>0</v>
      </c>
      <c r="AR448" s="6">
        <v>0</v>
      </c>
      <c r="AS448" s="6">
        <v>0</v>
      </c>
      <c r="AT448" s="6">
        <v>0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/>
      <c r="BD448" s="3"/>
      <c r="BE448" s="3"/>
      <c r="BF448" s="7">
        <v>806.856095726045</v>
      </c>
    </row>
    <row x14ac:dyDescent="0.25" r="449" customHeight="1" ht="12.75">
      <c r="A449" s="5" t="s">
        <v>144</v>
      </c>
      <c r="B449" s="3" t="s">
        <v>859</v>
      </c>
      <c r="C449" s="3" t="s">
        <v>866</v>
      </c>
      <c r="D449" s="3" t="s">
        <v>988</v>
      </c>
      <c r="E449" s="3"/>
      <c r="F449" s="6">
        <f>100*SUM(AM449:AO449)/AL449</f>
      </c>
      <c r="G449" s="6">
        <f>100*SUM(AP449)/AL449</f>
      </c>
      <c r="H449" s="6">
        <f>100*SUM(AQ449)/AL449</f>
      </c>
      <c r="I449" s="6">
        <f>100*SUM(AR449:BC449)/AL449</f>
      </c>
      <c r="J449" s="3"/>
      <c r="K449" s="6">
        <v>2.44</v>
      </c>
      <c r="L449" s="7">
        <v>3.1</v>
      </c>
      <c r="M449" s="6">
        <v>11.9</v>
      </c>
      <c r="N449" s="5"/>
      <c r="O449" s="6"/>
      <c r="P449" s="6"/>
      <c r="Q449" s="7"/>
      <c r="R449" s="6"/>
      <c r="S449" s="6"/>
      <c r="T449" s="6"/>
      <c r="U449" s="5"/>
      <c r="V449" s="6"/>
      <c r="W449" s="6"/>
      <c r="X449" s="6"/>
      <c r="Y449" s="15"/>
      <c r="Z449" s="6"/>
      <c r="AA449" s="6"/>
      <c r="AB449" s="5"/>
      <c r="AC449" s="3"/>
      <c r="AD449" s="6">
        <v>0.07564</v>
      </c>
      <c r="AE449" s="6">
        <v>0.29036</v>
      </c>
      <c r="AF449" s="7">
        <v>0</v>
      </c>
      <c r="AG449" s="6">
        <v>0</v>
      </c>
      <c r="AH449" s="7">
        <v>0</v>
      </c>
      <c r="AI449" s="15">
        <v>0.366</v>
      </c>
      <c r="AJ449" s="6">
        <v>15</v>
      </c>
      <c r="AK449" s="3"/>
      <c r="AL449" s="6">
        <v>317.186825</v>
      </c>
      <c r="AM449" s="6">
        <v>58.774635999999994</v>
      </c>
      <c r="AN449" s="6">
        <v>258.412189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/>
      <c r="BD449" s="3"/>
      <c r="BE449" s="3"/>
      <c r="BF449" s="7">
        <v>773.935853</v>
      </c>
    </row>
    <row x14ac:dyDescent="0.25" r="450" customHeight="1" ht="12.75">
      <c r="A450" s="5" t="s">
        <v>43</v>
      </c>
      <c r="B450" s="3" t="s">
        <v>859</v>
      </c>
      <c r="C450" s="3" t="s">
        <v>866</v>
      </c>
      <c r="D450" s="3" t="s">
        <v>989</v>
      </c>
      <c r="E450" s="3"/>
      <c r="F450" s="6">
        <f>100*SUM(AM450:AO450)/AL450</f>
      </c>
      <c r="G450" s="6">
        <f>100*SUM(AP450)/AL450</f>
      </c>
      <c r="H450" s="6">
        <f>100*SUM(AQ450)/AL450</f>
      </c>
      <c r="I450" s="6">
        <f>100*SUM(AR450:BC450)/AL450</f>
      </c>
      <c r="J450" s="3"/>
      <c r="K450" s="6">
        <v>1.6</v>
      </c>
      <c r="L450" s="6">
        <v>3.6</v>
      </c>
      <c r="M450" s="6">
        <v>18.4</v>
      </c>
      <c r="N450" s="5"/>
      <c r="O450" s="6"/>
      <c r="P450" s="6"/>
      <c r="Q450" s="7"/>
      <c r="R450" s="6"/>
      <c r="S450" s="6"/>
      <c r="T450" s="6"/>
      <c r="U450" s="5"/>
      <c r="V450" s="6"/>
      <c r="W450" s="6"/>
      <c r="X450" s="6"/>
      <c r="Y450" s="15"/>
      <c r="Z450" s="6"/>
      <c r="AA450" s="6"/>
      <c r="AB450" s="5"/>
      <c r="AC450" s="3"/>
      <c r="AD450" s="6">
        <v>0.057600000000000005</v>
      </c>
      <c r="AE450" s="6">
        <v>0.2944</v>
      </c>
      <c r="AF450" s="7">
        <v>0</v>
      </c>
      <c r="AG450" s="6">
        <v>0</v>
      </c>
      <c r="AH450" s="7">
        <v>0</v>
      </c>
      <c r="AI450" s="15">
        <v>0.352</v>
      </c>
      <c r="AJ450" s="6">
        <v>22</v>
      </c>
      <c r="AK450" s="3"/>
      <c r="AL450" s="6">
        <v>467.81611999999996</v>
      </c>
      <c r="AM450" s="6">
        <v>68.254416</v>
      </c>
      <c r="AN450" s="6">
        <v>399.56170399999996</v>
      </c>
      <c r="AO450" s="6">
        <v>0</v>
      </c>
      <c r="AP450" s="6">
        <v>0</v>
      </c>
      <c r="AQ450" s="6">
        <v>0</v>
      </c>
      <c r="AR450" s="6">
        <v>0</v>
      </c>
      <c r="AS450" s="6">
        <v>0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6">
        <v>0</v>
      </c>
      <c r="BA450" s="6">
        <v>0</v>
      </c>
      <c r="BB450" s="6">
        <v>0</v>
      </c>
      <c r="BC450" s="6"/>
      <c r="BD450" s="3"/>
      <c r="BE450" s="3"/>
      <c r="BF450" s="7">
        <v>748.5057919999999</v>
      </c>
    </row>
    <row x14ac:dyDescent="0.25" r="451" customHeight="1" ht="12.75">
      <c r="A451" s="5" t="s">
        <v>299</v>
      </c>
      <c r="B451" s="3" t="s">
        <v>859</v>
      </c>
      <c r="C451" s="3" t="s">
        <v>866</v>
      </c>
      <c r="D451" s="3" t="s">
        <v>988</v>
      </c>
      <c r="E451" s="3"/>
      <c r="F451" s="6">
        <f>100*SUM(AM451:AO451)/AL451</f>
      </c>
      <c r="G451" s="6">
        <f>100*SUM(AP451)/AL451</f>
      </c>
      <c r="H451" s="6">
        <f>100*SUM(AQ451)/AL451</f>
      </c>
      <c r="I451" s="6">
        <f>100*SUM(AR451:BC451)/AL451</f>
      </c>
      <c r="J451" s="3"/>
      <c r="K451" s="23">
        <v>2.605826</v>
      </c>
      <c r="L451" s="6">
        <v>5.1</v>
      </c>
      <c r="M451" s="6">
        <v>5.6</v>
      </c>
      <c r="N451" s="6">
        <v>37.7</v>
      </c>
      <c r="O451" s="6"/>
      <c r="P451" s="6"/>
      <c r="Q451" s="7"/>
      <c r="R451" s="6"/>
      <c r="S451" s="6"/>
      <c r="T451" s="6"/>
      <c r="U451" s="5"/>
      <c r="V451" s="6"/>
      <c r="W451" s="6"/>
      <c r="X451" s="6"/>
      <c r="Y451" s="15"/>
      <c r="Z451" s="6"/>
      <c r="AA451" s="6"/>
      <c r="AB451" s="5"/>
      <c r="AC451" s="3"/>
      <c r="AD451" s="6">
        <v>0.132897126</v>
      </c>
      <c r="AE451" s="6">
        <v>0.14592625599999998</v>
      </c>
      <c r="AF451" s="7">
        <v>98.23964020000001</v>
      </c>
      <c r="AG451" s="6">
        <v>0</v>
      </c>
      <c r="AH451" s="7">
        <v>0</v>
      </c>
      <c r="AI451" s="15">
        <v>0.278823382</v>
      </c>
      <c r="AJ451" s="6">
        <v>10.7</v>
      </c>
      <c r="AK451" s="3"/>
      <c r="AL451" s="6">
        <v>241.36801290032153</v>
      </c>
      <c r="AM451" s="6">
        <v>96.693756</v>
      </c>
      <c r="AN451" s="6">
        <v>121.60573599999998</v>
      </c>
      <c r="AO451" s="6">
        <v>23.06852090032155</v>
      </c>
      <c r="AP451" s="6">
        <v>0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0</v>
      </c>
      <c r="BC451" s="6"/>
      <c r="BD451" s="3"/>
      <c r="BE451" s="3"/>
      <c r="BF451" s="7">
        <v>628.9630435839932</v>
      </c>
    </row>
    <row x14ac:dyDescent="0.25" r="452" customHeight="1" ht="12.75">
      <c r="A452" s="5" t="s">
        <v>702</v>
      </c>
      <c r="B452" s="3" t="s">
        <v>859</v>
      </c>
      <c r="C452" s="3" t="s">
        <v>866</v>
      </c>
      <c r="D452" s="3" t="s">
        <v>988</v>
      </c>
      <c r="E452" s="3"/>
      <c r="F452" s="6">
        <f>100*SUM(AM452:AO452)/AL452</f>
      </c>
      <c r="G452" s="6">
        <f>100*SUM(AP452)/AL452</f>
      </c>
      <c r="H452" s="6">
        <f>100*SUM(AQ452)/AL452</f>
      </c>
      <c r="I452" s="6">
        <f>100*SUM(AR452:BC452)/AL452</f>
      </c>
      <c r="J452" s="3"/>
      <c r="K452" s="6">
        <v>6.5</v>
      </c>
      <c r="L452" s="6"/>
      <c r="M452" s="5">
        <v>4</v>
      </c>
      <c r="N452" s="5"/>
      <c r="O452" s="6"/>
      <c r="P452" s="6"/>
      <c r="Q452" s="7"/>
      <c r="R452" s="6"/>
      <c r="S452" s="6"/>
      <c r="T452" s="6"/>
      <c r="U452" s="5"/>
      <c r="V452" s="6"/>
      <c r="W452" s="6"/>
      <c r="X452" s="6"/>
      <c r="Y452" s="15"/>
      <c r="Z452" s="6"/>
      <c r="AA452" s="6"/>
      <c r="AB452" s="5"/>
      <c r="AC452" s="3"/>
      <c r="AD452" s="6">
        <v>0</v>
      </c>
      <c r="AE452" s="6">
        <v>0.26</v>
      </c>
      <c r="AF452" s="7">
        <v>0</v>
      </c>
      <c r="AG452" s="6">
        <v>0</v>
      </c>
      <c r="AH452" s="7">
        <v>0</v>
      </c>
      <c r="AI452" s="15">
        <v>0.26</v>
      </c>
      <c r="AJ452" s="6">
        <v>4</v>
      </c>
      <c r="AK452" s="3"/>
      <c r="AL452" s="6">
        <v>86.86124</v>
      </c>
      <c r="AM452" s="6">
        <v>0</v>
      </c>
      <c r="AN452" s="6">
        <v>86.86124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/>
      <c r="BD452" s="3"/>
      <c r="BE452" s="3"/>
      <c r="BF452" s="7">
        <v>564.5980599999999</v>
      </c>
    </row>
    <row x14ac:dyDescent="0.25" r="453" customHeight="1" ht="12.75">
      <c r="A453" s="5" t="s">
        <v>568</v>
      </c>
      <c r="B453" s="3" t="s">
        <v>859</v>
      </c>
      <c r="C453" s="3" t="s">
        <v>866</v>
      </c>
      <c r="D453" s="3" t="s">
        <v>989</v>
      </c>
      <c r="E453" s="3"/>
      <c r="F453" s="6">
        <f>100*SUM(AM453:AO453)/AL453</f>
      </c>
      <c r="G453" s="6">
        <f>100*SUM(AP453)/AL453</f>
      </c>
      <c r="H453" s="6">
        <f>100*SUM(AQ453)/AL453</f>
      </c>
      <c r="I453" s="6">
        <f>100*SUM(AR453:BC453)/AL453</f>
      </c>
      <c r="J453" s="3"/>
      <c r="K453" s="6">
        <v>3.6</v>
      </c>
      <c r="L453" s="7">
        <v>2.3000000000000003</v>
      </c>
      <c r="M453" s="7">
        <v>4.6</v>
      </c>
      <c r="N453" s="5"/>
      <c r="O453" s="6"/>
      <c r="P453" s="6"/>
      <c r="Q453" s="7"/>
      <c r="R453" s="6"/>
      <c r="S453" s="6"/>
      <c r="T453" s="6"/>
      <c r="U453" s="5"/>
      <c r="V453" s="6"/>
      <c r="W453" s="6"/>
      <c r="X453" s="6"/>
      <c r="Y453" s="15"/>
      <c r="Z453" s="6"/>
      <c r="AA453" s="6"/>
      <c r="AB453" s="5"/>
      <c r="AC453" s="3"/>
      <c r="AD453" s="6">
        <v>0.08280000000000001</v>
      </c>
      <c r="AE453" s="6">
        <v>0.1656</v>
      </c>
      <c r="AF453" s="7">
        <v>0</v>
      </c>
      <c r="AG453" s="6">
        <v>0</v>
      </c>
      <c r="AH453" s="7">
        <v>0</v>
      </c>
      <c r="AI453" s="15">
        <v>0.2484</v>
      </c>
      <c r="AJ453" s="6">
        <v>6.9</v>
      </c>
      <c r="AK453" s="3"/>
      <c r="AL453" s="6">
        <v>143.497414</v>
      </c>
      <c r="AM453" s="6">
        <v>43.606988</v>
      </c>
      <c r="AN453" s="6">
        <v>99.89042599999999</v>
      </c>
      <c r="AO453" s="6">
        <v>0</v>
      </c>
      <c r="AP453" s="6">
        <v>0</v>
      </c>
      <c r="AQ453" s="6">
        <v>0</v>
      </c>
      <c r="AR453" s="6">
        <v>0</v>
      </c>
      <c r="AS453" s="6">
        <v>0</v>
      </c>
      <c r="AT453" s="6">
        <v>0</v>
      </c>
      <c r="AU453" s="6">
        <v>0</v>
      </c>
      <c r="AV453" s="6">
        <v>0</v>
      </c>
      <c r="AW453" s="6">
        <v>0</v>
      </c>
      <c r="AX453" s="6">
        <v>0</v>
      </c>
      <c r="AY453" s="6">
        <v>0</v>
      </c>
      <c r="AZ453" s="6">
        <v>0</v>
      </c>
      <c r="BA453" s="6">
        <v>0</v>
      </c>
      <c r="BB453" s="6">
        <v>0</v>
      </c>
      <c r="BC453" s="6"/>
      <c r="BD453" s="3"/>
      <c r="BE453" s="3"/>
      <c r="BF453" s="7">
        <v>516.5906904</v>
      </c>
    </row>
    <row x14ac:dyDescent="0.25" r="454" customHeight="1" ht="12.75">
      <c r="A454" s="5" t="s">
        <v>64</v>
      </c>
      <c r="B454" s="3" t="s">
        <v>859</v>
      </c>
      <c r="C454" s="3" t="s">
        <v>866</v>
      </c>
      <c r="D454" s="3" t="s">
        <v>988</v>
      </c>
      <c r="E454" s="3"/>
      <c r="F454" s="6">
        <f>100*SUM(AM454:AO454)/AL454</f>
      </c>
      <c r="G454" s="6">
        <f>100*SUM(AP454)/AL454</f>
      </c>
      <c r="H454" s="6">
        <f>100*SUM(AQ454)/AL454</f>
      </c>
      <c r="I454" s="6">
        <f>100*SUM(AR454:BC454)/AL454</f>
      </c>
      <c r="J454" s="3"/>
      <c r="K454" s="6">
        <v>1.1</v>
      </c>
      <c r="L454" s="6">
        <v>4.05</v>
      </c>
      <c r="M454" s="6">
        <v>16.25</v>
      </c>
      <c r="N454" s="6">
        <v>19.43</v>
      </c>
      <c r="O454" s="6"/>
      <c r="P454" s="6"/>
      <c r="Q454" s="7"/>
      <c r="R454" s="6"/>
      <c r="S454" s="6"/>
      <c r="T454" s="6"/>
      <c r="U454" s="5"/>
      <c r="V454" s="6"/>
      <c r="W454" s="6"/>
      <c r="X454" s="6"/>
      <c r="Y454" s="15"/>
      <c r="Z454" s="6"/>
      <c r="AA454" s="6"/>
      <c r="AB454" s="5"/>
      <c r="AC454" s="3"/>
      <c r="AD454" s="6">
        <v>0.04455</v>
      </c>
      <c r="AE454" s="6">
        <v>0.17875</v>
      </c>
      <c r="AF454" s="7">
        <v>21.373</v>
      </c>
      <c r="AG454" s="6">
        <v>0</v>
      </c>
      <c r="AH454" s="7">
        <v>0</v>
      </c>
      <c r="AI454" s="15">
        <v>0.2233</v>
      </c>
      <c r="AJ454" s="6">
        <v>20.3</v>
      </c>
      <c r="AK454" s="3"/>
      <c r="AL454" s="6">
        <v>441.54916627170417</v>
      </c>
      <c r="AM454" s="6">
        <v>76.786218</v>
      </c>
      <c r="AN454" s="6">
        <v>352.8737875</v>
      </c>
      <c r="AO454" s="6">
        <v>11.88916077170418</v>
      </c>
      <c r="AP454" s="6">
        <v>0</v>
      </c>
      <c r="AQ454" s="6">
        <v>0</v>
      </c>
      <c r="AR454" s="6">
        <v>0</v>
      </c>
      <c r="AS454" s="6">
        <v>0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0</v>
      </c>
      <c r="BA454" s="6">
        <v>0</v>
      </c>
      <c r="BB454" s="6">
        <v>0</v>
      </c>
      <c r="BC454" s="6"/>
      <c r="BD454" s="3"/>
      <c r="BE454" s="3"/>
      <c r="BF454" s="7">
        <v>485.7040828988746</v>
      </c>
    </row>
    <row x14ac:dyDescent="0.25" r="455" customHeight="1" ht="12.75">
      <c r="A455" s="5" t="s">
        <v>725</v>
      </c>
      <c r="B455" s="3" t="s">
        <v>859</v>
      </c>
      <c r="C455" s="3" t="s">
        <v>866</v>
      </c>
      <c r="D455" s="3" t="s">
        <v>989</v>
      </c>
      <c r="E455" s="3"/>
      <c r="F455" s="6">
        <f>100*SUM(AM455:AO455)/AL455</f>
      </c>
      <c r="G455" s="6">
        <f>100*SUM(AP455)/AL455</f>
      </c>
      <c r="H455" s="6">
        <f>100*SUM(AQ455)/AL455</f>
      </c>
      <c r="I455" s="6">
        <f>100*SUM(AR455:BC455)/AL455</f>
      </c>
      <c r="J455" s="3"/>
      <c r="K455" s="6">
        <v>7.1</v>
      </c>
      <c r="L455" s="6">
        <v>1.2</v>
      </c>
      <c r="M455" s="6">
        <v>1.9</v>
      </c>
      <c r="N455" s="5"/>
      <c r="O455" s="6"/>
      <c r="P455" s="6"/>
      <c r="Q455" s="7"/>
      <c r="R455" s="6"/>
      <c r="S455" s="6"/>
      <c r="T455" s="6"/>
      <c r="U455" s="5"/>
      <c r="V455" s="6"/>
      <c r="W455" s="6"/>
      <c r="X455" s="6"/>
      <c r="Y455" s="15"/>
      <c r="Z455" s="6"/>
      <c r="AA455" s="6"/>
      <c r="AB455" s="5"/>
      <c r="AC455" s="3"/>
      <c r="AD455" s="6">
        <v>0.0852</v>
      </c>
      <c r="AE455" s="6">
        <v>0.1349</v>
      </c>
      <c r="AF455" s="7">
        <v>0</v>
      </c>
      <c r="AG455" s="6">
        <v>0</v>
      </c>
      <c r="AH455" s="7">
        <v>0</v>
      </c>
      <c r="AI455" s="15">
        <v>0.2201</v>
      </c>
      <c r="AJ455" s="6">
        <v>3.0999999999999996</v>
      </c>
      <c r="AK455" s="3"/>
      <c r="AL455" s="6">
        <v>64.010561</v>
      </c>
      <c r="AM455" s="6">
        <v>22.751472</v>
      </c>
      <c r="AN455" s="6">
        <v>41.259088999999996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/>
      <c r="BD455" s="3"/>
      <c r="BE455" s="3"/>
      <c r="BF455" s="7">
        <v>454.4749830999999</v>
      </c>
    </row>
    <row x14ac:dyDescent="0.25" r="456" customHeight="1" ht="12.75">
      <c r="A456" s="5" t="s">
        <v>88</v>
      </c>
      <c r="B456" s="3" t="s">
        <v>859</v>
      </c>
      <c r="C456" s="3" t="s">
        <v>866</v>
      </c>
      <c r="D456" s="3" t="s">
        <v>989</v>
      </c>
      <c r="E456" s="3"/>
      <c r="F456" s="6">
        <f>100*SUM(AM456:AO456)/AL456</f>
      </c>
      <c r="G456" s="6">
        <f>100*SUM(AP456)/AL456</f>
      </c>
      <c r="H456" s="6">
        <f>100*SUM(AQ456)/AL456</f>
      </c>
      <c r="I456" s="6">
        <f>100*SUM(AR456:BC456)/AL456</f>
      </c>
      <c r="J456" s="3"/>
      <c r="K456" s="6">
        <v>1.1</v>
      </c>
      <c r="L456" s="6">
        <v>2.8</v>
      </c>
      <c r="M456" s="5">
        <v>15</v>
      </c>
      <c r="N456" s="5"/>
      <c r="O456" s="6"/>
      <c r="P456" s="6"/>
      <c r="Q456" s="7"/>
      <c r="R456" s="6"/>
      <c r="S456" s="6"/>
      <c r="T456" s="6"/>
      <c r="U456" s="5"/>
      <c r="V456" s="6"/>
      <c r="W456" s="6"/>
      <c r="X456" s="6"/>
      <c r="Y456" s="15"/>
      <c r="Z456" s="6"/>
      <c r="AA456" s="6"/>
      <c r="AB456" s="5"/>
      <c r="AC456" s="3"/>
      <c r="AD456" s="6">
        <v>0.0308</v>
      </c>
      <c r="AE456" s="6">
        <v>0.165</v>
      </c>
      <c r="AF456" s="7">
        <v>0</v>
      </c>
      <c r="AG456" s="6">
        <v>0</v>
      </c>
      <c r="AH456" s="7">
        <v>0</v>
      </c>
      <c r="AI456" s="15">
        <v>0.1958</v>
      </c>
      <c r="AJ456" s="6">
        <v>17.8</v>
      </c>
      <c r="AK456" s="3"/>
      <c r="AL456" s="6">
        <v>378.816418</v>
      </c>
      <c r="AM456" s="6">
        <v>53.08676799999999</v>
      </c>
      <c r="AN456" s="6">
        <v>325.72965</v>
      </c>
      <c r="AO456" s="6">
        <v>0</v>
      </c>
      <c r="AP456" s="6">
        <v>0</v>
      </c>
      <c r="AQ456" s="6">
        <v>0</v>
      </c>
      <c r="AR456" s="6">
        <v>0</v>
      </c>
      <c r="AS456" s="6">
        <v>0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0</v>
      </c>
      <c r="BA456" s="6">
        <v>0</v>
      </c>
      <c r="BB456" s="6">
        <v>0</v>
      </c>
      <c r="BC456" s="6"/>
      <c r="BD456" s="3"/>
      <c r="BE456" s="3"/>
      <c r="BF456" s="7">
        <v>416.6980598</v>
      </c>
    </row>
    <row x14ac:dyDescent="0.25" r="457" customHeight="1" ht="12.75">
      <c r="A457" s="5" t="s">
        <v>610</v>
      </c>
      <c r="B457" s="3" t="s">
        <v>859</v>
      </c>
      <c r="C457" s="3" t="s">
        <v>866</v>
      </c>
      <c r="D457" s="3" t="s">
        <v>988</v>
      </c>
      <c r="E457" s="3"/>
      <c r="F457" s="6">
        <f>100*SUM(AM457:AO457)/AL457</f>
      </c>
      <c r="G457" s="6">
        <f>100*SUM(AP457)/AL457</f>
      </c>
      <c r="H457" s="6">
        <f>100*SUM(AQ457)/AL457</f>
      </c>
      <c r="I457" s="6">
        <f>100*SUM(AR457:BC457)/AL457</f>
      </c>
      <c r="J457" s="3"/>
      <c r="K457" s="6">
        <v>2.76</v>
      </c>
      <c r="L457" s="6">
        <v>3.3</v>
      </c>
      <c r="M457" s="6">
        <v>3.1</v>
      </c>
      <c r="N457" s="5"/>
      <c r="O457" s="6"/>
      <c r="P457" s="6"/>
      <c r="Q457" s="7"/>
      <c r="R457" s="6"/>
      <c r="S457" s="6"/>
      <c r="T457" s="6"/>
      <c r="U457" s="5"/>
      <c r="V457" s="6"/>
      <c r="W457" s="6"/>
      <c r="X457" s="6"/>
      <c r="Y457" s="15"/>
      <c r="Z457" s="6"/>
      <c r="AA457" s="6"/>
      <c r="AB457" s="5"/>
      <c r="AC457" s="3"/>
      <c r="AD457" s="6">
        <v>0.09108</v>
      </c>
      <c r="AE457" s="6">
        <v>0.08556</v>
      </c>
      <c r="AF457" s="7">
        <v>0</v>
      </c>
      <c r="AG457" s="6">
        <v>0</v>
      </c>
      <c r="AH457" s="7">
        <v>0</v>
      </c>
      <c r="AI457" s="15">
        <v>0.17664</v>
      </c>
      <c r="AJ457" s="6">
        <v>6.4</v>
      </c>
      <c r="AK457" s="3"/>
      <c r="AL457" s="6">
        <v>129.884009</v>
      </c>
      <c r="AM457" s="6">
        <v>62.566548</v>
      </c>
      <c r="AN457" s="6">
        <v>67.317461</v>
      </c>
      <c r="AO457" s="6">
        <v>0</v>
      </c>
      <c r="AP457" s="6">
        <v>0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0</v>
      </c>
      <c r="BC457" s="6"/>
      <c r="BD457" s="3"/>
      <c r="BE457" s="3"/>
      <c r="BF457" s="7">
        <v>358.47986483999995</v>
      </c>
    </row>
    <row x14ac:dyDescent="0.25" r="458" customHeight="1" ht="12.75">
      <c r="A458" s="5" t="s">
        <v>338</v>
      </c>
      <c r="B458" s="3" t="s">
        <v>859</v>
      </c>
      <c r="C458" s="3" t="s">
        <v>866</v>
      </c>
      <c r="D458" s="3" t="s">
        <v>988</v>
      </c>
      <c r="E458" s="3"/>
      <c r="F458" s="6">
        <f>100*SUM(AM458:AO458)/AL458</f>
      </c>
      <c r="G458" s="6">
        <f>100*SUM(AP458)/AL458</f>
      </c>
      <c r="H458" s="6">
        <f>100*SUM(AQ458)/AL458</f>
      </c>
      <c r="I458" s="6">
        <f>100*SUM(AR458:BC458)/AL458</f>
      </c>
      <c r="J458" s="3"/>
      <c r="K458" s="23">
        <v>1.490365</v>
      </c>
      <c r="L458" s="6">
        <v>1.4</v>
      </c>
      <c r="M458" s="6">
        <v>8.6</v>
      </c>
      <c r="N458" s="6">
        <v>8.5</v>
      </c>
      <c r="O458" s="6"/>
      <c r="P458" s="6"/>
      <c r="Q458" s="7"/>
      <c r="R458" s="6"/>
      <c r="S458" s="6"/>
      <c r="T458" s="6"/>
      <c r="U458" s="5"/>
      <c r="V458" s="6"/>
      <c r="W458" s="6"/>
      <c r="X458" s="6"/>
      <c r="Y458" s="15"/>
      <c r="Z458" s="6"/>
      <c r="AA458" s="6"/>
      <c r="AB458" s="5"/>
      <c r="AC458" s="3"/>
      <c r="AD458" s="6">
        <v>0.02086511</v>
      </c>
      <c r="AE458" s="6">
        <v>0.12817139</v>
      </c>
      <c r="AF458" s="7">
        <v>12.6681025</v>
      </c>
      <c r="AG458" s="6">
        <v>0</v>
      </c>
      <c r="AH458" s="7">
        <v>0</v>
      </c>
      <c r="AI458" s="15">
        <v>0.1490365</v>
      </c>
      <c r="AJ458" s="6">
        <v>10</v>
      </c>
      <c r="AK458" s="3"/>
      <c r="AL458" s="6">
        <v>218.49617540192924</v>
      </c>
      <c r="AM458" s="6">
        <v>26.543383999999996</v>
      </c>
      <c r="AN458" s="6">
        <v>186.75166599999997</v>
      </c>
      <c r="AO458" s="6">
        <v>5.201125401929261</v>
      </c>
      <c r="AP458" s="6">
        <v>0</v>
      </c>
      <c r="AQ458" s="6">
        <v>0</v>
      </c>
      <c r="AR458" s="6">
        <v>0</v>
      </c>
      <c r="AS458" s="6">
        <v>0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/>
      <c r="BD458" s="3"/>
      <c r="BE458" s="3"/>
      <c r="BF458" s="7">
        <v>325.63905245289624</v>
      </c>
    </row>
    <row x14ac:dyDescent="0.25" r="459" customHeight="1" ht="12.75">
      <c r="A459" s="5" t="s">
        <v>768</v>
      </c>
      <c r="B459" s="3" t="s">
        <v>859</v>
      </c>
      <c r="C459" s="3" t="s">
        <v>866</v>
      </c>
      <c r="D459" s="3" t="s">
        <v>1001</v>
      </c>
      <c r="E459" s="3"/>
      <c r="F459" s="6">
        <f>100*SUM(AM459:AO459)/AL459</f>
      </c>
      <c r="G459" s="6">
        <f>100*SUM(AP459)/AL459</f>
      </c>
      <c r="H459" s="6">
        <f>100*SUM(AQ459)/AL459</f>
      </c>
      <c r="I459" s="6">
        <f>100*SUM(AR459:BC459)/AL459</f>
      </c>
      <c r="J459" s="3"/>
      <c r="K459" s="5">
        <v>5</v>
      </c>
      <c r="L459" s="6">
        <v>2.3</v>
      </c>
      <c r="M459" s="6">
        <v>0.6</v>
      </c>
      <c r="N459" s="5">
        <v>7</v>
      </c>
      <c r="O459" s="6"/>
      <c r="P459" s="6"/>
      <c r="Q459" s="7"/>
      <c r="R459" s="6"/>
      <c r="S459" s="6"/>
      <c r="T459" s="6"/>
      <c r="U459" s="5"/>
      <c r="V459" s="6"/>
      <c r="W459" s="6"/>
      <c r="X459" s="6"/>
      <c r="Y459" s="15"/>
      <c r="Z459" s="6"/>
      <c r="AA459" s="6"/>
      <c r="AB459" s="5"/>
      <c r="AC459" s="3"/>
      <c r="AD459" s="6">
        <v>0.115</v>
      </c>
      <c r="AE459" s="6">
        <v>0.03</v>
      </c>
      <c r="AF459" s="7">
        <v>35</v>
      </c>
      <c r="AG459" s="6">
        <v>0</v>
      </c>
      <c r="AH459" s="7">
        <v>0</v>
      </c>
      <c r="AI459" s="15">
        <v>0.14500000000000002</v>
      </c>
      <c r="AJ459" s="6">
        <v>2.9</v>
      </c>
      <c r="AK459" s="3"/>
      <c r="AL459" s="6">
        <v>60.91945374276527</v>
      </c>
      <c r="AM459" s="6">
        <v>43.606987999999994</v>
      </c>
      <c r="AN459" s="6">
        <v>13.029186</v>
      </c>
      <c r="AO459" s="6">
        <v>4.283279742765274</v>
      </c>
      <c r="AP459" s="6">
        <v>0</v>
      </c>
      <c r="AQ459" s="6">
        <v>0</v>
      </c>
      <c r="AR459" s="6">
        <v>0</v>
      </c>
      <c r="AS459" s="6">
        <v>0</v>
      </c>
      <c r="AT459" s="6">
        <v>0</v>
      </c>
      <c r="AU459" s="6">
        <v>0</v>
      </c>
      <c r="AV459" s="6">
        <v>0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0</v>
      </c>
      <c r="BC459" s="6"/>
      <c r="BD459" s="3"/>
      <c r="BE459" s="3"/>
      <c r="BF459" s="7">
        <v>304.59726871382634</v>
      </c>
    </row>
    <row x14ac:dyDescent="0.25" r="460" customHeight="1" ht="12.75">
      <c r="A460" s="5" t="s">
        <v>179</v>
      </c>
      <c r="B460" s="3" t="s">
        <v>859</v>
      </c>
      <c r="C460" s="3" t="s">
        <v>866</v>
      </c>
      <c r="D460" s="3" t="s">
        <v>989</v>
      </c>
      <c r="E460" s="3"/>
      <c r="F460" s="6">
        <f>100*SUM(AM460:AO460)/AL460</f>
      </c>
      <c r="G460" s="6">
        <f>100*SUM(AP460)/AL460</f>
      </c>
      <c r="H460" s="6">
        <f>100*SUM(AQ460)/AL460</f>
      </c>
      <c r="I460" s="6">
        <f>100*SUM(AR460:BC460)/AL460</f>
      </c>
      <c r="J460" s="3"/>
      <c r="K460" s="5">
        <v>1</v>
      </c>
      <c r="L460" s="6"/>
      <c r="M460" s="5">
        <v>13</v>
      </c>
      <c r="N460" s="5"/>
      <c r="O460" s="6"/>
      <c r="P460" s="6"/>
      <c r="Q460" s="7"/>
      <c r="R460" s="6"/>
      <c r="S460" s="6"/>
      <c r="T460" s="6"/>
      <c r="U460" s="5"/>
      <c r="V460" s="6"/>
      <c r="W460" s="6"/>
      <c r="X460" s="6"/>
      <c r="Y460" s="15"/>
      <c r="Z460" s="6"/>
      <c r="AA460" s="6"/>
      <c r="AB460" s="5"/>
      <c r="AC460" s="3"/>
      <c r="AD460" s="6">
        <v>0</v>
      </c>
      <c r="AE460" s="6">
        <v>0.13</v>
      </c>
      <c r="AF460" s="7">
        <v>0</v>
      </c>
      <c r="AG460" s="6">
        <v>0</v>
      </c>
      <c r="AH460" s="7">
        <v>0</v>
      </c>
      <c r="AI460" s="15">
        <v>0.13</v>
      </c>
      <c r="AJ460" s="6">
        <v>13</v>
      </c>
      <c r="AK460" s="3"/>
      <c r="AL460" s="6">
        <v>282.29903</v>
      </c>
      <c r="AM460" s="6">
        <v>0</v>
      </c>
      <c r="AN460" s="6">
        <v>282.29903</v>
      </c>
      <c r="AO460" s="6">
        <v>0</v>
      </c>
      <c r="AP460" s="6">
        <v>0</v>
      </c>
      <c r="AQ460" s="6">
        <v>0</v>
      </c>
      <c r="AR460" s="6">
        <v>0</v>
      </c>
      <c r="AS460" s="6">
        <v>0</v>
      </c>
      <c r="AT460" s="6">
        <v>0</v>
      </c>
      <c r="AU460" s="6">
        <v>0</v>
      </c>
      <c r="AV460" s="6">
        <v>0</v>
      </c>
      <c r="AW460" s="6">
        <v>0</v>
      </c>
      <c r="AX460" s="6">
        <v>0</v>
      </c>
      <c r="AY460" s="6">
        <v>0</v>
      </c>
      <c r="AZ460" s="6">
        <v>0</v>
      </c>
      <c r="BA460" s="6">
        <v>0</v>
      </c>
      <c r="BB460" s="6">
        <v>0</v>
      </c>
      <c r="BC460" s="6"/>
      <c r="BD460" s="3"/>
      <c r="BE460" s="3"/>
      <c r="BF460" s="7">
        <v>282.29903</v>
      </c>
    </row>
    <row x14ac:dyDescent="0.25" r="461" customHeight="1" ht="12.75">
      <c r="A461" s="5" t="s">
        <v>485</v>
      </c>
      <c r="B461" s="3" t="s">
        <v>859</v>
      </c>
      <c r="C461" s="3" t="s">
        <v>866</v>
      </c>
      <c r="D461" s="3"/>
      <c r="E461" s="3"/>
      <c r="F461" s="6">
        <f>100*SUM(AM461:AO461)/AL461</f>
      </c>
      <c r="G461" s="6">
        <f>100*SUM(AP461)/AL461</f>
      </c>
      <c r="H461" s="6">
        <f>100*SUM(AQ461)/AL461</f>
      </c>
      <c r="I461" s="6">
        <f>100*SUM(AR461:BC461)/AL461</f>
      </c>
      <c r="J461" s="3"/>
      <c r="K461" s="6">
        <v>1.5</v>
      </c>
      <c r="L461" s="6"/>
      <c r="M461" s="6">
        <v>7.9</v>
      </c>
      <c r="N461" s="5">
        <v>120</v>
      </c>
      <c r="O461" s="6"/>
      <c r="P461" s="6"/>
      <c r="Q461" s="7"/>
      <c r="R461" s="6"/>
      <c r="S461" s="6"/>
      <c r="T461" s="6"/>
      <c r="U461" s="5"/>
      <c r="V461" s="6"/>
      <c r="W461" s="6"/>
      <c r="X461" s="6"/>
      <c r="Y461" s="15"/>
      <c r="Z461" s="6"/>
      <c r="AA461" s="6"/>
      <c r="AB461" s="5"/>
      <c r="AC461" s="3"/>
      <c r="AD461" s="6">
        <v>0</v>
      </c>
      <c r="AE461" s="6">
        <v>0.11850000000000001</v>
      </c>
      <c r="AF461" s="7">
        <v>180</v>
      </c>
      <c r="AG461" s="6">
        <v>0</v>
      </c>
      <c r="AH461" s="7">
        <v>0</v>
      </c>
      <c r="AI461" s="15">
        <v>0.11850000000000001</v>
      </c>
      <c r="AJ461" s="6">
        <v>7.9</v>
      </c>
      <c r="AK461" s="3"/>
      <c r="AL461" s="6">
        <v>244.97860173311898</v>
      </c>
      <c r="AM461" s="6">
        <v>0</v>
      </c>
      <c r="AN461" s="6">
        <v>171.550949</v>
      </c>
      <c r="AO461" s="6">
        <v>73.42765273311899</v>
      </c>
      <c r="AP461" s="6">
        <v>0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0</v>
      </c>
      <c r="BC461" s="6"/>
      <c r="BD461" s="3"/>
      <c r="BE461" s="3"/>
      <c r="BF461" s="7">
        <v>367.4679025996785</v>
      </c>
    </row>
    <row x14ac:dyDescent="0.25" r="462" customHeight="1" ht="12.75">
      <c r="A462" s="5" t="s">
        <v>795</v>
      </c>
      <c r="B462" s="3" t="s">
        <v>859</v>
      </c>
      <c r="C462" s="3" t="s">
        <v>866</v>
      </c>
      <c r="D462" s="3" t="s">
        <v>989</v>
      </c>
      <c r="E462" s="3"/>
      <c r="F462" s="6">
        <f>100*SUM(AM462:AO462)/AL462</f>
      </c>
      <c r="G462" s="6">
        <f>100*SUM(AP462)/AL462</f>
      </c>
      <c r="H462" s="6">
        <f>100*SUM(AQ462)/AL462</f>
      </c>
      <c r="I462" s="6">
        <f>100*SUM(AR462:BC462)/AL462</f>
      </c>
      <c r="J462" s="3"/>
      <c r="K462" s="6">
        <v>3.5</v>
      </c>
      <c r="L462" s="6">
        <v>1.1</v>
      </c>
      <c r="M462" s="6">
        <v>2.2</v>
      </c>
      <c r="N462" s="5"/>
      <c r="O462" s="6"/>
      <c r="P462" s="6"/>
      <c r="Q462" s="7"/>
      <c r="R462" s="6"/>
      <c r="S462" s="6"/>
      <c r="T462" s="6"/>
      <c r="U462" s="5"/>
      <c r="V462" s="6"/>
      <c r="W462" s="6"/>
      <c r="X462" s="6"/>
      <c r="Y462" s="15"/>
      <c r="Z462" s="6"/>
      <c r="AA462" s="6"/>
      <c r="AB462" s="5"/>
      <c r="AC462" s="3"/>
      <c r="AD462" s="6">
        <v>0.038500000000000006</v>
      </c>
      <c r="AE462" s="6">
        <v>0.07700000000000001</v>
      </c>
      <c r="AF462" s="7">
        <v>0</v>
      </c>
      <c r="AG462" s="6">
        <v>0</v>
      </c>
      <c r="AH462" s="7">
        <v>0</v>
      </c>
      <c r="AI462" s="15">
        <v>0.11550000000000002</v>
      </c>
      <c r="AJ462" s="6">
        <v>3.3000000000000003</v>
      </c>
      <c r="AK462" s="3"/>
      <c r="AL462" s="6">
        <v>68.629198</v>
      </c>
      <c r="AM462" s="6">
        <v>20.855516</v>
      </c>
      <c r="AN462" s="6">
        <v>47.773682</v>
      </c>
      <c r="AO462" s="6">
        <v>0</v>
      </c>
      <c r="AP462" s="6">
        <v>0</v>
      </c>
      <c r="AQ462" s="6">
        <v>0</v>
      </c>
      <c r="AR462" s="6">
        <v>0</v>
      </c>
      <c r="AS462" s="6">
        <v>0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0</v>
      </c>
      <c r="BC462" s="6"/>
      <c r="BD462" s="3"/>
      <c r="BE462" s="3"/>
      <c r="BF462" s="7">
        <v>240.20219300000002</v>
      </c>
    </row>
    <row x14ac:dyDescent="0.25" r="463" customHeight="1" ht="12.75">
      <c r="A463" s="5" t="s">
        <v>552</v>
      </c>
      <c r="B463" s="3" t="s">
        <v>859</v>
      </c>
      <c r="C463" s="3" t="s">
        <v>866</v>
      </c>
      <c r="D463" s="3" t="s">
        <v>988</v>
      </c>
      <c r="E463" s="3"/>
      <c r="F463" s="6">
        <f>100*SUM(AM463:AO463)/AL463</f>
      </c>
      <c r="G463" s="6">
        <f>100*SUM(AP463)/AL463</f>
      </c>
      <c r="H463" s="6">
        <f>100*SUM(AQ463)/AL463</f>
      </c>
      <c r="I463" s="6">
        <f>100*SUM(AR463:BC463)/AL463</f>
      </c>
      <c r="J463" s="3"/>
      <c r="K463" s="6">
        <v>1.5</v>
      </c>
      <c r="L463" s="6">
        <v>3.5</v>
      </c>
      <c r="M463" s="6">
        <v>3.5</v>
      </c>
      <c r="N463" s="5">
        <v>60</v>
      </c>
      <c r="O463" s="6"/>
      <c r="P463" s="6"/>
      <c r="Q463" s="7"/>
      <c r="R463" s="6"/>
      <c r="S463" s="6"/>
      <c r="T463" s="6"/>
      <c r="U463" s="5"/>
      <c r="V463" s="6"/>
      <c r="W463" s="6"/>
      <c r="X463" s="6"/>
      <c r="Y463" s="15"/>
      <c r="Z463" s="6"/>
      <c r="AA463" s="6"/>
      <c r="AB463" s="5"/>
      <c r="AC463" s="3"/>
      <c r="AD463" s="6">
        <v>0.0525</v>
      </c>
      <c r="AE463" s="6">
        <v>0.0525</v>
      </c>
      <c r="AF463" s="7">
        <v>90</v>
      </c>
      <c r="AG463" s="6">
        <v>0</v>
      </c>
      <c r="AH463" s="7">
        <v>0</v>
      </c>
      <c r="AI463" s="15">
        <v>0.105</v>
      </c>
      <c r="AJ463" s="6">
        <v>7</v>
      </c>
      <c r="AK463" s="3"/>
      <c r="AL463" s="6">
        <v>179.0758713665595</v>
      </c>
      <c r="AM463" s="6">
        <v>66.35846000000001</v>
      </c>
      <c r="AN463" s="6">
        <v>76.003585</v>
      </c>
      <c r="AO463" s="6">
        <v>36.713826366559495</v>
      </c>
      <c r="AP463" s="6">
        <v>0</v>
      </c>
      <c r="AQ463" s="6">
        <v>0</v>
      </c>
      <c r="AR463" s="6">
        <v>0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/>
      <c r="BD463" s="3"/>
      <c r="BE463" s="3"/>
      <c r="BF463" s="7">
        <v>268.61380704983924</v>
      </c>
    </row>
    <row x14ac:dyDescent="0.25" r="464" customHeight="1" ht="12.75">
      <c r="A464" s="5" t="s">
        <v>804</v>
      </c>
      <c r="B464" s="3" t="s">
        <v>859</v>
      </c>
      <c r="C464" s="3" t="s">
        <v>866</v>
      </c>
      <c r="D464" s="3" t="s">
        <v>994</v>
      </c>
      <c r="E464" s="3"/>
      <c r="F464" s="6">
        <f>100*SUM(AM464:AO464)/AL464</f>
      </c>
      <c r="G464" s="6">
        <f>100*SUM(AP464)/AL464</f>
      </c>
      <c r="H464" s="6">
        <f>100*SUM(AQ464)/AL464</f>
      </c>
      <c r="I464" s="6">
        <f>100*SUM(AR464:BC464)/AL464</f>
      </c>
      <c r="J464" s="3"/>
      <c r="K464" s="23">
        <v>2.7213</v>
      </c>
      <c r="L464" s="6">
        <v>3.66</v>
      </c>
      <c r="M464" s="6"/>
      <c r="N464" s="6">
        <v>36.3</v>
      </c>
      <c r="O464" s="6"/>
      <c r="P464" s="6"/>
      <c r="Q464" s="7"/>
      <c r="R464" s="6"/>
      <c r="S464" s="6"/>
      <c r="T464" s="6"/>
      <c r="U464" s="5"/>
      <c r="V464" s="6"/>
      <c r="W464" s="6"/>
      <c r="X464" s="6"/>
      <c r="Y464" s="15"/>
      <c r="Z464" s="6"/>
      <c r="AA464" s="6"/>
      <c r="AB464" s="5"/>
      <c r="AC464" s="3"/>
      <c r="AD464" s="6">
        <v>0.09959958000000001</v>
      </c>
      <c r="AE464" s="6">
        <v>0</v>
      </c>
      <c r="AF464" s="7">
        <v>98.78318999999999</v>
      </c>
      <c r="AG464" s="6">
        <v>0</v>
      </c>
      <c r="AH464" s="7">
        <v>0</v>
      </c>
      <c r="AI464" s="15">
        <v>0.09959958000000001</v>
      </c>
      <c r="AJ464" s="6">
        <v>3.66</v>
      </c>
      <c r="AK464" s="3"/>
      <c r="AL464" s="6">
        <v>91.60385455176849</v>
      </c>
      <c r="AM464" s="6">
        <v>69.3919896</v>
      </c>
      <c r="AN464" s="6">
        <v>0</v>
      </c>
      <c r="AO464" s="6">
        <v>22.21186495176849</v>
      </c>
      <c r="AP464" s="6">
        <v>0</v>
      </c>
      <c r="AQ464" s="6">
        <v>0</v>
      </c>
      <c r="AR464" s="6">
        <v>0</v>
      </c>
      <c r="AS464" s="6">
        <v>0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0</v>
      </c>
      <c r="BC464" s="6"/>
      <c r="BD464" s="3"/>
      <c r="BE464" s="3"/>
      <c r="BF464" s="7">
        <v>249.28156939172757</v>
      </c>
    </row>
    <row x14ac:dyDescent="0.25" r="465" customHeight="1" ht="12.75">
      <c r="A465" s="5" t="s">
        <v>742</v>
      </c>
      <c r="B465" s="3" t="s">
        <v>859</v>
      </c>
      <c r="C465" s="3" t="s">
        <v>866</v>
      </c>
      <c r="D465" s="3" t="s">
        <v>989</v>
      </c>
      <c r="E465" s="3"/>
      <c r="F465" s="6">
        <f>100*SUM(AM465:AO465)/AL465</f>
      </c>
      <c r="G465" s="6">
        <f>100*SUM(AP465)/AL465</f>
      </c>
      <c r="H465" s="6">
        <f>100*SUM(AQ465)/AL465</f>
      </c>
      <c r="I465" s="6">
        <f>100*SUM(AR465:BC465)/AL465</f>
      </c>
      <c r="J465" s="3"/>
      <c r="K465" s="6">
        <v>1.9</v>
      </c>
      <c r="L465" s="6">
        <v>1.2</v>
      </c>
      <c r="M465" s="6">
        <v>3.5</v>
      </c>
      <c r="N465" s="5"/>
      <c r="O465" s="6"/>
      <c r="P465" s="6"/>
      <c r="Q465" s="7"/>
      <c r="R465" s="6"/>
      <c r="S465" s="6"/>
      <c r="T465" s="6"/>
      <c r="U465" s="5"/>
      <c r="V465" s="6"/>
      <c r="W465" s="6"/>
      <c r="X465" s="6"/>
      <c r="Y465" s="15"/>
      <c r="Z465" s="6"/>
      <c r="AA465" s="6"/>
      <c r="AB465" s="5"/>
      <c r="AC465" s="3"/>
      <c r="AD465" s="6">
        <v>0.022799999999999997</v>
      </c>
      <c r="AE465" s="6">
        <v>0.06649999999999999</v>
      </c>
      <c r="AF465" s="7">
        <v>0</v>
      </c>
      <c r="AG465" s="6">
        <v>0</v>
      </c>
      <c r="AH465" s="7">
        <v>0</v>
      </c>
      <c r="AI465" s="15">
        <v>0.08929999999999999</v>
      </c>
      <c r="AJ465" s="6">
        <v>4.7</v>
      </c>
      <c r="AK465" s="3"/>
      <c r="AL465" s="6">
        <v>98.755057</v>
      </c>
      <c r="AM465" s="6">
        <v>22.751472</v>
      </c>
      <c r="AN465" s="6">
        <v>76.003585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/>
      <c r="BD465" s="3"/>
      <c r="BE465" s="3"/>
      <c r="BF465" s="7">
        <v>187.63460829999997</v>
      </c>
    </row>
    <row x14ac:dyDescent="0.25" r="466" customHeight="1" ht="12.75">
      <c r="A466" s="5" t="s">
        <v>673</v>
      </c>
      <c r="B466" s="3" t="s">
        <v>859</v>
      </c>
      <c r="C466" s="3" t="s">
        <v>866</v>
      </c>
      <c r="D466" s="3"/>
      <c r="E466" s="3"/>
      <c r="F466" s="6">
        <f>100*SUM(AM466:AO466)/AL466</f>
      </c>
      <c r="G466" s="6">
        <f>100*SUM(AP466)/AL466</f>
      </c>
      <c r="H466" s="6">
        <f>100*SUM(AQ466)/AL466</f>
      </c>
      <c r="I466" s="6">
        <f>100*SUM(AR466:BC466)/AL466</f>
      </c>
      <c r="J466" s="3"/>
      <c r="K466" s="6">
        <v>1.5</v>
      </c>
      <c r="L466" s="6"/>
      <c r="M466" s="6">
        <v>5.7</v>
      </c>
      <c r="N466" s="5"/>
      <c r="O466" s="6"/>
      <c r="P466" s="6"/>
      <c r="Q466" s="7"/>
      <c r="R466" s="6"/>
      <c r="S466" s="6"/>
      <c r="T466" s="6"/>
      <c r="U466" s="5"/>
      <c r="V466" s="6"/>
      <c r="W466" s="6"/>
      <c r="X466" s="6"/>
      <c r="Y466" s="15"/>
      <c r="Z466" s="6"/>
      <c r="AA466" s="6"/>
      <c r="AB466" s="5"/>
      <c r="AC466" s="3"/>
      <c r="AD466" s="6">
        <v>0</v>
      </c>
      <c r="AE466" s="6">
        <v>0.0855</v>
      </c>
      <c r="AF466" s="7">
        <v>0</v>
      </c>
      <c r="AG466" s="6">
        <v>0</v>
      </c>
      <c r="AH466" s="7">
        <v>0</v>
      </c>
      <c r="AI466" s="15">
        <v>0.0855</v>
      </c>
      <c r="AJ466" s="6">
        <v>5.7</v>
      </c>
      <c r="AK466" s="3"/>
      <c r="AL466" s="6">
        <v>123.777267</v>
      </c>
      <c r="AM466" s="6">
        <v>0</v>
      </c>
      <c r="AN466" s="6">
        <v>123.777267</v>
      </c>
      <c r="AO466" s="6">
        <v>0</v>
      </c>
      <c r="AP466" s="6">
        <v>0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0</v>
      </c>
      <c r="BC466" s="6"/>
      <c r="BD466" s="3"/>
      <c r="BE466" s="3"/>
      <c r="BF466" s="7">
        <v>185.6659005</v>
      </c>
    </row>
    <row x14ac:dyDescent="0.25" r="467" customHeight="1" ht="12.75">
      <c r="A467" s="5" t="s">
        <v>472</v>
      </c>
      <c r="B467" s="3" t="s">
        <v>859</v>
      </c>
      <c r="C467" s="3" t="s">
        <v>866</v>
      </c>
      <c r="D467" s="3" t="s">
        <v>988</v>
      </c>
      <c r="E467" s="3"/>
      <c r="F467" s="6">
        <f>100*SUM(AM467:AO467)/AL467</f>
      </c>
      <c r="G467" s="6">
        <f>100*SUM(AP467)/AL467</f>
      </c>
      <c r="H467" s="6">
        <f>100*SUM(AQ467)/AL467</f>
      </c>
      <c r="I467" s="6">
        <f>100*SUM(AR467:BC467)/AL467</f>
      </c>
      <c r="J467" s="3"/>
      <c r="K467" s="5">
        <v>1</v>
      </c>
      <c r="L467" s="5">
        <v>6</v>
      </c>
      <c r="M467" s="5">
        <v>2</v>
      </c>
      <c r="N467" s="5">
        <v>50</v>
      </c>
      <c r="O467" s="6"/>
      <c r="P467" s="6"/>
      <c r="Q467" s="7"/>
      <c r="R467" s="6"/>
      <c r="S467" s="6"/>
      <c r="T467" s="6"/>
      <c r="U467" s="5"/>
      <c r="V467" s="6"/>
      <c r="W467" s="6"/>
      <c r="X467" s="6"/>
      <c r="Y467" s="15"/>
      <c r="Z467" s="6"/>
      <c r="AA467" s="6"/>
      <c r="AB467" s="5"/>
      <c r="AC467" s="3"/>
      <c r="AD467" s="6">
        <v>0.06</v>
      </c>
      <c r="AE467" s="6">
        <v>0.02</v>
      </c>
      <c r="AF467" s="7">
        <v>50</v>
      </c>
      <c r="AG467" s="6">
        <v>0</v>
      </c>
      <c r="AH467" s="7">
        <v>0</v>
      </c>
      <c r="AI467" s="15">
        <v>0.08</v>
      </c>
      <c r="AJ467" s="6">
        <v>8</v>
      </c>
      <c r="AK467" s="3"/>
      <c r="AL467" s="6">
        <v>187.78283530546622</v>
      </c>
      <c r="AM467" s="6">
        <v>113.75735999999999</v>
      </c>
      <c r="AN467" s="6">
        <v>43.43062</v>
      </c>
      <c r="AO467" s="6">
        <v>30.594855305466243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/>
      <c r="BD467" s="3"/>
      <c r="BE467" s="3"/>
      <c r="BF467" s="7">
        <v>187.78283530546622</v>
      </c>
    </row>
    <row x14ac:dyDescent="0.25" r="468" customHeight="1" ht="12.75">
      <c r="A468" s="5" t="s">
        <v>763</v>
      </c>
      <c r="B468" s="3" t="s">
        <v>859</v>
      </c>
      <c r="C468" s="3" t="s">
        <v>866</v>
      </c>
      <c r="D468" s="3" t="s">
        <v>988</v>
      </c>
      <c r="E468" s="3"/>
      <c r="F468" s="6">
        <f>100*SUM(AM468:AO468)/AL468</f>
      </c>
      <c r="G468" s="6">
        <f>100*SUM(AP468)/AL468</f>
      </c>
      <c r="H468" s="6">
        <f>100*SUM(AQ468)/AL468</f>
      </c>
      <c r="I468" s="6">
        <f>100*SUM(AR468:BC468)/AL468</f>
      </c>
      <c r="J468" s="3"/>
      <c r="K468" s="6">
        <v>1.8</v>
      </c>
      <c r="L468" s="6"/>
      <c r="M468" s="6">
        <v>4.4</v>
      </c>
      <c r="N468" s="5"/>
      <c r="O468" s="6"/>
      <c r="P468" s="6"/>
      <c r="Q468" s="7"/>
      <c r="R468" s="6"/>
      <c r="S468" s="6"/>
      <c r="T468" s="6"/>
      <c r="U468" s="5"/>
      <c r="V468" s="6"/>
      <c r="W468" s="6"/>
      <c r="X468" s="6"/>
      <c r="Y468" s="15"/>
      <c r="Z468" s="6"/>
      <c r="AA468" s="6"/>
      <c r="AB468" s="5"/>
      <c r="AC468" s="3"/>
      <c r="AD468" s="6">
        <v>0</v>
      </c>
      <c r="AE468" s="6">
        <v>0.0792</v>
      </c>
      <c r="AF468" s="7">
        <v>0</v>
      </c>
      <c r="AG468" s="6">
        <v>0</v>
      </c>
      <c r="AH468" s="7">
        <v>0</v>
      </c>
      <c r="AI468" s="15">
        <v>0.0792</v>
      </c>
      <c r="AJ468" s="6">
        <v>4.4</v>
      </c>
      <c r="AK468" s="3"/>
      <c r="AL468" s="6">
        <v>95.547364</v>
      </c>
      <c r="AM468" s="6">
        <v>0</v>
      </c>
      <c r="AN468" s="6">
        <v>95.547364</v>
      </c>
      <c r="AO468" s="6">
        <v>0</v>
      </c>
      <c r="AP468" s="6">
        <v>0</v>
      </c>
      <c r="AQ468" s="6">
        <v>0</v>
      </c>
      <c r="AR468" s="6">
        <v>0</v>
      </c>
      <c r="AS468" s="6">
        <v>0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0</v>
      </c>
      <c r="BC468" s="6"/>
      <c r="BD468" s="3"/>
      <c r="BE468" s="3"/>
      <c r="BF468" s="7">
        <v>171.9852552</v>
      </c>
    </row>
    <row x14ac:dyDescent="0.25" r="469" customHeight="1" ht="12.75">
      <c r="A469" s="5" t="s">
        <v>817</v>
      </c>
      <c r="B469" s="3" t="s">
        <v>859</v>
      </c>
      <c r="C469" s="3" t="s">
        <v>866</v>
      </c>
      <c r="D469" s="3" t="s">
        <v>988</v>
      </c>
      <c r="E469" s="3"/>
      <c r="F469" s="6">
        <f>100*SUM(AM469:AO469)/AL469</f>
      </c>
      <c r="G469" s="6">
        <f>100*SUM(AP469)/AL469</f>
      </c>
      <c r="H469" s="6">
        <f>100*SUM(AQ469)/AL469</f>
      </c>
      <c r="I469" s="6">
        <f>100*SUM(AR469:BC469)/AL469</f>
      </c>
      <c r="J469" s="3"/>
      <c r="K469" s="6">
        <v>1.8</v>
      </c>
      <c r="L469" s="6">
        <v>0.58</v>
      </c>
      <c r="M469" s="6">
        <v>2.6</v>
      </c>
      <c r="N469" s="5"/>
      <c r="O469" s="6"/>
      <c r="P469" s="6"/>
      <c r="Q469" s="7"/>
      <c r="R469" s="6"/>
      <c r="S469" s="6"/>
      <c r="T469" s="6"/>
      <c r="U469" s="5"/>
      <c r="V469" s="6"/>
      <c r="W469" s="6"/>
      <c r="X469" s="6"/>
      <c r="Y469" s="15"/>
      <c r="Z469" s="6"/>
      <c r="AA469" s="6"/>
      <c r="AB469" s="5"/>
      <c r="AC469" s="3"/>
      <c r="AD469" s="6">
        <v>0.01044</v>
      </c>
      <c r="AE469" s="6">
        <v>0.04680000000000001</v>
      </c>
      <c r="AF469" s="7">
        <v>0</v>
      </c>
      <c r="AG469" s="6">
        <v>0</v>
      </c>
      <c r="AH469" s="7">
        <v>0</v>
      </c>
      <c r="AI469" s="15">
        <v>0.057240000000000006</v>
      </c>
      <c r="AJ469" s="6">
        <v>3.18</v>
      </c>
      <c r="AK469" s="3"/>
      <c r="AL469" s="6">
        <v>67.4563508</v>
      </c>
      <c r="AM469" s="6">
        <v>10.996544799999999</v>
      </c>
      <c r="AN469" s="6">
        <v>56.459806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0</v>
      </c>
      <c r="BB469" s="6">
        <v>0</v>
      </c>
      <c r="BC469" s="6"/>
      <c r="BD469" s="3"/>
      <c r="BE469" s="3"/>
      <c r="BF469" s="7">
        <v>121.42143143999999</v>
      </c>
    </row>
    <row x14ac:dyDescent="0.25" r="470" customHeight="1" ht="12.75">
      <c r="A470" s="5" t="s">
        <v>692</v>
      </c>
      <c r="B470" s="3" t="s">
        <v>859</v>
      </c>
      <c r="C470" s="3" t="s">
        <v>866</v>
      </c>
      <c r="D470" s="3" t="s">
        <v>989</v>
      </c>
      <c r="E470" s="3"/>
      <c r="F470" s="6">
        <f>100*SUM(AM470:AO470)/AL470</f>
      </c>
      <c r="G470" s="6">
        <f>100*SUM(AP470)/AL470</f>
      </c>
      <c r="H470" s="6">
        <f>100*SUM(AQ470)/AL470</f>
      </c>
      <c r="I470" s="6">
        <f>100*SUM(AR470:BC470)/AL470</f>
      </c>
      <c r="J470" s="3"/>
      <c r="K470" s="5">
        <v>1</v>
      </c>
      <c r="L470" s="7">
        <v>2</v>
      </c>
      <c r="M470" s="6">
        <v>3.5</v>
      </c>
      <c r="N470" s="5">
        <v>14</v>
      </c>
      <c r="O470" s="6"/>
      <c r="P470" s="6"/>
      <c r="Q470" s="7"/>
      <c r="R470" s="6"/>
      <c r="S470" s="6"/>
      <c r="T470" s="6"/>
      <c r="U470" s="5"/>
      <c r="V470" s="6"/>
      <c r="W470" s="6"/>
      <c r="X470" s="6"/>
      <c r="Y470" s="15"/>
      <c r="Z470" s="6"/>
      <c r="AA470" s="6"/>
      <c r="AB470" s="5"/>
      <c r="AC470" s="3"/>
      <c r="AD470" s="6">
        <v>0.02</v>
      </c>
      <c r="AE470" s="6">
        <v>0.035</v>
      </c>
      <c r="AF470" s="7">
        <v>14</v>
      </c>
      <c r="AG470" s="6">
        <v>0</v>
      </c>
      <c r="AH470" s="7">
        <v>0</v>
      </c>
      <c r="AI470" s="15">
        <v>0.05500000000000001</v>
      </c>
      <c r="AJ470" s="6">
        <v>5.5</v>
      </c>
      <c r="AK470" s="3"/>
      <c r="AL470" s="6">
        <v>122.48926448553055</v>
      </c>
      <c r="AM470" s="6">
        <v>37.91912</v>
      </c>
      <c r="AN470" s="6">
        <v>76.003585</v>
      </c>
      <c r="AO470" s="6">
        <v>8.566559485530547</v>
      </c>
      <c r="AP470" s="6">
        <v>0</v>
      </c>
      <c r="AQ470" s="6">
        <v>0</v>
      </c>
      <c r="AR470" s="6">
        <v>0</v>
      </c>
      <c r="AS470" s="6">
        <v>0</v>
      </c>
      <c r="AT470" s="6">
        <v>0</v>
      </c>
      <c r="AU470" s="6">
        <v>0</v>
      </c>
      <c r="AV470" s="6">
        <v>0</v>
      </c>
      <c r="AW470" s="6">
        <v>0</v>
      </c>
      <c r="AX470" s="6">
        <v>0</v>
      </c>
      <c r="AY470" s="6">
        <v>0</v>
      </c>
      <c r="AZ470" s="6">
        <v>0</v>
      </c>
      <c r="BA470" s="6">
        <v>0</v>
      </c>
      <c r="BB470" s="6">
        <v>0</v>
      </c>
      <c r="BC470" s="6"/>
      <c r="BD470" s="3"/>
      <c r="BE470" s="3"/>
      <c r="BF470" s="7">
        <v>122.48926448553055</v>
      </c>
    </row>
    <row x14ac:dyDescent="0.25" r="471" customHeight="1" ht="12.75">
      <c r="A471" s="5" t="s">
        <v>624</v>
      </c>
      <c r="B471" s="3" t="s">
        <v>859</v>
      </c>
      <c r="C471" s="3" t="s">
        <v>866</v>
      </c>
      <c r="D471" s="3" t="s">
        <v>988</v>
      </c>
      <c r="E471" s="3"/>
      <c r="F471" s="6">
        <f>100*SUM(AM471:AO471)/AL471</f>
      </c>
      <c r="G471" s="6">
        <f>100*SUM(AP471)/AL471</f>
      </c>
      <c r="H471" s="6">
        <f>100*SUM(AQ471)/AL471</f>
      </c>
      <c r="I471" s="6">
        <f>100*SUM(AR471:BC471)/AL471</f>
      </c>
      <c r="J471" s="3"/>
      <c r="K471" s="23">
        <v>0.5</v>
      </c>
      <c r="L471" s="6">
        <v>2.7</v>
      </c>
      <c r="M471" s="6">
        <v>3.5</v>
      </c>
      <c r="N471" s="5"/>
      <c r="O471" s="6"/>
      <c r="P471" s="6"/>
      <c r="Q471" s="7"/>
      <c r="R471" s="6"/>
      <c r="S471" s="6"/>
      <c r="T471" s="6"/>
      <c r="U471" s="5"/>
      <c r="V471" s="6"/>
      <c r="W471" s="6"/>
      <c r="X471" s="6"/>
      <c r="Y471" s="15"/>
      <c r="Z471" s="6"/>
      <c r="AA471" s="6"/>
      <c r="AB471" s="5"/>
      <c r="AC471" s="3"/>
      <c r="AD471" s="6">
        <v>0.013500000000000002</v>
      </c>
      <c r="AE471" s="6">
        <v>0.0175</v>
      </c>
      <c r="AF471" s="7">
        <v>0</v>
      </c>
      <c r="AG471" s="6">
        <v>0</v>
      </c>
      <c r="AH471" s="7">
        <v>0</v>
      </c>
      <c r="AI471" s="15">
        <v>0.031000000000000003</v>
      </c>
      <c r="AJ471" s="6">
        <v>6.2</v>
      </c>
      <c r="AK471" s="3"/>
      <c r="AL471" s="6">
        <v>127.19439700000001</v>
      </c>
      <c r="AM471" s="6">
        <v>51.190812</v>
      </c>
      <c r="AN471" s="6">
        <v>76.003585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0</v>
      </c>
      <c r="BB471" s="6">
        <v>0</v>
      </c>
      <c r="BC471" s="6"/>
      <c r="BD471" s="3"/>
      <c r="BE471" s="3"/>
      <c r="BF471" s="7">
        <v>63.597198500000005</v>
      </c>
    </row>
    <row x14ac:dyDescent="0.25" r="472" customHeight="1" ht="12.75">
      <c r="A472" s="5" t="s">
        <v>811</v>
      </c>
      <c r="B472" s="3" t="s">
        <v>859</v>
      </c>
      <c r="C472" s="3" t="s">
        <v>866</v>
      </c>
      <c r="D472" s="3" t="s">
        <v>989</v>
      </c>
      <c r="E472" s="3"/>
      <c r="F472" s="6">
        <f>100*SUM(AM472:AO472)/AL472</f>
      </c>
      <c r="G472" s="6">
        <f>100*SUM(AP472)/AL472</f>
      </c>
      <c r="H472" s="6">
        <f>100*SUM(AQ472)/AL472</f>
      </c>
      <c r="I472" s="6">
        <f>100*SUM(AR472:BC472)/AL472</f>
      </c>
      <c r="J472" s="3"/>
      <c r="K472" s="6">
        <v>0.63</v>
      </c>
      <c r="L472" s="6">
        <v>0.18</v>
      </c>
      <c r="M472" s="6">
        <v>3.3</v>
      </c>
      <c r="N472" s="5"/>
      <c r="O472" s="6"/>
      <c r="P472" s="6"/>
      <c r="Q472" s="7"/>
      <c r="R472" s="6"/>
      <c r="S472" s="6"/>
      <c r="T472" s="6"/>
      <c r="U472" s="5"/>
      <c r="V472" s="6"/>
      <c r="W472" s="6"/>
      <c r="X472" s="6"/>
      <c r="Y472" s="15"/>
      <c r="Z472" s="6"/>
      <c r="AA472" s="6"/>
      <c r="AB472" s="5"/>
      <c r="AC472" s="3"/>
      <c r="AD472" s="6">
        <v>0.001134</v>
      </c>
      <c r="AE472" s="6">
        <v>0.020789999999999996</v>
      </c>
      <c r="AF472" s="7">
        <v>0</v>
      </c>
      <c r="AG472" s="6">
        <v>0</v>
      </c>
      <c r="AH472" s="7">
        <v>0</v>
      </c>
      <c r="AI472" s="15">
        <v>0.021923999999999996</v>
      </c>
      <c r="AJ472" s="6">
        <v>3.48</v>
      </c>
      <c r="AK472" s="3"/>
      <c r="AL472" s="6">
        <v>75.0732438</v>
      </c>
      <c r="AM472" s="6">
        <v>3.4127207999999998</v>
      </c>
      <c r="AN472" s="6">
        <v>71.660523</v>
      </c>
      <c r="AO472" s="6">
        <v>0</v>
      </c>
      <c r="AP472" s="6">
        <v>0</v>
      </c>
      <c r="AQ472" s="6">
        <v>0</v>
      </c>
      <c r="AR472" s="6">
        <v>0</v>
      </c>
      <c r="AS472" s="6">
        <v>0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0</v>
      </c>
      <c r="BC472" s="6"/>
      <c r="BD472" s="3"/>
      <c r="BE472" s="3"/>
      <c r="BF472" s="7">
        <v>47.296143594</v>
      </c>
    </row>
    <row x14ac:dyDescent="0.25" r="473" customHeight="1" ht="12.75">
      <c r="A473" s="5" t="s">
        <v>372</v>
      </c>
      <c r="B473" s="3" t="s">
        <v>859</v>
      </c>
      <c r="C473" s="3" t="s">
        <v>866</v>
      </c>
      <c r="D473" s="3" t="s">
        <v>989</v>
      </c>
      <c r="E473" s="3"/>
      <c r="F473" s="6">
        <f>100*SUM(AM473:AO473)/AL473</f>
      </c>
      <c r="G473" s="6">
        <f>100*SUM(AP473)/AL473</f>
      </c>
      <c r="H473" s="6">
        <f>100*SUM(AQ473)/AL473</f>
      </c>
      <c r="I473" s="6">
        <f>100*SUM(AR473:BC473)/AL473</f>
      </c>
      <c r="J473" s="3"/>
      <c r="K473" s="6">
        <v>0.15</v>
      </c>
      <c r="L473" s="5">
        <v>7</v>
      </c>
      <c r="M473" s="6">
        <v>2.5</v>
      </c>
      <c r="N473" s="5"/>
      <c r="O473" s="6"/>
      <c r="P473" s="6"/>
      <c r="Q473" s="7"/>
      <c r="R473" s="6"/>
      <c r="S473" s="6"/>
      <c r="T473" s="6"/>
      <c r="U473" s="5"/>
      <c r="V473" s="6"/>
      <c r="W473" s="6"/>
      <c r="X473" s="6"/>
      <c r="Y473" s="15"/>
      <c r="Z473" s="6"/>
      <c r="AA473" s="6"/>
      <c r="AB473" s="5"/>
      <c r="AC473" s="3"/>
      <c r="AD473" s="6">
        <v>0.0105</v>
      </c>
      <c r="AE473" s="6">
        <v>0.00375</v>
      </c>
      <c r="AF473" s="7">
        <v>0</v>
      </c>
      <c r="AG473" s="6">
        <v>0</v>
      </c>
      <c r="AH473" s="7">
        <v>0</v>
      </c>
      <c r="AI473" s="15">
        <v>0.01425</v>
      </c>
      <c r="AJ473" s="6">
        <v>9.5</v>
      </c>
      <c r="AK473" s="3"/>
      <c r="AL473" s="6">
        <v>187.00519500000001</v>
      </c>
      <c r="AM473" s="6">
        <v>132.71692000000002</v>
      </c>
      <c r="AN473" s="6">
        <v>54.288275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0</v>
      </c>
      <c r="BC473" s="6"/>
      <c r="BD473" s="3"/>
      <c r="BE473" s="3"/>
      <c r="BF473" s="7">
        <v>28.05077925</v>
      </c>
    </row>
    <row x14ac:dyDescent="0.25" r="474" customHeight="1" ht="12.75">
      <c r="A474" s="5" t="s">
        <v>475</v>
      </c>
      <c r="B474" s="3" t="s">
        <v>859</v>
      </c>
      <c r="C474" s="3" t="s">
        <v>866</v>
      </c>
      <c r="D474" s="3" t="s">
        <v>988</v>
      </c>
      <c r="E474" s="3"/>
      <c r="F474" s="6">
        <f>100*SUM(AM474:AO474)/AL474</f>
      </c>
      <c r="G474" s="6">
        <f>100*SUM(AP474)/AL474</f>
      </c>
      <c r="H474" s="6">
        <f>100*SUM(AQ474)/AL474</f>
      </c>
      <c r="I474" s="6">
        <f>100*SUM(AR474:BC474)/AL474</f>
      </c>
      <c r="J474" s="3"/>
      <c r="K474" s="6">
        <v>0.127</v>
      </c>
      <c r="L474" s="6"/>
      <c r="M474" s="7">
        <v>8</v>
      </c>
      <c r="N474" s="5"/>
      <c r="O474" s="6"/>
      <c r="P474" s="6"/>
      <c r="Q474" s="7"/>
      <c r="R474" s="6"/>
      <c r="S474" s="6"/>
      <c r="T474" s="6"/>
      <c r="U474" s="5"/>
      <c r="V474" s="6"/>
      <c r="W474" s="6"/>
      <c r="X474" s="6"/>
      <c r="Y474" s="15"/>
      <c r="Z474" s="6"/>
      <c r="AA474" s="6"/>
      <c r="AB474" s="5"/>
      <c r="AC474" s="3"/>
      <c r="AD474" s="6">
        <v>0</v>
      </c>
      <c r="AE474" s="6">
        <v>0.01016</v>
      </c>
      <c r="AF474" s="7">
        <v>0</v>
      </c>
      <c r="AG474" s="6">
        <v>0</v>
      </c>
      <c r="AH474" s="7">
        <v>0</v>
      </c>
      <c r="AI474" s="15">
        <v>0.01016</v>
      </c>
      <c r="AJ474" s="6">
        <v>8</v>
      </c>
      <c r="AK474" s="3"/>
      <c r="AL474" s="6">
        <v>173.72248</v>
      </c>
      <c r="AM474" s="6">
        <v>0</v>
      </c>
      <c r="AN474" s="6">
        <v>173.72248</v>
      </c>
      <c r="AO474" s="6">
        <v>0</v>
      </c>
      <c r="AP474" s="6">
        <v>0</v>
      </c>
      <c r="AQ474" s="6">
        <v>0</v>
      </c>
      <c r="AR474" s="6">
        <v>0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/>
      <c r="BD474" s="3"/>
      <c r="BE474" s="3"/>
      <c r="BF474" s="7">
        <v>22.06275496</v>
      </c>
    </row>
    <row x14ac:dyDescent="0.25" r="475" customHeight="1" ht="12.75">
      <c r="A475" s="5" t="s">
        <v>477</v>
      </c>
      <c r="B475" s="3" t="s">
        <v>859</v>
      </c>
      <c r="C475" s="3" t="s">
        <v>866</v>
      </c>
      <c r="D475" s="3" t="s">
        <v>989</v>
      </c>
      <c r="E475" s="3"/>
      <c r="F475" s="6">
        <f>100*SUM(AM475:AO475)/AL475</f>
      </c>
      <c r="G475" s="6">
        <f>100*SUM(AP475)/AL475</f>
      </c>
      <c r="H475" s="6">
        <f>100*SUM(AQ475)/AL475</f>
      </c>
      <c r="I475" s="6">
        <f>100*SUM(AR475:BC475)/AL475</f>
      </c>
      <c r="J475" s="3"/>
      <c r="K475" s="6">
        <v>0.125</v>
      </c>
      <c r="L475" s="7">
        <v>2.6666666666666665</v>
      </c>
      <c r="M475" s="7">
        <v>5.333333333333333</v>
      </c>
      <c r="N475" s="5"/>
      <c r="O475" s="6"/>
      <c r="P475" s="6"/>
      <c r="Q475" s="7"/>
      <c r="R475" s="6"/>
      <c r="S475" s="6"/>
      <c r="T475" s="6"/>
      <c r="U475" s="5"/>
      <c r="V475" s="6"/>
      <c r="W475" s="6"/>
      <c r="X475" s="6"/>
      <c r="Y475" s="15"/>
      <c r="Z475" s="6"/>
      <c r="AA475" s="6"/>
      <c r="AB475" s="5"/>
      <c r="AC475" s="3"/>
      <c r="AD475" s="6">
        <v>0.003333333333333333</v>
      </c>
      <c r="AE475" s="6">
        <v>0.006666666666666666</v>
      </c>
      <c r="AF475" s="7">
        <v>0</v>
      </c>
      <c r="AG475" s="6">
        <v>0</v>
      </c>
      <c r="AH475" s="7">
        <v>0</v>
      </c>
      <c r="AI475" s="15">
        <v>0.009999999999999998</v>
      </c>
      <c r="AJ475" s="6">
        <v>8</v>
      </c>
      <c r="AK475" s="3"/>
      <c r="AL475" s="6">
        <v>166.37381333333332</v>
      </c>
      <c r="AM475" s="6">
        <v>50.55882666666666</v>
      </c>
      <c r="AN475" s="6">
        <v>115.81498666666666</v>
      </c>
      <c r="AO475" s="6">
        <v>0</v>
      </c>
      <c r="AP475" s="6">
        <v>0</v>
      </c>
      <c r="AQ475" s="6">
        <v>0</v>
      </c>
      <c r="AR475" s="6">
        <v>0</v>
      </c>
      <c r="AS475" s="6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/>
      <c r="BD475" s="3"/>
      <c r="BE475" s="3"/>
      <c r="BF475" s="7">
        <v>20.796726666666665</v>
      </c>
    </row>
    <row x14ac:dyDescent="0.25" r="476" customHeight="1" ht="12.75">
      <c r="A476" s="5" t="s">
        <v>246</v>
      </c>
      <c r="B476" s="3" t="s">
        <v>859</v>
      </c>
      <c r="C476" s="3" t="s">
        <v>866</v>
      </c>
      <c r="D476" s="3" t="s">
        <v>1002</v>
      </c>
      <c r="E476" s="3"/>
      <c r="F476" s="6">
        <f>100*SUM(AM476:AO476)/AL476</f>
      </c>
      <c r="G476" s="6">
        <f>100*SUM(AP476)/AL476</f>
      </c>
      <c r="H476" s="6">
        <f>100*SUM(AQ476)/AL476</f>
      </c>
      <c r="I476" s="6">
        <f>100*SUM(AR476:BC476)/AL476</f>
      </c>
      <c r="J476" s="3"/>
      <c r="K476" s="23">
        <v>0.072431</v>
      </c>
      <c r="L476" s="6">
        <v>2.84</v>
      </c>
      <c r="M476" s="6">
        <v>6.03</v>
      </c>
      <c r="N476" s="6">
        <v>366.7</v>
      </c>
      <c r="O476" s="6"/>
      <c r="P476" s="6"/>
      <c r="Q476" s="7"/>
      <c r="R476" s="6"/>
      <c r="S476" s="6"/>
      <c r="T476" s="6"/>
      <c r="U476" s="5"/>
      <c r="V476" s="6"/>
      <c r="W476" s="6"/>
      <c r="X476" s="6"/>
      <c r="Y476" s="15"/>
      <c r="Z476" s="6"/>
      <c r="AA476" s="6"/>
      <c r="AB476" s="5"/>
      <c r="AC476" s="3"/>
      <c r="AD476" s="6">
        <v>0.0020570403999999997</v>
      </c>
      <c r="AE476" s="6">
        <v>0.0043675892999999995</v>
      </c>
      <c r="AF476" s="7">
        <v>26.560447699999997</v>
      </c>
      <c r="AG476" s="6">
        <v>0</v>
      </c>
      <c r="AH476" s="7">
        <v>0</v>
      </c>
      <c r="AI476" s="15">
        <v>0.006424629699999999</v>
      </c>
      <c r="AJ476" s="6">
        <v>8.870000000000001</v>
      </c>
      <c r="AK476" s="3"/>
      <c r="AL476" s="6">
        <v>409.1711385102894</v>
      </c>
      <c r="AM476" s="6">
        <v>53.845150399999994</v>
      </c>
      <c r="AN476" s="6">
        <v>130.94331929999998</v>
      </c>
      <c r="AO476" s="6">
        <v>224.3826688102894</v>
      </c>
      <c r="AP476" s="6">
        <v>0</v>
      </c>
      <c r="AQ476" s="6">
        <v>0</v>
      </c>
      <c r="AR476" s="6">
        <v>0</v>
      </c>
      <c r="AS476" s="6">
        <v>0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0</v>
      </c>
      <c r="BC476" s="6"/>
      <c r="BD476" s="3"/>
      <c r="BE476" s="3"/>
      <c r="BF476" s="7">
        <v>29.636674733438767</v>
      </c>
    </row>
    <row x14ac:dyDescent="0.25" r="477" customHeight="1" ht="12.75">
      <c r="A477" s="5" t="s">
        <v>69</v>
      </c>
      <c r="B477" s="3" t="s">
        <v>859</v>
      </c>
      <c r="C477" s="3" t="s">
        <v>866</v>
      </c>
      <c r="D477" s="3" t="s">
        <v>988</v>
      </c>
      <c r="E477" s="3"/>
      <c r="F477" s="6">
        <f>100*SUM(AM477:AO477)/AL477</f>
      </c>
      <c r="G477" s="6">
        <f>100*SUM(AP477)/AL477</f>
      </c>
      <c r="H477" s="6">
        <f>100*SUM(AQ477)/AL477</f>
      </c>
      <c r="I477" s="6">
        <f>100*SUM(AR477:BC477)/AL477</f>
      </c>
      <c r="J477" s="3"/>
      <c r="K477" s="6">
        <v>0.025</v>
      </c>
      <c r="L477" s="6">
        <v>3.7</v>
      </c>
      <c r="M477" s="6">
        <v>15.6</v>
      </c>
      <c r="N477" s="6">
        <v>76.3</v>
      </c>
      <c r="O477" s="6"/>
      <c r="P477" s="6"/>
      <c r="Q477" s="7"/>
      <c r="R477" s="6"/>
      <c r="S477" s="6"/>
      <c r="T477" s="6"/>
      <c r="U477" s="5"/>
      <c r="V477" s="6"/>
      <c r="W477" s="6"/>
      <c r="X477" s="6"/>
      <c r="Y477" s="15"/>
      <c r="Z477" s="6"/>
      <c r="AA477" s="6"/>
      <c r="AB477" s="5"/>
      <c r="AC477" s="3"/>
      <c r="AD477" s="6">
        <v>0.0009250000000000001</v>
      </c>
      <c r="AE477" s="6">
        <v>0.0039000000000000003</v>
      </c>
      <c r="AF477" s="7">
        <v>1.9075</v>
      </c>
      <c r="AG477" s="6">
        <v>0</v>
      </c>
      <c r="AH477" s="7">
        <v>0</v>
      </c>
      <c r="AI477" s="15">
        <v>0.004825</v>
      </c>
      <c r="AJ477" s="6">
        <v>19.3</v>
      </c>
      <c r="AK477" s="3"/>
      <c r="AL477" s="6">
        <v>455.5969571961415</v>
      </c>
      <c r="AM477" s="6">
        <v>70.150372</v>
      </c>
      <c r="AN477" s="6">
        <v>338.758836</v>
      </c>
      <c r="AO477" s="6">
        <v>46.68774919614148</v>
      </c>
      <c r="AP477" s="6">
        <v>0</v>
      </c>
      <c r="AQ477" s="6">
        <v>0</v>
      </c>
      <c r="AR477" s="6">
        <v>0</v>
      </c>
      <c r="AS477" s="6">
        <v>0</v>
      </c>
      <c r="AT477" s="6">
        <v>0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6">
        <v>0</v>
      </c>
      <c r="BA477" s="6">
        <v>0</v>
      </c>
      <c r="BB477" s="6">
        <v>0</v>
      </c>
      <c r="BC477" s="6"/>
      <c r="BD477" s="3"/>
      <c r="BE477" s="3"/>
      <c r="BF477" s="7">
        <v>11.389923929903539</v>
      </c>
    </row>
    <row x14ac:dyDescent="0.25" r="478" customHeight="1" ht="12.75">
      <c r="A478" s="5" t="s">
        <v>224</v>
      </c>
      <c r="B478" s="3" t="s">
        <v>859</v>
      </c>
      <c r="C478" s="3" t="s">
        <v>866</v>
      </c>
      <c r="D478" s="3" t="s">
        <v>988</v>
      </c>
      <c r="E478" s="3"/>
      <c r="F478" s="6">
        <f>100*SUM(AM478:AO478)/AL478</f>
      </c>
      <c r="G478" s="6">
        <f>100*SUM(AP478)/AL478</f>
      </c>
      <c r="H478" s="6">
        <f>100*SUM(AQ478)/AL478</f>
      </c>
      <c r="I478" s="6">
        <f>100*SUM(AR478:BC478)/AL478</f>
      </c>
      <c r="J478" s="3"/>
      <c r="K478" s="6">
        <v>0.03</v>
      </c>
      <c r="L478" s="6"/>
      <c r="M478" s="6">
        <v>12.03</v>
      </c>
      <c r="N478" s="5"/>
      <c r="O478" s="6"/>
      <c r="P478" s="6"/>
      <c r="Q478" s="7"/>
      <c r="R478" s="6"/>
      <c r="S478" s="6"/>
      <c r="T478" s="6"/>
      <c r="U478" s="5"/>
      <c r="V478" s="6"/>
      <c r="W478" s="6"/>
      <c r="X478" s="6"/>
      <c r="Y478" s="15"/>
      <c r="Z478" s="6"/>
      <c r="AA478" s="6"/>
      <c r="AB478" s="5"/>
      <c r="AC478" s="3"/>
      <c r="AD478" s="6">
        <v>0</v>
      </c>
      <c r="AE478" s="6">
        <v>0.0036089999999999994</v>
      </c>
      <c r="AF478" s="7">
        <v>0</v>
      </c>
      <c r="AG478" s="6">
        <v>0</v>
      </c>
      <c r="AH478" s="7">
        <v>0</v>
      </c>
      <c r="AI478" s="15">
        <v>0.0036089999999999994</v>
      </c>
      <c r="AJ478" s="6">
        <v>12.03</v>
      </c>
      <c r="AK478" s="3"/>
      <c r="AL478" s="6">
        <v>261.23517929999997</v>
      </c>
      <c r="AM478" s="6">
        <v>0</v>
      </c>
      <c r="AN478" s="6">
        <v>261.23517929999997</v>
      </c>
      <c r="AO478" s="6">
        <v>0</v>
      </c>
      <c r="AP478" s="6">
        <v>0</v>
      </c>
      <c r="AQ478" s="6">
        <v>0</v>
      </c>
      <c r="AR478" s="6">
        <v>0</v>
      </c>
      <c r="AS478" s="6">
        <v>0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6">
        <v>0</v>
      </c>
      <c r="BA478" s="6">
        <v>0</v>
      </c>
      <c r="BB478" s="6">
        <v>0</v>
      </c>
      <c r="BC478" s="6"/>
      <c r="BD478" s="3"/>
      <c r="BE478" s="3"/>
      <c r="BF478" s="7">
        <v>7.837055378999999</v>
      </c>
    </row>
    <row x14ac:dyDescent="0.25" r="479" customHeight="1" ht="12.75">
      <c r="A479" s="5" t="s">
        <v>754</v>
      </c>
      <c r="B479" s="3" t="s">
        <v>859</v>
      </c>
      <c r="C479" s="3" t="s">
        <v>866</v>
      </c>
      <c r="D479" s="3" t="s">
        <v>988</v>
      </c>
      <c r="E479" s="3"/>
      <c r="F479" s="6">
        <f>100*SUM(AM479:AO479)/AL479</f>
      </c>
      <c r="G479" s="6">
        <f>100*SUM(AP479)/AL479</f>
      </c>
      <c r="H479" s="6">
        <f>100*SUM(AQ479)/AL479</f>
      </c>
      <c r="I479" s="6">
        <f>100*SUM(AR479:BC479)/AL479</f>
      </c>
      <c r="J479" s="3"/>
      <c r="K479" s="6">
        <v>0.05</v>
      </c>
      <c r="L479" s="6"/>
      <c r="M479" s="6">
        <v>4.5</v>
      </c>
      <c r="N479" s="5"/>
      <c r="O479" s="6"/>
      <c r="P479" s="6"/>
      <c r="Q479" s="7"/>
      <c r="R479" s="6"/>
      <c r="S479" s="6"/>
      <c r="T479" s="6"/>
      <c r="U479" s="5"/>
      <c r="V479" s="6"/>
      <c r="W479" s="6"/>
      <c r="X479" s="6"/>
      <c r="Y479" s="15"/>
      <c r="Z479" s="6"/>
      <c r="AA479" s="6"/>
      <c r="AB479" s="5"/>
      <c r="AC479" s="3"/>
      <c r="AD479" s="6">
        <v>0</v>
      </c>
      <c r="AE479" s="6">
        <v>0.0022500000000000003</v>
      </c>
      <c r="AF479" s="7">
        <v>0</v>
      </c>
      <c r="AG479" s="6">
        <v>0</v>
      </c>
      <c r="AH479" s="7">
        <v>0</v>
      </c>
      <c r="AI479" s="15">
        <v>0.0022500000000000003</v>
      </c>
      <c r="AJ479" s="6">
        <v>4.5</v>
      </c>
      <c r="AK479" s="3"/>
      <c r="AL479" s="6">
        <v>97.71889499999999</v>
      </c>
      <c r="AM479" s="6">
        <v>0</v>
      </c>
      <c r="AN479" s="6">
        <v>97.71889499999999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0</v>
      </c>
      <c r="BC479" s="6"/>
      <c r="BD479" s="3"/>
      <c r="BE479" s="3"/>
      <c r="BF479" s="7">
        <v>4.88594475</v>
      </c>
    </row>
    <row x14ac:dyDescent="0.25" r="480" customHeight="1" ht="12.75">
      <c r="A480" s="5" t="s">
        <v>778</v>
      </c>
      <c r="B480" s="3" t="s">
        <v>859</v>
      </c>
      <c r="C480" s="3" t="s">
        <v>866</v>
      </c>
      <c r="D480" s="3" t="s">
        <v>989</v>
      </c>
      <c r="E480" s="3"/>
      <c r="F480" s="6">
        <f>100*SUM(AM480:AO480)/AL480</f>
      </c>
      <c r="G480" s="6">
        <f>100*SUM(AP480)/AL480</f>
      </c>
      <c r="H480" s="6">
        <f>100*SUM(AQ480)/AL480</f>
      </c>
      <c r="I480" s="6">
        <f>100*SUM(AR480:BC480)/AL480</f>
      </c>
      <c r="J480" s="3"/>
      <c r="K480" s="23">
        <v>0.036287</v>
      </c>
      <c r="L480" s="6">
        <v>0.1</v>
      </c>
      <c r="M480" s="6">
        <v>4.1</v>
      </c>
      <c r="N480" s="5"/>
      <c r="O480" s="6"/>
      <c r="P480" s="6"/>
      <c r="Q480" s="7"/>
      <c r="R480" s="6"/>
      <c r="S480" s="6"/>
      <c r="T480" s="6"/>
      <c r="U480" s="5"/>
      <c r="V480" s="6"/>
      <c r="W480" s="6"/>
      <c r="X480" s="6"/>
      <c r="Y480" s="15"/>
      <c r="Z480" s="6"/>
      <c r="AA480" s="6"/>
      <c r="AB480" s="5"/>
      <c r="AC480" s="3"/>
      <c r="AD480" s="6">
        <v>0.000036287</v>
      </c>
      <c r="AE480" s="6">
        <v>0.0014877669999999999</v>
      </c>
      <c r="AF480" s="7">
        <v>0</v>
      </c>
      <c r="AG480" s="6">
        <v>0</v>
      </c>
      <c r="AH480" s="7">
        <v>0</v>
      </c>
      <c r="AI480" s="15">
        <v>0.001524054</v>
      </c>
      <c r="AJ480" s="6">
        <v>4.199999999999999</v>
      </c>
      <c r="AK480" s="3"/>
      <c r="AL480" s="6">
        <v>90.92872699999998</v>
      </c>
      <c r="AM480" s="6">
        <v>1.895956</v>
      </c>
      <c r="AN480" s="6">
        <v>89.03277099999998</v>
      </c>
      <c r="AO480" s="6">
        <v>0</v>
      </c>
      <c r="AP480" s="6">
        <v>0</v>
      </c>
      <c r="AQ480" s="6">
        <v>0</v>
      </c>
      <c r="AR480" s="6">
        <v>0</v>
      </c>
      <c r="AS480" s="6">
        <v>0</v>
      </c>
      <c r="AT480" s="6">
        <v>0</v>
      </c>
      <c r="AU480" s="6">
        <v>0</v>
      </c>
      <c r="AV480" s="6">
        <v>0</v>
      </c>
      <c r="AW480" s="6">
        <v>0</v>
      </c>
      <c r="AX480" s="6">
        <v>0</v>
      </c>
      <c r="AY480" s="6">
        <v>0</v>
      </c>
      <c r="AZ480" s="6">
        <v>0</v>
      </c>
      <c r="BA480" s="6">
        <v>0</v>
      </c>
      <c r="BB480" s="6">
        <v>0</v>
      </c>
      <c r="BC480" s="6"/>
      <c r="BD480" s="3"/>
      <c r="BE480" s="3"/>
      <c r="BF480" s="7">
        <v>3.299530716648999</v>
      </c>
    </row>
    <row x14ac:dyDescent="0.25" r="481" customHeight="1" ht="12.75">
      <c r="A481" s="5" t="s">
        <v>788</v>
      </c>
      <c r="B481" s="3" t="s">
        <v>859</v>
      </c>
      <c r="C481" s="3" t="s">
        <v>866</v>
      </c>
      <c r="D481" s="3" t="s">
        <v>988</v>
      </c>
      <c r="E481" s="3"/>
      <c r="F481" s="6">
        <f>100*SUM(AM481:AO481)/AL481</f>
      </c>
      <c r="G481" s="6">
        <f>100*SUM(AP481)/AL481</f>
      </c>
      <c r="H481" s="6">
        <f>100*SUM(AQ481)/AL481</f>
      </c>
      <c r="I481" s="6">
        <f>100*SUM(AR481:BC481)/AL481</f>
      </c>
      <c r="J481" s="3"/>
      <c r="K481" s="6">
        <v>3.14</v>
      </c>
      <c r="L481" s="6">
        <v>0.67</v>
      </c>
      <c r="M481" s="6">
        <v>3.25</v>
      </c>
      <c r="N481" s="5"/>
      <c r="O481" s="6"/>
      <c r="P481" s="6"/>
      <c r="Q481" s="7"/>
      <c r="R481" s="6"/>
      <c r="S481" s="6"/>
      <c r="T481" s="6"/>
      <c r="U481" s="5"/>
      <c r="V481" s="6"/>
      <c r="W481" s="6"/>
      <c r="X481" s="6"/>
      <c r="Y481" s="15"/>
      <c r="Z481" s="6"/>
      <c r="AA481" s="6"/>
      <c r="AB481" s="5"/>
      <c r="AC481" s="3"/>
      <c r="AD481" s="6">
        <v>0.021038</v>
      </c>
      <c r="AE481" s="6">
        <v>0.10205</v>
      </c>
      <c r="AF481" s="7">
        <v>0</v>
      </c>
      <c r="AG481" s="6">
        <v>0</v>
      </c>
      <c r="AH481" s="7">
        <v>0</v>
      </c>
      <c r="AI481" s="15">
        <v>0.123088</v>
      </c>
      <c r="AJ481" s="6">
        <v>3.92</v>
      </c>
      <c r="AK481" s="3"/>
      <c r="AL481" s="6">
        <v>83.27766270000001</v>
      </c>
      <c r="AM481" s="6">
        <v>12.7029052</v>
      </c>
      <c r="AN481" s="6">
        <v>70.5747575</v>
      </c>
      <c r="AO481" s="6">
        <v>0</v>
      </c>
      <c r="AP481" s="6">
        <v>0</v>
      </c>
      <c r="AQ481" s="6">
        <v>0</v>
      </c>
      <c r="AR481" s="6">
        <v>0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6">
        <v>0</v>
      </c>
      <c r="BA481" s="6">
        <v>0</v>
      </c>
      <c r="BB481" s="6">
        <v>0</v>
      </c>
      <c r="BC481" s="6"/>
      <c r="BD481" s="3"/>
      <c r="BE481" s="3"/>
      <c r="BF481" s="7">
        <v>261.491860878</v>
      </c>
    </row>
    <row x14ac:dyDescent="0.25" r="482" customHeight="1" ht="12.75">
      <c r="A482" s="5" t="s">
        <v>371</v>
      </c>
      <c r="B482" s="3" t="s">
        <v>859</v>
      </c>
      <c r="C482" s="3" t="s">
        <v>866</v>
      </c>
      <c r="D482" s="3" t="s">
        <v>988</v>
      </c>
      <c r="E482" s="3"/>
      <c r="F482" s="6">
        <f>100*SUM(AM482:AO482)/AL482</f>
      </c>
      <c r="G482" s="6">
        <f>100*SUM(AP482)/AL482</f>
      </c>
      <c r="H482" s="6">
        <f>100*SUM(AQ482)/AL482</f>
      </c>
      <c r="I482" s="6">
        <f>100*SUM(AR482:BC482)/AL482</f>
      </c>
      <c r="J482" s="3"/>
      <c r="K482" s="5">
        <v>40</v>
      </c>
      <c r="L482" s="6">
        <v>0.6</v>
      </c>
      <c r="M482" s="6">
        <v>2.4</v>
      </c>
      <c r="N482" s="5"/>
      <c r="O482" s="6"/>
      <c r="P482" s="6"/>
      <c r="Q482" s="7"/>
      <c r="R482" s="6"/>
      <c r="S482" s="6"/>
      <c r="T482" s="6"/>
      <c r="U482" s="5"/>
      <c r="V482" s="6"/>
      <c r="W482" s="6"/>
      <c r="X482" s="6"/>
      <c r="Y482" s="15"/>
      <c r="Z482" s="6"/>
      <c r="AA482" s="6"/>
      <c r="AB482" s="5"/>
      <c r="AC482" s="3"/>
      <c r="AD482" s="6">
        <v>0.24</v>
      </c>
      <c r="AE482" s="6">
        <v>0.96</v>
      </c>
      <c r="AF482" s="7">
        <v>0</v>
      </c>
      <c r="AG482" s="6">
        <v>0</v>
      </c>
      <c r="AH482" s="7">
        <v>0</v>
      </c>
      <c r="AI482" s="15">
        <v>1.2</v>
      </c>
      <c r="AJ482" s="6">
        <v>3</v>
      </c>
      <c r="AK482" s="3"/>
      <c r="AL482" s="6">
        <v>63.49248</v>
      </c>
      <c r="AM482" s="6">
        <v>11.375736</v>
      </c>
      <c r="AN482" s="6">
        <v>52.116744</v>
      </c>
      <c r="AO482" s="6">
        <v>0</v>
      </c>
      <c r="AP482" s="6">
        <v>0</v>
      </c>
      <c r="AQ482" s="6">
        <v>0</v>
      </c>
      <c r="AR482" s="6">
        <v>0</v>
      </c>
      <c r="AS482" s="6">
        <v>0</v>
      </c>
      <c r="AT482" s="6">
        <v>0</v>
      </c>
      <c r="AU482" s="6">
        <v>0</v>
      </c>
      <c r="AV482" s="6">
        <v>0</v>
      </c>
      <c r="AW482" s="6">
        <v>0</v>
      </c>
      <c r="AX482" s="6">
        <v>0</v>
      </c>
      <c r="AY482" s="6">
        <v>0</v>
      </c>
      <c r="AZ482" s="6">
        <v>0</v>
      </c>
      <c r="BA482" s="6">
        <v>0</v>
      </c>
      <c r="BB482" s="6">
        <v>0</v>
      </c>
      <c r="BC482" s="6"/>
      <c r="BD482" s="3"/>
      <c r="BE482" s="3"/>
      <c r="BF482" s="7">
        <v>2539.6992</v>
      </c>
    </row>
    <row x14ac:dyDescent="0.25" r="483" customHeight="1" ht="12.75">
      <c r="A483" s="5" t="s">
        <v>452</v>
      </c>
      <c r="B483" s="3" t="s">
        <v>859</v>
      </c>
      <c r="C483" s="3" t="s">
        <v>866</v>
      </c>
      <c r="D483" s="3" t="s">
        <v>989</v>
      </c>
      <c r="E483" s="3"/>
      <c r="F483" s="6">
        <f>100*SUM(AM483:AO483)/AL483</f>
      </c>
      <c r="G483" s="6">
        <f>100*SUM(AP483)/AL483</f>
      </c>
      <c r="H483" s="6">
        <f>100*SUM(AQ483)/AL483</f>
      </c>
      <c r="I483" s="6">
        <f>100*SUM(AR483:BC483)/AL483</f>
      </c>
      <c r="J483" s="3"/>
      <c r="K483" s="5">
        <v>10</v>
      </c>
      <c r="L483" s="6">
        <v>2.26</v>
      </c>
      <c r="M483" s="5">
        <v>6</v>
      </c>
      <c r="N483" s="5"/>
      <c r="O483" s="6"/>
      <c r="P483" s="6"/>
      <c r="Q483" s="7"/>
      <c r="R483" s="6"/>
      <c r="S483" s="6"/>
      <c r="T483" s="6"/>
      <c r="U483" s="5"/>
      <c r="V483" s="6"/>
      <c r="W483" s="6"/>
      <c r="X483" s="6"/>
      <c r="Y483" s="15"/>
      <c r="Z483" s="6"/>
      <c r="AA483" s="6"/>
      <c r="AB483" s="5"/>
      <c r="AC483" s="3"/>
      <c r="AD483" s="6">
        <v>0.22599999999999998</v>
      </c>
      <c r="AE483" s="6">
        <v>0.6</v>
      </c>
      <c r="AF483" s="7">
        <v>0</v>
      </c>
      <c r="AG483" s="6">
        <v>0</v>
      </c>
      <c r="AH483" s="7">
        <v>0</v>
      </c>
      <c r="AI483" s="15">
        <v>0.826</v>
      </c>
      <c r="AJ483" s="6">
        <v>8.26</v>
      </c>
      <c r="AK483" s="3"/>
      <c r="AL483" s="6">
        <v>173.14046559999997</v>
      </c>
      <c r="AM483" s="6">
        <v>42.84860559999999</v>
      </c>
      <c r="AN483" s="6">
        <v>130.29185999999999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6">
        <v>0</v>
      </c>
      <c r="BA483" s="6">
        <v>0</v>
      </c>
      <c r="BB483" s="6">
        <v>0</v>
      </c>
      <c r="BC483" s="6"/>
      <c r="BD483" s="3"/>
      <c r="BE483" s="3"/>
      <c r="BF483" s="7">
        <v>1731.4046559999997</v>
      </c>
    </row>
    <row x14ac:dyDescent="0.25" r="484" customHeight="1" ht="12.75">
      <c r="A484" s="5" t="s">
        <v>110</v>
      </c>
      <c r="B484" s="3" t="s">
        <v>859</v>
      </c>
      <c r="C484" s="3" t="s">
        <v>866</v>
      </c>
      <c r="D484" s="3" t="s">
        <v>988</v>
      </c>
      <c r="E484" s="3"/>
      <c r="F484" s="6">
        <f>100*SUM(AM484:AO484)/AL484</f>
      </c>
      <c r="G484" s="6">
        <f>100*SUM(AP484)/AL484</f>
      </c>
      <c r="H484" s="6">
        <f>100*SUM(AQ484)/AL484</f>
      </c>
      <c r="I484" s="6">
        <f>100*SUM(AR484:BC484)/AL484</f>
      </c>
      <c r="J484" s="3"/>
      <c r="K484" s="7">
        <v>5</v>
      </c>
      <c r="L484" s="6">
        <v>7.6</v>
      </c>
      <c r="M484" s="6">
        <v>8.9</v>
      </c>
      <c r="N484" s="5">
        <v>51</v>
      </c>
      <c r="O484" s="6"/>
      <c r="P484" s="6"/>
      <c r="Q484" s="7"/>
      <c r="R484" s="6"/>
      <c r="S484" s="6"/>
      <c r="T484" s="6"/>
      <c r="U484" s="5"/>
      <c r="V484" s="6"/>
      <c r="W484" s="6"/>
      <c r="X484" s="6"/>
      <c r="Y484" s="15"/>
      <c r="Z484" s="6"/>
      <c r="AA484" s="6"/>
      <c r="AB484" s="5"/>
      <c r="AC484" s="3"/>
      <c r="AD484" s="6">
        <v>0.38</v>
      </c>
      <c r="AE484" s="6">
        <v>0.445</v>
      </c>
      <c r="AF484" s="7">
        <v>255</v>
      </c>
      <c r="AG484" s="6">
        <v>0</v>
      </c>
      <c r="AH484" s="7">
        <v>0</v>
      </c>
      <c r="AI484" s="15">
        <v>0.825</v>
      </c>
      <c r="AJ484" s="6">
        <v>16.5</v>
      </c>
      <c r="AK484" s="3"/>
      <c r="AL484" s="6">
        <v>368.5656674115756</v>
      </c>
      <c r="AM484" s="6">
        <v>144.09265599999998</v>
      </c>
      <c r="AN484" s="6">
        <v>193.26625900000002</v>
      </c>
      <c r="AO484" s="6">
        <v>31.206752411575568</v>
      </c>
      <c r="AP484" s="6">
        <v>0</v>
      </c>
      <c r="AQ484" s="6">
        <v>0</v>
      </c>
      <c r="AR484" s="6">
        <v>0</v>
      </c>
      <c r="AS484" s="6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6">
        <v>0</v>
      </c>
      <c r="BA484" s="6">
        <v>0</v>
      </c>
      <c r="BB484" s="6">
        <v>0</v>
      </c>
      <c r="BC484" s="6"/>
      <c r="BD484" s="3"/>
      <c r="BE484" s="3"/>
      <c r="BF484" s="7">
        <v>1842.828337057878</v>
      </c>
    </row>
    <row x14ac:dyDescent="0.25" r="485" customHeight="1" ht="12.75">
      <c r="A485" s="5" t="s">
        <v>59</v>
      </c>
      <c r="B485" s="3" t="s">
        <v>859</v>
      </c>
      <c r="C485" s="3" t="s">
        <v>866</v>
      </c>
      <c r="D485" s="3" t="s">
        <v>988</v>
      </c>
      <c r="E485" s="3"/>
      <c r="F485" s="6">
        <f>100*SUM(AM485:AO485)/AL485</f>
      </c>
      <c r="G485" s="6">
        <f>100*SUM(AP485)/AL485</f>
      </c>
      <c r="H485" s="6">
        <f>100*SUM(AQ485)/AL485</f>
      </c>
      <c r="I485" s="6">
        <f>100*SUM(AR485:BC485)/AL485</f>
      </c>
      <c r="J485" s="3"/>
      <c r="K485" s="6">
        <v>0.01</v>
      </c>
      <c r="L485" s="6">
        <v>5.36</v>
      </c>
      <c r="M485" s="6">
        <v>15.6</v>
      </c>
      <c r="N485" s="6">
        <v>66.5</v>
      </c>
      <c r="O485" s="6"/>
      <c r="P485" s="6"/>
      <c r="Q485" s="7"/>
      <c r="R485" s="6"/>
      <c r="S485" s="6"/>
      <c r="T485" s="6"/>
      <c r="U485" s="5"/>
      <c r="V485" s="6"/>
      <c r="W485" s="6"/>
      <c r="X485" s="6"/>
      <c r="Y485" s="15"/>
      <c r="Z485" s="6"/>
      <c r="AA485" s="6"/>
      <c r="AB485" s="5"/>
      <c r="AC485" s="3"/>
      <c r="AD485" s="6">
        <v>0.000536</v>
      </c>
      <c r="AE485" s="6">
        <v>0.00156</v>
      </c>
      <c r="AF485" s="7">
        <v>0.665</v>
      </c>
      <c r="AG485" s="6">
        <v>0</v>
      </c>
      <c r="AH485" s="7">
        <v>0</v>
      </c>
      <c r="AI485" s="15">
        <v>0.0020959999999999998</v>
      </c>
      <c r="AJ485" s="6">
        <v>20.96</v>
      </c>
      <c r="AK485" s="3"/>
      <c r="AL485" s="6">
        <v>481.07323515627013</v>
      </c>
      <c r="AM485" s="6">
        <v>101.6232416</v>
      </c>
      <c r="AN485" s="6">
        <v>338.758836</v>
      </c>
      <c r="AO485" s="6">
        <v>40.691157556270106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/>
      <c r="BD485" s="3"/>
      <c r="BE485" s="3"/>
      <c r="BF485" s="7">
        <v>4.810732351562701</v>
      </c>
    </row>
    <row x14ac:dyDescent="0.25" r="486" customHeight="1" ht="12.75">
      <c r="A486" s="5" t="s">
        <v>721</v>
      </c>
      <c r="B486" s="3" t="s">
        <v>859</v>
      </c>
      <c r="C486" s="3" t="s">
        <v>866</v>
      </c>
      <c r="D486" s="3" t="s">
        <v>989</v>
      </c>
      <c r="E486" s="3"/>
      <c r="F486" s="6">
        <f>100*SUM(AM486:AO486)/AL486</f>
      </c>
      <c r="G486" s="6">
        <f>100*SUM(AP486)/AL486</f>
      </c>
      <c r="H486" s="6">
        <f>100*SUM(AQ486)/AL486</f>
      </c>
      <c r="I486" s="6">
        <f>100*SUM(AR486:BC486)/AL486</f>
      </c>
      <c r="J486" s="3"/>
      <c r="K486" s="6">
        <v>7.280000000000001</v>
      </c>
      <c r="L486" s="6">
        <v>0.34</v>
      </c>
      <c r="M486" s="6">
        <v>2.768147060439562</v>
      </c>
      <c r="N486" s="5">
        <v>35</v>
      </c>
      <c r="O486" s="6"/>
      <c r="P486" s="6"/>
      <c r="Q486" s="7"/>
      <c r="R486" s="6"/>
      <c r="S486" s="6"/>
      <c r="T486" s="6"/>
      <c r="U486" s="5"/>
      <c r="V486" s="6"/>
      <c r="W486" s="6"/>
      <c r="X486" s="6"/>
      <c r="Y486" s="15"/>
      <c r="Z486" s="6"/>
      <c r="AA486" s="6"/>
      <c r="AB486" s="5"/>
      <c r="AC486" s="3"/>
      <c r="AD486" s="6">
        <v>0.024752000000000007</v>
      </c>
      <c r="AE486" s="6">
        <v>0.20152110600000014</v>
      </c>
      <c r="AF486" s="7">
        <v>254.80000000000004</v>
      </c>
      <c r="AG486" s="6">
        <v>0</v>
      </c>
      <c r="AH486" s="7">
        <v>0</v>
      </c>
      <c r="AI486" s="15">
        <v>0.22627310600000014</v>
      </c>
      <c r="AJ486" s="6">
        <v>3.108147060439562</v>
      </c>
      <c r="AK486" s="3"/>
      <c r="AL486" s="6">
        <v>87.9738206568602</v>
      </c>
      <c r="AM486" s="6">
        <v>6.4462504</v>
      </c>
      <c r="AN486" s="6">
        <v>60.11117154303383</v>
      </c>
      <c r="AO486" s="6">
        <v>21.416398713826368</v>
      </c>
      <c r="AP486" s="6">
        <v>0</v>
      </c>
      <c r="AQ486" s="6">
        <v>0</v>
      </c>
      <c r="AR486" s="6">
        <v>0</v>
      </c>
      <c r="AS486" s="6">
        <v>0</v>
      </c>
      <c r="AT486" s="6">
        <v>0</v>
      </c>
      <c r="AU486" s="6">
        <v>0</v>
      </c>
      <c r="AV486" s="6">
        <v>0</v>
      </c>
      <c r="AW486" s="6">
        <v>0</v>
      </c>
      <c r="AX486" s="6">
        <v>0</v>
      </c>
      <c r="AY486" s="6">
        <v>0</v>
      </c>
      <c r="AZ486" s="6">
        <v>0</v>
      </c>
      <c r="BA486" s="6">
        <v>0</v>
      </c>
      <c r="BB486" s="6">
        <v>0</v>
      </c>
      <c r="BC486" s="6"/>
      <c r="BD486" s="3"/>
      <c r="BE486" s="3"/>
      <c r="BF486" s="7">
        <v>640.4494143819423</v>
      </c>
    </row>
    <row x14ac:dyDescent="0.25" r="487" customHeight="1" ht="12.75">
      <c r="A487" s="5" t="s">
        <v>733</v>
      </c>
      <c r="B487" s="3" t="s">
        <v>859</v>
      </c>
      <c r="C487" s="3" t="s">
        <v>866</v>
      </c>
      <c r="D487" s="3" t="s">
        <v>989</v>
      </c>
      <c r="E487" s="3"/>
      <c r="F487" s="6">
        <f>100*SUM(AM487:AO487)/AL487</f>
      </c>
      <c r="G487" s="6">
        <f>100*SUM(AP487)/AL487</f>
      </c>
      <c r="H487" s="6">
        <f>100*SUM(AQ487)/AL487</f>
      </c>
      <c r="I487" s="6">
        <f>100*SUM(AR487:BC487)/AL487</f>
      </c>
      <c r="J487" s="3"/>
      <c r="K487" s="6">
        <v>10.1</v>
      </c>
      <c r="L487" s="6">
        <v>0.4</v>
      </c>
      <c r="M487" s="6">
        <v>1.6</v>
      </c>
      <c r="N487" s="5"/>
      <c r="O487" s="6"/>
      <c r="P487" s="6"/>
      <c r="Q487" s="7"/>
      <c r="R487" s="6"/>
      <c r="S487" s="6"/>
      <c r="T487" s="6"/>
      <c r="U487" s="5"/>
      <c r="V487" s="6"/>
      <c r="W487" s="6"/>
      <c r="X487" s="6"/>
      <c r="Y487" s="15"/>
      <c r="Z487" s="6"/>
      <c r="AA487" s="6"/>
      <c r="AB487" s="5"/>
      <c r="AC487" s="3"/>
      <c r="AD487" s="6">
        <v>0.0404</v>
      </c>
      <c r="AE487" s="6">
        <v>0.1616</v>
      </c>
      <c r="AF487" s="7">
        <v>0</v>
      </c>
      <c r="AG487" s="6">
        <v>0</v>
      </c>
      <c r="AH487" s="7">
        <v>0</v>
      </c>
      <c r="AI487" s="15">
        <v>0.20199999999999999</v>
      </c>
      <c r="AJ487" s="6">
        <v>2</v>
      </c>
      <c r="AK487" s="3"/>
      <c r="AL487" s="6">
        <v>42.32832</v>
      </c>
      <c r="AM487" s="6">
        <v>7.583824</v>
      </c>
      <c r="AN487" s="6">
        <v>34.744496</v>
      </c>
      <c r="AO487" s="6">
        <v>0</v>
      </c>
      <c r="AP487" s="6">
        <v>0</v>
      </c>
      <c r="AQ487" s="6">
        <v>0</v>
      </c>
      <c r="AR487" s="6">
        <v>0</v>
      </c>
      <c r="AS487" s="6">
        <v>0</v>
      </c>
      <c r="AT487" s="6">
        <v>0</v>
      </c>
      <c r="AU487" s="6">
        <v>0</v>
      </c>
      <c r="AV487" s="6">
        <v>0</v>
      </c>
      <c r="AW487" s="6">
        <v>0</v>
      </c>
      <c r="AX487" s="6">
        <v>0</v>
      </c>
      <c r="AY487" s="6">
        <v>0</v>
      </c>
      <c r="AZ487" s="6">
        <v>0</v>
      </c>
      <c r="BA487" s="6">
        <v>0</v>
      </c>
      <c r="BB487" s="6">
        <v>0</v>
      </c>
      <c r="BC487" s="6"/>
      <c r="BD487" s="3"/>
      <c r="BE487" s="3"/>
      <c r="BF487" s="7">
        <v>427.51603199999994</v>
      </c>
    </row>
    <row x14ac:dyDescent="0.25" r="488" customHeight="1" ht="12.75">
      <c r="A488" s="5" t="s">
        <v>130</v>
      </c>
      <c r="B488" s="3" t="s">
        <v>859</v>
      </c>
      <c r="C488" s="3" t="s">
        <v>866</v>
      </c>
      <c r="D488" s="3" t="s">
        <v>988</v>
      </c>
      <c r="E488" s="3"/>
      <c r="F488" s="6">
        <f>100*SUM(AM488:AO488)/AL488</f>
      </c>
      <c r="G488" s="6">
        <f>100*SUM(AP488)/AL488</f>
      </c>
      <c r="H488" s="6">
        <f>100*SUM(AQ488)/AL488</f>
      </c>
      <c r="I488" s="6">
        <f>100*SUM(AR488:BC488)/AL488</f>
      </c>
      <c r="J488" s="3"/>
      <c r="K488" s="6">
        <v>1.3</v>
      </c>
      <c r="L488" s="6">
        <v>2.13</v>
      </c>
      <c r="M488" s="6">
        <v>13.35</v>
      </c>
      <c r="N488" s="5">
        <v>27</v>
      </c>
      <c r="O488" s="6"/>
      <c r="P488" s="6"/>
      <c r="Q488" s="7"/>
      <c r="R488" s="6"/>
      <c r="S488" s="6"/>
      <c r="T488" s="6"/>
      <c r="U488" s="5"/>
      <c r="V488" s="6"/>
      <c r="W488" s="6"/>
      <c r="X488" s="6"/>
      <c r="Y488" s="15"/>
      <c r="Z488" s="6"/>
      <c r="AA488" s="6"/>
      <c r="AB488" s="5"/>
      <c r="AC488" s="3"/>
      <c r="AD488" s="6">
        <v>0.027690000000000003</v>
      </c>
      <c r="AE488" s="6">
        <v>0.17355</v>
      </c>
      <c r="AF488" s="7">
        <v>35.1</v>
      </c>
      <c r="AG488" s="6">
        <v>0</v>
      </c>
      <c r="AH488" s="7">
        <v>0</v>
      </c>
      <c r="AI488" s="15">
        <v>0.20124</v>
      </c>
      <c r="AJ488" s="6">
        <v>15.48</v>
      </c>
      <c r="AK488" s="3"/>
      <c r="AL488" s="6">
        <v>346.80447316495173</v>
      </c>
      <c r="AM488" s="6">
        <v>40.383862799999996</v>
      </c>
      <c r="AN488" s="6">
        <v>289.8993885</v>
      </c>
      <c r="AO488" s="6">
        <v>16.52122186495177</v>
      </c>
      <c r="AP488" s="6">
        <v>0</v>
      </c>
      <c r="AQ488" s="6">
        <v>0</v>
      </c>
      <c r="AR488" s="6">
        <v>0</v>
      </c>
      <c r="AS488" s="6">
        <v>0</v>
      </c>
      <c r="AT488" s="6">
        <v>0</v>
      </c>
      <c r="AU488" s="6">
        <v>0</v>
      </c>
      <c r="AV488" s="6">
        <v>0</v>
      </c>
      <c r="AW488" s="6">
        <v>0</v>
      </c>
      <c r="AX488" s="6">
        <v>0</v>
      </c>
      <c r="AY488" s="6">
        <v>0</v>
      </c>
      <c r="AZ488" s="6">
        <v>0</v>
      </c>
      <c r="BA488" s="6">
        <v>0</v>
      </c>
      <c r="BB488" s="6">
        <v>0</v>
      </c>
      <c r="BC488" s="6"/>
      <c r="BD488" s="3"/>
      <c r="BE488" s="3"/>
      <c r="BF488" s="7">
        <v>450.84581511443724</v>
      </c>
    </row>
    <row x14ac:dyDescent="0.25" r="489" customHeight="1" ht="12.75">
      <c r="A489" s="5" t="s">
        <v>328</v>
      </c>
      <c r="B489" s="3" t="s">
        <v>859</v>
      </c>
      <c r="C489" s="3" t="s">
        <v>866</v>
      </c>
      <c r="D489" s="3"/>
      <c r="E489" s="3"/>
      <c r="F489" s="6">
        <f>100*SUM(AM489:AO489)/AL489</f>
      </c>
      <c r="G489" s="6">
        <f>100*SUM(AP489)/AL489</f>
      </c>
      <c r="H489" s="6">
        <f>100*SUM(AQ489)/AL489</f>
      </c>
      <c r="I489" s="6">
        <f>100*SUM(AR489:BC489)/AL489</f>
      </c>
      <c r="J489" s="3"/>
      <c r="K489" s="6">
        <v>1.25</v>
      </c>
      <c r="L489" s="6">
        <v>0.7</v>
      </c>
      <c r="M489" s="6">
        <v>9.4</v>
      </c>
      <c r="N489" s="5"/>
      <c r="O489" s="6"/>
      <c r="P489" s="6"/>
      <c r="Q489" s="7"/>
      <c r="R489" s="6"/>
      <c r="S489" s="6"/>
      <c r="T489" s="6"/>
      <c r="U489" s="5"/>
      <c r="V489" s="6"/>
      <c r="W489" s="6"/>
      <c r="X489" s="6"/>
      <c r="Y489" s="15"/>
      <c r="Z489" s="6"/>
      <c r="AA489" s="6"/>
      <c r="AB489" s="5"/>
      <c r="AC489" s="3"/>
      <c r="AD489" s="6">
        <v>0.00875</v>
      </c>
      <c r="AE489" s="6">
        <v>0.1175</v>
      </c>
      <c r="AF489" s="7">
        <v>0</v>
      </c>
      <c r="AG489" s="6">
        <v>0</v>
      </c>
      <c r="AH489" s="7">
        <v>0</v>
      </c>
      <c r="AI489" s="15">
        <v>0.12625</v>
      </c>
      <c r="AJ489" s="6">
        <v>10.1</v>
      </c>
      <c r="AK489" s="3"/>
      <c r="AL489" s="6">
        <v>217.395606</v>
      </c>
      <c r="AM489" s="6">
        <v>13.271691999999998</v>
      </c>
      <c r="AN489" s="6">
        <v>204.12391399999998</v>
      </c>
      <c r="AO489" s="6">
        <v>0</v>
      </c>
      <c r="AP489" s="6">
        <v>0</v>
      </c>
      <c r="AQ489" s="6">
        <v>0</v>
      </c>
      <c r="AR489" s="6">
        <v>0</v>
      </c>
      <c r="AS489" s="6">
        <v>0</v>
      </c>
      <c r="AT489" s="6">
        <v>0</v>
      </c>
      <c r="AU489" s="6">
        <v>0</v>
      </c>
      <c r="AV489" s="6">
        <v>0</v>
      </c>
      <c r="AW489" s="6">
        <v>0</v>
      </c>
      <c r="AX489" s="6">
        <v>0</v>
      </c>
      <c r="AY489" s="6">
        <v>0</v>
      </c>
      <c r="AZ489" s="6">
        <v>0</v>
      </c>
      <c r="BA489" s="6">
        <v>0</v>
      </c>
      <c r="BB489" s="6">
        <v>0</v>
      </c>
      <c r="BC489" s="6"/>
      <c r="BD489" s="3"/>
      <c r="BE489" s="3"/>
      <c r="BF489" s="7">
        <v>271.7445075</v>
      </c>
    </row>
    <row x14ac:dyDescent="0.25" r="490" customHeight="1" ht="12.75">
      <c r="A490" s="5" t="s">
        <v>577</v>
      </c>
      <c r="B490" s="3" t="s">
        <v>859</v>
      </c>
      <c r="C490" s="3" t="s">
        <v>866</v>
      </c>
      <c r="D490" s="3"/>
      <c r="E490" s="3"/>
      <c r="F490" s="6">
        <f>100*SUM(AM490:AO490)/AL490</f>
      </c>
      <c r="G490" s="6">
        <f>100*SUM(AP490)/AL490</f>
      </c>
      <c r="H490" s="6">
        <f>100*SUM(AQ490)/AL490</f>
      </c>
      <c r="I490" s="6">
        <f>100*SUM(AR490:BC490)/AL490</f>
      </c>
      <c r="J490" s="3"/>
      <c r="K490" s="6">
        <v>5.2</v>
      </c>
      <c r="L490" s="6">
        <v>6.3</v>
      </c>
      <c r="M490" s="6">
        <v>0.5</v>
      </c>
      <c r="N490" s="5">
        <v>33</v>
      </c>
      <c r="O490" s="6"/>
      <c r="P490" s="6"/>
      <c r="Q490" s="7"/>
      <c r="R490" s="6"/>
      <c r="S490" s="6"/>
      <c r="T490" s="6"/>
      <c r="U490" s="5"/>
      <c r="V490" s="6"/>
      <c r="W490" s="6"/>
      <c r="X490" s="6"/>
      <c r="Y490" s="15"/>
      <c r="Z490" s="6"/>
      <c r="AA490" s="6"/>
      <c r="AB490" s="6">
        <v>0.001</v>
      </c>
      <c r="AC490" s="3" t="s">
        <v>932</v>
      </c>
      <c r="AD490" s="6">
        <v>0.3276</v>
      </c>
      <c r="AE490" s="6">
        <v>0.026000000000000002</v>
      </c>
      <c r="AF490" s="7">
        <v>171.6</v>
      </c>
      <c r="AG490" s="6">
        <v>0</v>
      </c>
      <c r="AH490" s="7">
        <v>0</v>
      </c>
      <c r="AI490" s="15">
        <v>0.3536</v>
      </c>
      <c r="AJ490" s="6">
        <v>6.8</v>
      </c>
      <c r="AK490" s="3"/>
      <c r="AL490" s="6">
        <v>150.51488750160772</v>
      </c>
      <c r="AM490" s="6">
        <v>119.445228</v>
      </c>
      <c r="AN490" s="6">
        <v>10.857655</v>
      </c>
      <c r="AO490" s="6">
        <v>20.192604501607722</v>
      </c>
      <c r="AP490" s="6">
        <v>0</v>
      </c>
      <c r="AQ490" s="6">
        <v>0</v>
      </c>
      <c r="AR490" s="6">
        <v>0</v>
      </c>
      <c r="AS490" s="6">
        <v>0</v>
      </c>
      <c r="AT490" s="6">
        <v>0</v>
      </c>
      <c r="AU490" s="6">
        <v>0</v>
      </c>
      <c r="AV490" s="6">
        <v>0</v>
      </c>
      <c r="AW490" s="6">
        <v>0</v>
      </c>
      <c r="AX490" s="6">
        <v>0</v>
      </c>
      <c r="AY490" s="6">
        <v>0</v>
      </c>
      <c r="AZ490" s="6">
        <v>0</v>
      </c>
      <c r="BA490" s="6">
        <v>0</v>
      </c>
      <c r="BB490" s="6">
        <v>0</v>
      </c>
      <c r="BC490" s="6">
        <v>0.0194</v>
      </c>
      <c r="BD490" s="3" t="s">
        <v>933</v>
      </c>
      <c r="BE490" s="3"/>
      <c r="BF490" s="7">
        <v>782.6774150083602</v>
      </c>
    </row>
    <row x14ac:dyDescent="0.25" r="491" customHeight="1" ht="12.75">
      <c r="A491" s="5" t="s">
        <v>411</v>
      </c>
      <c r="B491" s="3" t="s">
        <v>859</v>
      </c>
      <c r="C491" s="3" t="s">
        <v>866</v>
      </c>
      <c r="D491" s="3" t="s">
        <v>989</v>
      </c>
      <c r="E491" s="3"/>
      <c r="F491" s="6">
        <f>100*SUM(AM491:AO491)/AL491</f>
      </c>
      <c r="G491" s="6">
        <f>100*SUM(AP491)/AL491</f>
      </c>
      <c r="H491" s="6">
        <f>100*SUM(AQ491)/AL491</f>
      </c>
      <c r="I491" s="6">
        <f>100*SUM(AR491:BC491)/AL491</f>
      </c>
      <c r="J491" s="3"/>
      <c r="K491" s="6">
        <v>1.85</v>
      </c>
      <c r="L491" s="6">
        <v>1.04</v>
      </c>
      <c r="M491" s="6">
        <v>7.71</v>
      </c>
      <c r="N491" s="6">
        <v>39.6</v>
      </c>
      <c r="O491" s="6"/>
      <c r="P491" s="6"/>
      <c r="Q491" s="7"/>
      <c r="R491" s="6"/>
      <c r="S491" s="6"/>
      <c r="T491" s="6"/>
      <c r="U491" s="5"/>
      <c r="V491" s="6"/>
      <c r="W491" s="6"/>
      <c r="X491" s="6"/>
      <c r="Y491" s="15"/>
      <c r="Z491" s="6"/>
      <c r="AA491" s="6"/>
      <c r="AB491" s="6">
        <v>0.12</v>
      </c>
      <c r="AC491" s="3" t="s">
        <v>932</v>
      </c>
      <c r="AD491" s="6">
        <v>0.01924</v>
      </c>
      <c r="AE491" s="6">
        <v>0.142635</v>
      </c>
      <c r="AF491" s="7">
        <v>73.26</v>
      </c>
      <c r="AG491" s="6">
        <v>0</v>
      </c>
      <c r="AH491" s="7">
        <v>0</v>
      </c>
      <c r="AI491" s="15">
        <v>0.16187500000000002</v>
      </c>
      <c r="AJ491" s="6">
        <v>8.75</v>
      </c>
      <c r="AK491" s="3"/>
      <c r="AL491" s="6">
        <v>213.70210790192925</v>
      </c>
      <c r="AM491" s="6">
        <v>19.7179424</v>
      </c>
      <c r="AN491" s="6">
        <v>167.4250401</v>
      </c>
      <c r="AO491" s="6">
        <v>24.231125401929265</v>
      </c>
      <c r="AP491" s="6">
        <v>0</v>
      </c>
      <c r="AQ491" s="6">
        <v>0</v>
      </c>
      <c r="AR491" s="6">
        <v>0</v>
      </c>
      <c r="AS491" s="6">
        <v>0</v>
      </c>
      <c r="AT491" s="6">
        <v>0</v>
      </c>
      <c r="AU491" s="6">
        <v>0</v>
      </c>
      <c r="AV491" s="6">
        <v>0</v>
      </c>
      <c r="AW491" s="6">
        <v>0</v>
      </c>
      <c r="AX491" s="6">
        <v>0</v>
      </c>
      <c r="AY491" s="6">
        <v>0</v>
      </c>
      <c r="AZ491" s="6">
        <v>0</v>
      </c>
      <c r="BA491" s="6">
        <v>0</v>
      </c>
      <c r="BB491" s="6">
        <v>0</v>
      </c>
      <c r="BC491" s="6">
        <v>2.328</v>
      </c>
      <c r="BD491" s="3" t="s">
        <v>933</v>
      </c>
      <c r="BE491" s="3"/>
      <c r="BF491" s="7">
        <v>395.34889961856913</v>
      </c>
    </row>
    <row x14ac:dyDescent="0.25" r="492" customHeight="1" ht="12.75">
      <c r="A492" s="5" t="s">
        <v>443</v>
      </c>
      <c r="B492" s="3" t="s">
        <v>859</v>
      </c>
      <c r="C492" s="3" t="s">
        <v>866</v>
      </c>
      <c r="D492" s="3" t="s">
        <v>988</v>
      </c>
      <c r="E492" s="3"/>
      <c r="F492" s="6">
        <f>100*SUM(AM492:AO492)/AL492</f>
      </c>
      <c r="G492" s="6">
        <f>100*SUM(AP492)/AL492</f>
      </c>
      <c r="H492" s="6">
        <f>100*SUM(AQ492)/AL492</f>
      </c>
      <c r="I492" s="6">
        <f>100*SUM(AR492:BC492)/AL492</f>
      </c>
      <c r="J492" s="3"/>
      <c r="K492" s="6">
        <v>2.79</v>
      </c>
      <c r="L492" s="5">
        <v>4</v>
      </c>
      <c r="M492" s="6">
        <v>4.23</v>
      </c>
      <c r="N492" s="5">
        <v>62</v>
      </c>
      <c r="O492" s="6">
        <v>0.1</v>
      </c>
      <c r="P492" s="6"/>
      <c r="Q492" s="7"/>
      <c r="R492" s="6"/>
      <c r="S492" s="6"/>
      <c r="T492" s="6"/>
      <c r="U492" s="5"/>
      <c r="V492" s="6"/>
      <c r="W492" s="6"/>
      <c r="X492" s="6"/>
      <c r="Y492" s="15"/>
      <c r="Z492" s="6"/>
      <c r="AA492" s="6"/>
      <c r="AB492" s="5"/>
      <c r="AC492" s="3"/>
      <c r="AD492" s="6">
        <v>0.1116</v>
      </c>
      <c r="AE492" s="6">
        <v>0.11801700000000002</v>
      </c>
      <c r="AF492" s="7">
        <v>172.98</v>
      </c>
      <c r="AG492" s="6">
        <v>0.0027900000000000004</v>
      </c>
      <c r="AH492" s="7">
        <v>0</v>
      </c>
      <c r="AI492" s="15">
        <v>0.232407</v>
      </c>
      <c r="AJ492" s="6">
        <v>8.33</v>
      </c>
      <c r="AK492" s="3"/>
      <c r="AL492" s="6">
        <v>212.57611187877816</v>
      </c>
      <c r="AM492" s="6">
        <v>75.83824</v>
      </c>
      <c r="AN492" s="6">
        <v>91.85576130000001</v>
      </c>
      <c r="AO492" s="6">
        <v>37.937620578778144</v>
      </c>
      <c r="AP492" s="6">
        <v>6.94449</v>
      </c>
      <c r="AQ492" s="6">
        <v>0</v>
      </c>
      <c r="AR492" s="6">
        <v>0</v>
      </c>
      <c r="AS492" s="6">
        <v>0</v>
      </c>
      <c r="AT492" s="6">
        <v>0</v>
      </c>
      <c r="AU492" s="6">
        <v>0</v>
      </c>
      <c r="AV492" s="6">
        <v>0</v>
      </c>
      <c r="AW492" s="6">
        <v>0</v>
      </c>
      <c r="AX492" s="6">
        <v>0</v>
      </c>
      <c r="AY492" s="6">
        <v>0</v>
      </c>
      <c r="AZ492" s="6">
        <v>0</v>
      </c>
      <c r="BA492" s="6">
        <v>0</v>
      </c>
      <c r="BB492" s="6">
        <v>0</v>
      </c>
      <c r="BC492" s="6"/>
      <c r="BD492" s="3"/>
      <c r="BE492" s="3"/>
      <c r="BF492" s="7">
        <v>593.087352141791</v>
      </c>
    </row>
    <row x14ac:dyDescent="0.25" r="493" customHeight="1" ht="12.75">
      <c r="A493" s="5" t="s">
        <v>530</v>
      </c>
      <c r="B493" s="3" t="s">
        <v>859</v>
      </c>
      <c r="C493" s="3" t="s">
        <v>866</v>
      </c>
      <c r="D493" s="3" t="s">
        <v>988</v>
      </c>
      <c r="E493" s="3"/>
      <c r="F493" s="6">
        <f>100*SUM(AM493:AO493)/AL493</f>
      </c>
      <c r="G493" s="6">
        <f>100*SUM(AP493)/AL493</f>
      </c>
      <c r="H493" s="6">
        <f>100*SUM(AQ493)/AL493</f>
      </c>
      <c r="I493" s="6">
        <f>100*SUM(AR493:BC493)/AL493</f>
      </c>
      <c r="J493" s="3"/>
      <c r="K493" s="6">
        <v>0.55</v>
      </c>
      <c r="L493" s="6">
        <v>2.6</v>
      </c>
      <c r="M493" s="6">
        <v>4.5</v>
      </c>
      <c r="N493" s="5">
        <v>12</v>
      </c>
      <c r="O493" s="6">
        <v>0.2</v>
      </c>
      <c r="P493" s="6"/>
      <c r="Q493" s="7"/>
      <c r="R493" s="6"/>
      <c r="S493" s="6"/>
      <c r="T493" s="6"/>
      <c r="U493" s="5"/>
      <c r="V493" s="6"/>
      <c r="W493" s="6"/>
      <c r="X493" s="6"/>
      <c r="Y493" s="15"/>
      <c r="Z493" s="6"/>
      <c r="AA493" s="6"/>
      <c r="AB493" s="5"/>
      <c r="AC493" s="3"/>
      <c r="AD493" s="6">
        <v>0.014300000000000002</v>
      </c>
      <c r="AE493" s="6">
        <v>0.02475</v>
      </c>
      <c r="AF493" s="7">
        <v>6.6000000000000005</v>
      </c>
      <c r="AG493" s="6">
        <v>0.0011</v>
      </c>
      <c r="AH493" s="7">
        <v>0</v>
      </c>
      <c r="AI493" s="15">
        <v>0.04015</v>
      </c>
      <c r="AJ493" s="6">
        <v>7.3</v>
      </c>
      <c r="AK493" s="3"/>
      <c r="AL493" s="6">
        <v>168.2454962733119</v>
      </c>
      <c r="AM493" s="6">
        <v>49.294856</v>
      </c>
      <c r="AN493" s="6">
        <v>97.71889499999999</v>
      </c>
      <c r="AO493" s="6">
        <v>7.342765273311898</v>
      </c>
      <c r="AP493" s="6">
        <v>13.88898</v>
      </c>
      <c r="AQ493" s="6">
        <v>0</v>
      </c>
      <c r="AR493" s="6">
        <v>0</v>
      </c>
      <c r="AS493" s="6">
        <v>0</v>
      </c>
      <c r="AT493" s="6">
        <v>0</v>
      </c>
      <c r="AU493" s="6">
        <v>0</v>
      </c>
      <c r="AV493" s="6">
        <v>0</v>
      </c>
      <c r="AW493" s="6">
        <v>0</v>
      </c>
      <c r="AX493" s="6">
        <v>0</v>
      </c>
      <c r="AY493" s="6">
        <v>0</v>
      </c>
      <c r="AZ493" s="6">
        <v>0</v>
      </c>
      <c r="BA493" s="6">
        <v>0</v>
      </c>
      <c r="BB493" s="6">
        <v>0</v>
      </c>
      <c r="BC493" s="6"/>
      <c r="BD493" s="3"/>
      <c r="BE493" s="3"/>
      <c r="BF493" s="7">
        <v>92.53502295032155</v>
      </c>
    </row>
    <row x14ac:dyDescent="0.25" r="494" customHeight="1" ht="12.75">
      <c r="A494" s="5" t="s">
        <v>516</v>
      </c>
      <c r="B494" s="3" t="s">
        <v>859</v>
      </c>
      <c r="C494" s="3" t="s">
        <v>866</v>
      </c>
      <c r="D494" s="3" t="s">
        <v>989</v>
      </c>
      <c r="E494" s="3"/>
      <c r="F494" s="6">
        <f>100*SUM(AM494:AO494)/AL494</f>
      </c>
      <c r="G494" s="6">
        <f>100*SUM(AP494)/AL494</f>
      </c>
      <c r="H494" s="6">
        <f>100*SUM(AQ494)/AL494</f>
      </c>
      <c r="I494" s="6">
        <f>100*SUM(AR494:BC494)/AL494</f>
      </c>
      <c r="J494" s="3"/>
      <c r="K494" s="23">
        <v>0.895512</v>
      </c>
      <c r="L494" s="6">
        <v>2.1</v>
      </c>
      <c r="M494" s="6">
        <v>3.4</v>
      </c>
      <c r="N494" s="5">
        <v>191</v>
      </c>
      <c r="O494" s="6"/>
      <c r="P494" s="6">
        <v>0.8</v>
      </c>
      <c r="Q494" s="7"/>
      <c r="R494" s="6"/>
      <c r="S494" s="6"/>
      <c r="T494" s="6"/>
      <c r="U494" s="5"/>
      <c r="V494" s="6"/>
      <c r="W494" s="6"/>
      <c r="X494" s="6"/>
      <c r="Y494" s="15"/>
      <c r="Z494" s="6"/>
      <c r="AA494" s="6"/>
      <c r="AB494" s="5"/>
      <c r="AC494" s="3"/>
      <c r="AD494" s="6">
        <v>0.018805752</v>
      </c>
      <c r="AE494" s="6">
        <v>0.030447408</v>
      </c>
      <c r="AF494" s="7">
        <v>171.042792</v>
      </c>
      <c r="AG494" s="6">
        <v>0</v>
      </c>
      <c r="AH494" s="7">
        <v>0.7164096</v>
      </c>
      <c r="AI494" s="15">
        <v>0.04925316</v>
      </c>
      <c r="AJ494" s="6">
        <v>5.5</v>
      </c>
      <c r="AK494" s="3"/>
      <c r="AL494" s="6">
        <v>263.1882875562701</v>
      </c>
      <c r="AM494" s="6">
        <v>39.815076</v>
      </c>
      <c r="AN494" s="6">
        <v>73.832054</v>
      </c>
      <c r="AO494" s="6">
        <v>116.87234726688105</v>
      </c>
      <c r="AP494" s="6">
        <v>0</v>
      </c>
      <c r="AQ494" s="6">
        <v>32.66881028938907</v>
      </c>
      <c r="AR494" s="6">
        <v>0</v>
      </c>
      <c r="AS494" s="6">
        <v>0</v>
      </c>
      <c r="AT494" s="6">
        <v>0</v>
      </c>
      <c r="AU494" s="6">
        <v>0</v>
      </c>
      <c r="AV494" s="6">
        <v>0</v>
      </c>
      <c r="AW494" s="6">
        <v>0</v>
      </c>
      <c r="AX494" s="6">
        <v>0</v>
      </c>
      <c r="AY494" s="6">
        <v>0</v>
      </c>
      <c r="AZ494" s="6">
        <v>0</v>
      </c>
      <c r="BA494" s="6">
        <v>0</v>
      </c>
      <c r="BB494" s="6">
        <v>0</v>
      </c>
      <c r="BC494" s="6"/>
      <c r="BD494" s="3"/>
      <c r="BE494" s="3"/>
      <c r="BF494" s="7">
        <v>235.68826976609054</v>
      </c>
    </row>
    <row x14ac:dyDescent="0.25" r="495" customHeight="1" ht="12.75">
      <c r="A495" s="5" t="s">
        <v>217</v>
      </c>
      <c r="B495" s="3" t="s">
        <v>859</v>
      </c>
      <c r="C495" s="3" t="s">
        <v>866</v>
      </c>
      <c r="D495" s="3" t="s">
        <v>989</v>
      </c>
      <c r="E495" s="3"/>
      <c r="F495" s="6">
        <f>100*SUM(AM495:AO495)/AL495</f>
      </c>
      <c r="G495" s="6">
        <f>100*SUM(AP495)/AL495</f>
      </c>
      <c r="H495" s="6">
        <f>100*SUM(AQ495)/AL495</f>
      </c>
      <c r="I495" s="6">
        <f>100*SUM(AR495:BC495)/AL495</f>
      </c>
      <c r="J495" s="3"/>
      <c r="K495" s="6">
        <v>6.89</v>
      </c>
      <c r="L495" s="7">
        <v>3.8333333333333335</v>
      </c>
      <c r="M495" s="7">
        <v>7.666666666666666</v>
      </c>
      <c r="N495" s="5">
        <v>70</v>
      </c>
      <c r="O495" s="6">
        <v>0.6</v>
      </c>
      <c r="P495" s="6"/>
      <c r="Q495" s="7"/>
      <c r="R495" s="6"/>
      <c r="S495" s="6"/>
      <c r="T495" s="6"/>
      <c r="U495" s="5"/>
      <c r="V495" s="6"/>
      <c r="W495" s="6"/>
      <c r="X495" s="6"/>
      <c r="Y495" s="15"/>
      <c r="Z495" s="6"/>
      <c r="AA495" s="6"/>
      <c r="AB495" s="5"/>
      <c r="AC495" s="3"/>
      <c r="AD495" s="6">
        <v>0.26411666666666667</v>
      </c>
      <c r="AE495" s="6">
        <v>0.5282333333333332</v>
      </c>
      <c r="AF495" s="7">
        <v>482.29999999999995</v>
      </c>
      <c r="AG495" s="6">
        <v>0.041339999999999995</v>
      </c>
      <c r="AH495" s="7">
        <v>0</v>
      </c>
      <c r="AI495" s="15">
        <v>0.8336899999999999</v>
      </c>
      <c r="AJ495" s="6">
        <v>12.1</v>
      </c>
      <c r="AK495" s="3"/>
      <c r="AL495" s="6">
        <v>323.6620940943194</v>
      </c>
      <c r="AM495" s="6">
        <v>72.67831333333334</v>
      </c>
      <c r="AN495" s="6">
        <v>166.48404333333332</v>
      </c>
      <c r="AO495" s="6">
        <v>42.832797427652736</v>
      </c>
      <c r="AP495" s="6">
        <v>41.66694</v>
      </c>
      <c r="AQ495" s="6">
        <v>0</v>
      </c>
      <c r="AR495" s="6">
        <v>0</v>
      </c>
      <c r="AS495" s="6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0</v>
      </c>
      <c r="BA495" s="6">
        <v>0</v>
      </c>
      <c r="BB495" s="6">
        <v>0</v>
      </c>
      <c r="BC495" s="6"/>
      <c r="BD495" s="3"/>
      <c r="BE495" s="3"/>
      <c r="BF495" s="7">
        <v>2230.0318283098604</v>
      </c>
    </row>
    <row x14ac:dyDescent="0.25" r="496" customHeight="1" ht="12.75">
      <c r="A496" s="5" t="s">
        <v>457</v>
      </c>
      <c r="B496" s="3" t="s">
        <v>859</v>
      </c>
      <c r="C496" s="3" t="s">
        <v>866</v>
      </c>
      <c r="D496" s="3" t="s">
        <v>988</v>
      </c>
      <c r="E496" s="3"/>
      <c r="F496" s="6">
        <f>100*SUM(AM496:AO496)/AL496</f>
      </c>
      <c r="G496" s="6">
        <f>100*SUM(AP496)/AL496</f>
      </c>
      <c r="H496" s="6">
        <f>100*SUM(AQ496)/AL496</f>
      </c>
      <c r="I496" s="6">
        <f>100*SUM(AR496:BC496)/AL496</f>
      </c>
      <c r="J496" s="3"/>
      <c r="K496" s="6">
        <v>5.62</v>
      </c>
      <c r="L496" s="6">
        <v>1.82</v>
      </c>
      <c r="M496" s="6">
        <v>6.31</v>
      </c>
      <c r="N496" s="5"/>
      <c r="O496" s="6"/>
      <c r="P496" s="6"/>
      <c r="Q496" s="6">
        <v>26.013559752685453</v>
      </c>
      <c r="R496" s="6"/>
      <c r="S496" s="6"/>
      <c r="T496" s="6"/>
      <c r="U496" s="5"/>
      <c r="V496" s="6"/>
      <c r="W496" s="6"/>
      <c r="X496" s="6"/>
      <c r="Y496" s="15"/>
      <c r="Z496" s="6"/>
      <c r="AA496" s="6"/>
      <c r="AB496" s="5"/>
      <c r="AC496" s="3"/>
      <c r="AD496" s="6">
        <v>0.102284</v>
      </c>
      <c r="AE496" s="6">
        <v>0.35462199999999994</v>
      </c>
      <c r="AF496" s="7">
        <v>0</v>
      </c>
      <c r="AG496" s="6">
        <v>0</v>
      </c>
      <c r="AH496" s="7">
        <v>0</v>
      </c>
      <c r="AI496" s="15">
        <v>0.4569059999999999</v>
      </c>
      <c r="AJ496" s="6">
        <v>8.129999999999999</v>
      </c>
      <c r="AK496" s="3"/>
      <c r="AL496" s="6">
        <v>198.06383624773912</v>
      </c>
      <c r="AM496" s="6">
        <v>34.5063992</v>
      </c>
      <c r="AN496" s="6">
        <v>137.02360609999997</v>
      </c>
      <c r="AO496" s="6">
        <v>0</v>
      </c>
      <c r="AP496" s="6">
        <v>0</v>
      </c>
      <c r="AQ496" s="6">
        <v>0</v>
      </c>
      <c r="AR496" s="6">
        <v>26.53383094773916</v>
      </c>
      <c r="AS496" s="6">
        <v>0</v>
      </c>
      <c r="AT496" s="6">
        <v>0</v>
      </c>
      <c r="AU496" s="6">
        <v>0</v>
      </c>
      <c r="AV496" s="6">
        <v>0</v>
      </c>
      <c r="AW496" s="6">
        <v>0</v>
      </c>
      <c r="AX496" s="6">
        <v>0</v>
      </c>
      <c r="AY496" s="6">
        <v>0</v>
      </c>
      <c r="AZ496" s="6">
        <v>0</v>
      </c>
      <c r="BA496" s="6">
        <v>0</v>
      </c>
      <c r="BB496" s="6">
        <v>0</v>
      </c>
      <c r="BC496" s="6"/>
      <c r="BD496" s="3"/>
      <c r="BE496" s="3"/>
      <c r="BF496" s="7">
        <v>1113.118759712294</v>
      </c>
    </row>
    <row x14ac:dyDescent="0.25" r="497" customHeight="1" ht="12.75">
      <c r="A497" s="5" t="s">
        <v>495</v>
      </c>
      <c r="B497" s="3" t="s">
        <v>859</v>
      </c>
      <c r="C497" s="3" t="s">
        <v>866</v>
      </c>
      <c r="D497" s="3" t="s">
        <v>988</v>
      </c>
      <c r="E497" s="3"/>
      <c r="F497" s="6">
        <f>100*SUM(AM497:AO497)/AL497</f>
      </c>
      <c r="G497" s="6">
        <f>100*SUM(AP497)/AL497</f>
      </c>
      <c r="H497" s="6">
        <f>100*SUM(AQ497)/AL497</f>
      </c>
      <c r="I497" s="6">
        <f>100*SUM(AR497:BC497)/AL497</f>
      </c>
      <c r="J497" s="3"/>
      <c r="K497" s="6">
        <v>7.1</v>
      </c>
      <c r="L497" s="6">
        <v>3.4</v>
      </c>
      <c r="M497" s="6">
        <v>4.3</v>
      </c>
      <c r="N497" s="5">
        <v>48</v>
      </c>
      <c r="O497" s="6"/>
      <c r="P497" s="6">
        <v>0.75</v>
      </c>
      <c r="Q497" s="7"/>
      <c r="R497" s="6"/>
      <c r="S497" s="6"/>
      <c r="T497" s="6"/>
      <c r="U497" s="5"/>
      <c r="V497" s="6"/>
      <c r="W497" s="6"/>
      <c r="X497" s="6"/>
      <c r="Y497" s="15"/>
      <c r="Z497" s="6"/>
      <c r="AA497" s="6"/>
      <c r="AB497" s="5"/>
      <c r="AC497" s="3"/>
      <c r="AD497" s="6">
        <v>0.24139999999999998</v>
      </c>
      <c r="AE497" s="6">
        <v>0.30529999999999996</v>
      </c>
      <c r="AF497" s="7">
        <v>340.79999999999995</v>
      </c>
      <c r="AG497" s="6">
        <v>0</v>
      </c>
      <c r="AH497" s="7">
        <v>5.324999999999999</v>
      </c>
      <c r="AI497" s="15">
        <v>0.5467</v>
      </c>
      <c r="AJ497" s="6">
        <v>7.699999999999999</v>
      </c>
      <c r="AK497" s="3"/>
      <c r="AL497" s="6">
        <v>217.8364077395498</v>
      </c>
      <c r="AM497" s="6">
        <v>64.462504</v>
      </c>
      <c r="AN497" s="6">
        <v>93.37583299999999</v>
      </c>
      <c r="AO497" s="6">
        <v>29.371061093247594</v>
      </c>
      <c r="AP497" s="6">
        <v>0</v>
      </c>
      <c r="AQ497" s="6">
        <v>30.627009646302252</v>
      </c>
      <c r="AR497" s="6">
        <v>0</v>
      </c>
      <c r="AS497" s="6">
        <v>0</v>
      </c>
      <c r="AT497" s="6">
        <v>0</v>
      </c>
      <c r="AU497" s="6">
        <v>0</v>
      </c>
      <c r="AV497" s="6">
        <v>0</v>
      </c>
      <c r="AW497" s="6">
        <v>0</v>
      </c>
      <c r="AX497" s="6">
        <v>0</v>
      </c>
      <c r="AY497" s="6">
        <v>0</v>
      </c>
      <c r="AZ497" s="6">
        <v>0</v>
      </c>
      <c r="BA497" s="6">
        <v>0</v>
      </c>
      <c r="BB497" s="6">
        <v>0</v>
      </c>
      <c r="BC497" s="6"/>
      <c r="BD497" s="3"/>
      <c r="BE497" s="3"/>
      <c r="BF497" s="7">
        <v>1546.6384949508035</v>
      </c>
    </row>
    <row x14ac:dyDescent="0.25" r="498" customHeight="1" ht="12.75">
      <c r="A498" s="5" t="s">
        <v>283</v>
      </c>
      <c r="B498" s="3" t="s">
        <v>859</v>
      </c>
      <c r="C498" s="3" t="s">
        <v>866</v>
      </c>
      <c r="D498" s="3" t="s">
        <v>989</v>
      </c>
      <c r="E498" s="3"/>
      <c r="F498" s="6">
        <f>100*SUM(AM498:AO498)/AL498</f>
      </c>
      <c r="G498" s="6">
        <f>100*SUM(AP498)/AL498</f>
      </c>
      <c r="H498" s="6">
        <f>100*SUM(AQ498)/AL498</f>
      </c>
      <c r="I498" s="6">
        <f>100*SUM(AR498:BC498)/AL498</f>
      </c>
      <c r="J498" s="3"/>
      <c r="K498" s="5">
        <v>19</v>
      </c>
      <c r="L498" s="5">
        <v>2</v>
      </c>
      <c r="M498" s="5">
        <v>7</v>
      </c>
      <c r="N498" s="5"/>
      <c r="O498" s="6">
        <v>0.5</v>
      </c>
      <c r="P498" s="6"/>
      <c r="Q498" s="7"/>
      <c r="R498" s="6"/>
      <c r="S498" s="6"/>
      <c r="T498" s="6"/>
      <c r="U498" s="5"/>
      <c r="V498" s="6"/>
      <c r="W498" s="6"/>
      <c r="X498" s="6"/>
      <c r="Y498" s="15"/>
      <c r="Z498" s="6"/>
      <c r="AA498" s="6"/>
      <c r="AB498" s="5"/>
      <c r="AC498" s="3"/>
      <c r="AD498" s="6">
        <v>0.38</v>
      </c>
      <c r="AE498" s="6">
        <v>1.33</v>
      </c>
      <c r="AF498" s="7">
        <v>0</v>
      </c>
      <c r="AG498" s="6">
        <v>0.095</v>
      </c>
      <c r="AH498" s="7">
        <v>0</v>
      </c>
      <c r="AI498" s="15">
        <v>1.805</v>
      </c>
      <c r="AJ498" s="6">
        <v>9.5</v>
      </c>
      <c r="AK498" s="3"/>
      <c r="AL498" s="6">
        <v>224.64874</v>
      </c>
      <c r="AM498" s="6">
        <v>37.91912</v>
      </c>
      <c r="AN498" s="6">
        <v>152.00717</v>
      </c>
      <c r="AO498" s="6">
        <v>0</v>
      </c>
      <c r="AP498" s="6">
        <v>34.72245</v>
      </c>
      <c r="AQ498" s="6">
        <v>0</v>
      </c>
      <c r="AR498" s="6">
        <v>0</v>
      </c>
      <c r="AS498" s="6">
        <v>0</v>
      </c>
      <c r="AT498" s="6">
        <v>0</v>
      </c>
      <c r="AU498" s="6">
        <v>0</v>
      </c>
      <c r="AV498" s="6">
        <v>0</v>
      </c>
      <c r="AW498" s="6">
        <v>0</v>
      </c>
      <c r="AX498" s="6">
        <v>0</v>
      </c>
      <c r="AY498" s="6">
        <v>0</v>
      </c>
      <c r="AZ498" s="6">
        <v>0</v>
      </c>
      <c r="BA498" s="6">
        <v>0</v>
      </c>
      <c r="BB498" s="6">
        <v>0</v>
      </c>
      <c r="BC498" s="6"/>
      <c r="BD498" s="3"/>
      <c r="BE498" s="3"/>
      <c r="BF498" s="7">
        <v>4268.32606</v>
      </c>
    </row>
    <row x14ac:dyDescent="0.25" r="499" customHeight="1" ht="12.75">
      <c r="A499" s="5" t="s">
        <v>220</v>
      </c>
      <c r="B499" s="3" t="s">
        <v>859</v>
      </c>
      <c r="C499" s="3" t="s">
        <v>866</v>
      </c>
      <c r="D499" s="3" t="s">
        <v>989</v>
      </c>
      <c r="E499" s="3"/>
      <c r="F499" s="6">
        <f>100*SUM(AM499:AO499)/AL499</f>
      </c>
      <c r="G499" s="6">
        <f>100*SUM(AP499)/AL499</f>
      </c>
      <c r="H499" s="6">
        <f>100*SUM(AQ499)/AL499</f>
      </c>
      <c r="I499" s="6">
        <f>100*SUM(AR499:BC499)/AL499</f>
      </c>
      <c r="J499" s="3"/>
      <c r="K499" s="6">
        <v>0.22</v>
      </c>
      <c r="L499" s="6">
        <v>2.1</v>
      </c>
      <c r="M499" s="6">
        <v>9.3</v>
      </c>
      <c r="N499" s="5"/>
      <c r="O499" s="6">
        <v>0.7</v>
      </c>
      <c r="P499" s="6"/>
      <c r="Q499" s="7"/>
      <c r="R499" s="6"/>
      <c r="S499" s="6"/>
      <c r="T499" s="6"/>
      <c r="U499" s="5"/>
      <c r="V499" s="6"/>
      <c r="W499" s="6"/>
      <c r="X499" s="6"/>
      <c r="Y499" s="15"/>
      <c r="Z499" s="6"/>
      <c r="AA499" s="6"/>
      <c r="AB499" s="5"/>
      <c r="AC499" s="3"/>
      <c r="AD499" s="6">
        <v>0.00462</v>
      </c>
      <c r="AE499" s="6">
        <v>0.020460000000000002</v>
      </c>
      <c r="AF499" s="7">
        <v>0</v>
      </c>
      <c r="AG499" s="6">
        <v>0.00154</v>
      </c>
      <c r="AH499" s="7">
        <v>0</v>
      </c>
      <c r="AI499" s="15">
        <v>0.02662</v>
      </c>
      <c r="AJ499" s="6">
        <v>12.1</v>
      </c>
      <c r="AK499" s="3"/>
      <c r="AL499" s="6">
        <v>290.378889</v>
      </c>
      <c r="AM499" s="6">
        <v>39.815076</v>
      </c>
      <c r="AN499" s="6">
        <v>201.95238300000003</v>
      </c>
      <c r="AO499" s="6">
        <v>0</v>
      </c>
      <c r="AP499" s="6">
        <v>48.61142999999999</v>
      </c>
      <c r="AQ499" s="6">
        <v>0</v>
      </c>
      <c r="AR499" s="6">
        <v>0</v>
      </c>
      <c r="AS499" s="6">
        <v>0</v>
      </c>
      <c r="AT499" s="6">
        <v>0</v>
      </c>
      <c r="AU499" s="6">
        <v>0</v>
      </c>
      <c r="AV499" s="6">
        <v>0</v>
      </c>
      <c r="AW499" s="6">
        <v>0</v>
      </c>
      <c r="AX499" s="6">
        <v>0</v>
      </c>
      <c r="AY499" s="6">
        <v>0</v>
      </c>
      <c r="AZ499" s="6">
        <v>0</v>
      </c>
      <c r="BA499" s="6">
        <v>0</v>
      </c>
      <c r="BB499" s="6">
        <v>0</v>
      </c>
      <c r="BC499" s="6"/>
      <c r="BD499" s="3"/>
      <c r="BE499" s="3"/>
      <c r="BF499" s="7">
        <v>63.88335558000001</v>
      </c>
    </row>
    <row x14ac:dyDescent="0.25" r="500" customHeight="1" ht="12.75">
      <c r="A500" s="5" t="s">
        <v>831</v>
      </c>
      <c r="B500" s="3" t="s">
        <v>859</v>
      </c>
      <c r="C500" s="3" t="s">
        <v>866</v>
      </c>
      <c r="D500" s="3" t="s">
        <v>989</v>
      </c>
      <c r="E500" s="3"/>
      <c r="F500" s="6">
        <f>100*SUM(AM500:AO500)/AL500</f>
      </c>
      <c r="G500" s="6">
        <f>100*SUM(AP500)/AL500</f>
      </c>
      <c r="H500" s="6">
        <f>100*SUM(AQ500)/AL500</f>
      </c>
      <c r="I500" s="6">
        <f>100*SUM(AR500:BC500)/AL500</f>
      </c>
      <c r="J500" s="3"/>
      <c r="K500" s="6">
        <v>1.30953</v>
      </c>
      <c r="L500" s="6">
        <v>0.59</v>
      </c>
      <c r="M500" s="6">
        <v>1.94</v>
      </c>
      <c r="N500" s="6">
        <v>13.5</v>
      </c>
      <c r="O500" s="6">
        <v>0.15</v>
      </c>
      <c r="P500" s="6"/>
      <c r="Q500" s="6">
        <v>0.2765522072780403</v>
      </c>
      <c r="R500" s="6"/>
      <c r="S500" s="6"/>
      <c r="T500" s="6"/>
      <c r="U500" s="5"/>
      <c r="V500" s="6"/>
      <c r="W500" s="6"/>
      <c r="X500" s="6"/>
      <c r="Y500" s="15"/>
      <c r="Z500" s="6"/>
      <c r="AA500" s="6"/>
      <c r="AB500" s="6">
        <v>0.11</v>
      </c>
      <c r="AC500" s="3" t="s">
        <v>932</v>
      </c>
      <c r="AD500" s="6">
        <v>0.007726227</v>
      </c>
      <c r="AE500" s="6">
        <v>0.025404882</v>
      </c>
      <c r="AF500" s="7">
        <v>17.678655000000003</v>
      </c>
      <c r="AG500" s="6">
        <v>0.001964295</v>
      </c>
      <c r="AH500" s="7">
        <v>0</v>
      </c>
      <c r="AI500" s="15">
        <v>0.035095404</v>
      </c>
      <c r="AJ500" s="6">
        <v>2.6799999999999997</v>
      </c>
      <c r="AK500" s="3"/>
      <c r="AL500" s="6">
        <v>74.40727098389948</v>
      </c>
      <c r="AM500" s="6">
        <v>11.1861404</v>
      </c>
      <c r="AN500" s="6">
        <v>42.1277014</v>
      </c>
      <c r="AO500" s="6">
        <v>8.260610932475885</v>
      </c>
      <c r="AP500" s="6">
        <v>10.416735</v>
      </c>
      <c r="AQ500" s="6">
        <v>0</v>
      </c>
      <c r="AR500" s="6">
        <v>0.28208325142360113</v>
      </c>
      <c r="AS500" s="6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0</v>
      </c>
      <c r="BA500" s="6">
        <v>0</v>
      </c>
      <c r="BB500" s="6">
        <v>0</v>
      </c>
      <c r="BC500" s="6">
        <v>2.1340000000000003</v>
      </c>
      <c r="BD500" s="3" t="s">
        <v>933</v>
      </c>
      <c r="BE500" s="3"/>
      <c r="BF500" s="7">
        <v>97.4385535715459</v>
      </c>
    </row>
    <row x14ac:dyDescent="0.25" r="501" customHeight="1" ht="12.75">
      <c r="A501" s="5" t="s">
        <v>124</v>
      </c>
      <c r="B501" s="3" t="s">
        <v>859</v>
      </c>
      <c r="C501" s="3" t="s">
        <v>866</v>
      </c>
      <c r="D501" s="3" t="s">
        <v>988</v>
      </c>
      <c r="E501" s="3"/>
      <c r="F501" s="6">
        <f>100*SUM(AM501:AO501)/AL501</f>
      </c>
      <c r="G501" s="6">
        <f>100*SUM(AP501)/AL501</f>
      </c>
      <c r="H501" s="6">
        <f>100*SUM(AQ501)/AL501</f>
      </c>
      <c r="I501" s="6">
        <f>100*SUM(AR501:BC501)/AL501</f>
      </c>
      <c r="J501" s="3"/>
      <c r="K501" s="5">
        <v>54</v>
      </c>
      <c r="L501" s="7">
        <v>2</v>
      </c>
      <c r="M501" s="6">
        <v>7.7</v>
      </c>
      <c r="N501" s="6">
        <v>42.8</v>
      </c>
      <c r="O501" s="6"/>
      <c r="P501" s="6"/>
      <c r="Q501" s="6">
        <v>47.5</v>
      </c>
      <c r="R501" s="6"/>
      <c r="S501" s="6"/>
      <c r="T501" s="6"/>
      <c r="U501" s="5"/>
      <c r="V501" s="6"/>
      <c r="W501" s="6"/>
      <c r="X501" s="6"/>
      <c r="Y501" s="15"/>
      <c r="Z501" s="6"/>
      <c r="AA501" s="6"/>
      <c r="AB501" s="5"/>
      <c r="AC501" s="3"/>
      <c r="AD501" s="6">
        <v>1.08</v>
      </c>
      <c r="AE501" s="6">
        <v>4.158</v>
      </c>
      <c r="AF501" s="7">
        <v>2311.2</v>
      </c>
      <c r="AG501" s="6">
        <v>0</v>
      </c>
      <c r="AH501" s="7">
        <v>0</v>
      </c>
      <c r="AI501" s="15">
        <v>5.238</v>
      </c>
      <c r="AJ501" s="6">
        <v>9.7</v>
      </c>
      <c r="AK501" s="3"/>
      <c r="AL501" s="6">
        <v>279.7662031414791</v>
      </c>
      <c r="AM501" s="6">
        <v>37.91912</v>
      </c>
      <c r="AN501" s="6">
        <v>167.207887</v>
      </c>
      <c r="AO501" s="6">
        <v>26.1891961414791</v>
      </c>
      <c r="AP501" s="6">
        <v>0</v>
      </c>
      <c r="AQ501" s="6">
        <v>0</v>
      </c>
      <c r="AR501" s="6">
        <v>48.449999999999996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0</v>
      </c>
      <c r="BC501" s="6"/>
      <c r="BD501" s="3"/>
      <c r="BE501" s="3"/>
      <c r="BF501" s="7">
        <v>15107.37496963987</v>
      </c>
    </row>
    <row x14ac:dyDescent="0.25" r="502" customHeight="1" ht="12.75">
      <c r="A502" s="5" t="s">
        <v>407</v>
      </c>
      <c r="B502" s="3" t="s">
        <v>859</v>
      </c>
      <c r="C502" s="3" t="s">
        <v>866</v>
      </c>
      <c r="D502" s="3"/>
      <c r="E502" s="3"/>
      <c r="F502" s="6">
        <f>100*SUM(AM502:AO502)/AL502</f>
      </c>
      <c r="G502" s="6">
        <f>100*SUM(AP502)/AL502</f>
      </c>
      <c r="H502" s="6">
        <f>100*SUM(AQ502)/AL502</f>
      </c>
      <c r="I502" s="6">
        <f>100*SUM(AR502:BC502)/AL502</f>
      </c>
      <c r="J502" s="3"/>
      <c r="K502" s="6">
        <v>4.3</v>
      </c>
      <c r="L502" s="6">
        <v>3.8</v>
      </c>
      <c r="M502" s="6">
        <v>4.7</v>
      </c>
      <c r="N502" s="5">
        <v>42</v>
      </c>
      <c r="O502" s="6">
        <v>0.27</v>
      </c>
      <c r="P502" s="6">
        <v>0.7</v>
      </c>
      <c r="Q502" s="7"/>
      <c r="R502" s="6"/>
      <c r="S502" s="6"/>
      <c r="T502" s="6"/>
      <c r="U502" s="5"/>
      <c r="V502" s="6"/>
      <c r="W502" s="6"/>
      <c r="X502" s="6"/>
      <c r="Y502" s="15"/>
      <c r="Z502" s="6"/>
      <c r="AA502" s="6"/>
      <c r="AB502" s="5"/>
      <c r="AC502" s="3"/>
      <c r="AD502" s="6">
        <v>0.1634</v>
      </c>
      <c r="AE502" s="6">
        <v>0.2021</v>
      </c>
      <c r="AF502" s="7">
        <v>180.6</v>
      </c>
      <c r="AG502" s="6">
        <v>0.01161</v>
      </c>
      <c r="AH502" s="7">
        <v>3.01</v>
      </c>
      <c r="AI502" s="15">
        <v>0.37711</v>
      </c>
      <c r="AJ502" s="6">
        <v>8.77</v>
      </c>
      <c r="AK502" s="3"/>
      <c r="AL502" s="6">
        <v>247.14329545980704</v>
      </c>
      <c r="AM502" s="6">
        <v>72.04632799999999</v>
      </c>
      <c r="AN502" s="6">
        <v>102.06195699999999</v>
      </c>
      <c r="AO502" s="6">
        <v>25.69967845659164</v>
      </c>
      <c r="AP502" s="6">
        <v>18.750123000000002</v>
      </c>
      <c r="AQ502" s="6">
        <v>28.585209003215432</v>
      </c>
      <c r="AR502" s="6">
        <v>0</v>
      </c>
      <c r="AS502" s="6">
        <v>0</v>
      </c>
      <c r="AT502" s="6">
        <v>0</v>
      </c>
      <c r="AU502" s="6">
        <v>0</v>
      </c>
      <c r="AV502" s="6">
        <v>0</v>
      </c>
      <c r="AW502" s="6">
        <v>0</v>
      </c>
      <c r="AX502" s="6">
        <v>0</v>
      </c>
      <c r="AY502" s="6">
        <v>0</v>
      </c>
      <c r="AZ502" s="6">
        <v>0</v>
      </c>
      <c r="BA502" s="6">
        <v>0</v>
      </c>
      <c r="BB502" s="6">
        <v>0</v>
      </c>
      <c r="BC502" s="6"/>
      <c r="BD502" s="3"/>
      <c r="BE502" s="3"/>
      <c r="BF502" s="7">
        <v>1062.7161704771702</v>
      </c>
    </row>
    <row x14ac:dyDescent="0.25" r="503" customHeight="1" ht="12.75">
      <c r="A503" s="5" t="s">
        <v>324</v>
      </c>
      <c r="B503" s="3" t="s">
        <v>859</v>
      </c>
      <c r="C503" s="3" t="s">
        <v>866</v>
      </c>
      <c r="D503" s="3"/>
      <c r="E503" s="3"/>
      <c r="F503" s="6">
        <f>100*SUM(AM503:AO503)/AL503</f>
      </c>
      <c r="G503" s="6">
        <f>100*SUM(AP503)/AL503</f>
      </c>
      <c r="H503" s="6">
        <f>100*SUM(AQ503)/AL503</f>
      </c>
      <c r="I503" s="6">
        <f>100*SUM(AR503:BC503)/AL503</f>
      </c>
      <c r="J503" s="3"/>
      <c r="K503" s="5">
        <v>20</v>
      </c>
      <c r="L503" s="5">
        <v>2</v>
      </c>
      <c r="M503" s="5">
        <v>5</v>
      </c>
      <c r="N503" s="5"/>
      <c r="O503" s="6">
        <v>0.5</v>
      </c>
      <c r="P503" s="6"/>
      <c r="Q503" s="7"/>
      <c r="R503" s="6"/>
      <c r="S503" s="6"/>
      <c r="T503" s="6"/>
      <c r="U503" s="5"/>
      <c r="V503" s="6"/>
      <c r="W503" s="6"/>
      <c r="X503" s="6"/>
      <c r="Y503" s="15"/>
      <c r="Z503" s="6"/>
      <c r="AA503" s="6"/>
      <c r="AB503" s="5"/>
      <c r="AC503" s="3"/>
      <c r="AD503" s="6">
        <v>0.4</v>
      </c>
      <c r="AE503" s="6">
        <v>1</v>
      </c>
      <c r="AF503" s="7">
        <v>0</v>
      </c>
      <c r="AG503" s="6">
        <v>0.1</v>
      </c>
      <c r="AH503" s="7">
        <v>0</v>
      </c>
      <c r="AI503" s="15">
        <v>1.5</v>
      </c>
      <c r="AJ503" s="6">
        <v>7.5</v>
      </c>
      <c r="AK503" s="3"/>
      <c r="AL503" s="6">
        <v>181.21812</v>
      </c>
      <c r="AM503" s="6">
        <v>37.91912</v>
      </c>
      <c r="AN503" s="6">
        <v>108.57655</v>
      </c>
      <c r="AO503" s="6">
        <v>0</v>
      </c>
      <c r="AP503" s="6">
        <v>34.72245</v>
      </c>
      <c r="AQ503" s="6">
        <v>0</v>
      </c>
      <c r="AR503" s="6">
        <v>0</v>
      </c>
      <c r="AS503" s="6">
        <v>0</v>
      </c>
      <c r="AT503" s="6">
        <v>0</v>
      </c>
      <c r="AU503" s="6">
        <v>0</v>
      </c>
      <c r="AV503" s="6">
        <v>0</v>
      </c>
      <c r="AW503" s="6">
        <v>0</v>
      </c>
      <c r="AX503" s="6">
        <v>0</v>
      </c>
      <c r="AY503" s="6">
        <v>0</v>
      </c>
      <c r="AZ503" s="6">
        <v>0</v>
      </c>
      <c r="BA503" s="6">
        <v>0</v>
      </c>
      <c r="BB503" s="6">
        <v>0</v>
      </c>
      <c r="BC503" s="6"/>
      <c r="BD503" s="3"/>
      <c r="BE503" s="3"/>
      <c r="BF503" s="7">
        <v>3624.3624</v>
      </c>
    </row>
    <row x14ac:dyDescent="0.25" r="504" customHeight="1" ht="12.75">
      <c r="A504" s="5" t="s">
        <v>689</v>
      </c>
      <c r="B504" s="3" t="s">
        <v>859</v>
      </c>
      <c r="C504" s="3" t="s">
        <v>866</v>
      </c>
      <c r="D504" s="3" t="s">
        <v>988</v>
      </c>
      <c r="E504" s="3"/>
      <c r="F504" s="6">
        <f>100*SUM(AM504:AO504)/AL504</f>
      </c>
      <c r="G504" s="6">
        <f>100*SUM(AP504)/AL504</f>
      </c>
      <c r="H504" s="6">
        <f>100*SUM(AQ504)/AL504</f>
      </c>
      <c r="I504" s="6">
        <f>100*SUM(AR504:BC504)/AL504</f>
      </c>
      <c r="J504" s="3"/>
      <c r="K504" s="6">
        <v>3.6</v>
      </c>
      <c r="L504" s="6"/>
      <c r="M504" s="6">
        <v>4.9</v>
      </c>
      <c r="N504" s="5">
        <v>72</v>
      </c>
      <c r="O504" s="6">
        <v>0.6</v>
      </c>
      <c r="P504" s="6"/>
      <c r="Q504" s="7"/>
      <c r="R504" s="6"/>
      <c r="S504" s="6"/>
      <c r="T504" s="6"/>
      <c r="U504" s="5"/>
      <c r="V504" s="6"/>
      <c r="W504" s="6"/>
      <c r="X504" s="6"/>
      <c r="Y504" s="15"/>
      <c r="Z504" s="6"/>
      <c r="AA504" s="6"/>
      <c r="AB504" s="5"/>
      <c r="AC504" s="3"/>
      <c r="AD504" s="6">
        <v>0</v>
      </c>
      <c r="AE504" s="6">
        <v>0.1764</v>
      </c>
      <c r="AF504" s="7">
        <v>259.2</v>
      </c>
      <c r="AG504" s="6">
        <v>0.0216</v>
      </c>
      <c r="AH504" s="7">
        <v>0</v>
      </c>
      <c r="AI504" s="15">
        <v>0.198</v>
      </c>
      <c r="AJ504" s="6">
        <v>5.5</v>
      </c>
      <c r="AK504" s="3"/>
      <c r="AL504" s="6">
        <v>192.12855063987138</v>
      </c>
      <c r="AM504" s="6">
        <v>0</v>
      </c>
      <c r="AN504" s="6">
        <v>106.405019</v>
      </c>
      <c r="AO504" s="6">
        <v>44.05659163987139</v>
      </c>
      <c r="AP504" s="6">
        <v>41.66694</v>
      </c>
      <c r="AQ504" s="6">
        <v>0</v>
      </c>
      <c r="AR504" s="6">
        <v>0</v>
      </c>
      <c r="AS504" s="6">
        <v>0</v>
      </c>
      <c r="AT504" s="6">
        <v>0</v>
      </c>
      <c r="AU504" s="6">
        <v>0</v>
      </c>
      <c r="AV504" s="6">
        <v>0</v>
      </c>
      <c r="AW504" s="6">
        <v>0</v>
      </c>
      <c r="AX504" s="6">
        <v>0</v>
      </c>
      <c r="AY504" s="6">
        <v>0</v>
      </c>
      <c r="AZ504" s="6">
        <v>0</v>
      </c>
      <c r="BA504" s="6">
        <v>0</v>
      </c>
      <c r="BB504" s="6">
        <v>0</v>
      </c>
      <c r="BC504" s="6"/>
      <c r="BD504" s="3"/>
      <c r="BE504" s="3"/>
      <c r="BF504" s="7">
        <v>691.662782303537</v>
      </c>
    </row>
    <row x14ac:dyDescent="0.25" r="505" customHeight="1" ht="12.75">
      <c r="A505" s="5" t="s">
        <v>122</v>
      </c>
      <c r="B505" s="3" t="s">
        <v>859</v>
      </c>
      <c r="C505" s="3" t="s">
        <v>866</v>
      </c>
      <c r="D505" s="3" t="s">
        <v>988</v>
      </c>
      <c r="E505" s="3"/>
      <c r="F505" s="6">
        <f>100*SUM(AM505:AO505)/AL505</f>
      </c>
      <c r="G505" s="6">
        <f>100*SUM(AP505)/AL505</f>
      </c>
      <c r="H505" s="6">
        <f>100*SUM(AQ505)/AL505</f>
      </c>
      <c r="I505" s="6">
        <f>100*SUM(AR505:BC505)/AL505</f>
      </c>
      <c r="J505" s="3"/>
      <c r="K505" s="5">
        <v>95</v>
      </c>
      <c r="L505" s="6">
        <v>1.43</v>
      </c>
      <c r="M505" s="6">
        <v>3.63</v>
      </c>
      <c r="N505" s="6">
        <v>44.2</v>
      </c>
      <c r="O505" s="6">
        <v>0.59</v>
      </c>
      <c r="P505" s="6"/>
      <c r="Q505" s="7"/>
      <c r="R505" s="6"/>
      <c r="S505" s="6"/>
      <c r="T505" s="6"/>
      <c r="U505" s="5"/>
      <c r="V505" s="6"/>
      <c r="W505" s="6"/>
      <c r="X505" s="6"/>
      <c r="Y505" s="15"/>
      <c r="Z505" s="6"/>
      <c r="AA505" s="6"/>
      <c r="AB505" s="5"/>
      <c r="AC505" s="3"/>
      <c r="AD505" s="6">
        <v>1.3585</v>
      </c>
      <c r="AE505" s="6">
        <v>3.4484999999999997</v>
      </c>
      <c r="AF505" s="7">
        <v>4199</v>
      </c>
      <c r="AG505" s="6">
        <v>0.5605</v>
      </c>
      <c r="AH505" s="7">
        <v>0</v>
      </c>
      <c r="AI505" s="15">
        <v>5.3675</v>
      </c>
      <c r="AJ505" s="6">
        <v>5.6499999999999995</v>
      </c>
      <c r="AK505" s="3"/>
      <c r="AL505" s="6">
        <v>173.95708919003215</v>
      </c>
      <c r="AM505" s="6">
        <v>27.112170799999998</v>
      </c>
      <c r="AN505" s="6">
        <v>78.8265753</v>
      </c>
      <c r="AO505" s="6">
        <v>27.04585209003216</v>
      </c>
      <c r="AP505" s="6">
        <v>40.972491</v>
      </c>
      <c r="AQ505" s="6">
        <v>0</v>
      </c>
      <c r="AR505" s="6">
        <v>0</v>
      </c>
      <c r="AS505" s="6">
        <v>0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0</v>
      </c>
      <c r="BC505" s="6"/>
      <c r="BD505" s="3"/>
      <c r="BE505" s="3"/>
      <c r="BF505" s="7">
        <v>16525.923473053055</v>
      </c>
    </row>
    <row x14ac:dyDescent="0.25" r="506" customHeight="1" ht="12.75">
      <c r="A506" s="5" t="s">
        <v>827</v>
      </c>
      <c r="B506" s="3" t="s">
        <v>859</v>
      </c>
      <c r="C506" s="3" t="s">
        <v>866</v>
      </c>
      <c r="D506" s="3" t="s">
        <v>989</v>
      </c>
      <c r="E506" s="3"/>
      <c r="F506" s="6">
        <f>100*SUM(AM506:AO506)/AL506</f>
      </c>
      <c r="G506" s="6">
        <f>100*SUM(AP506)/AL506</f>
      </c>
      <c r="H506" s="6">
        <f>100*SUM(AQ506)/AL506</f>
      </c>
      <c r="I506" s="6">
        <f>100*SUM(AR506:BC506)/AL506</f>
      </c>
      <c r="J506" s="3"/>
      <c r="K506" s="6">
        <v>1.35</v>
      </c>
      <c r="L506" s="6">
        <v>0.18</v>
      </c>
      <c r="M506" s="6">
        <v>2.67</v>
      </c>
      <c r="N506" s="5"/>
      <c r="O506" s="6"/>
      <c r="P506" s="6"/>
      <c r="Q506" s="6">
        <v>21.265099512826335</v>
      </c>
      <c r="R506" s="6"/>
      <c r="S506" s="6"/>
      <c r="T506" s="6"/>
      <c r="U506" s="5"/>
      <c r="V506" s="6"/>
      <c r="W506" s="6"/>
      <c r="X506" s="6"/>
      <c r="Y506" s="15"/>
      <c r="Z506" s="6"/>
      <c r="AA506" s="6"/>
      <c r="AB506" s="5"/>
      <c r="AC506" s="3"/>
      <c r="AD506" s="6">
        <v>0.00243</v>
      </c>
      <c r="AE506" s="6">
        <v>0.036045</v>
      </c>
      <c r="AF506" s="7">
        <v>0</v>
      </c>
      <c r="AG506" s="6">
        <v>0</v>
      </c>
      <c r="AH506" s="7">
        <v>0</v>
      </c>
      <c r="AI506" s="15">
        <v>0.038475</v>
      </c>
      <c r="AJ506" s="6">
        <v>2.85</v>
      </c>
      <c r="AK506" s="3"/>
      <c r="AL506" s="6">
        <v>83.08300000308286</v>
      </c>
      <c r="AM506" s="6">
        <v>3.4127207999999998</v>
      </c>
      <c r="AN506" s="6">
        <v>57.979877699999996</v>
      </c>
      <c r="AO506" s="6">
        <v>0</v>
      </c>
      <c r="AP506" s="6">
        <v>0</v>
      </c>
      <c r="AQ506" s="6">
        <v>0</v>
      </c>
      <c r="AR506" s="6">
        <v>21.69040150308286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0</v>
      </c>
      <c r="BC506" s="6"/>
      <c r="BD506" s="3"/>
      <c r="BE506" s="3"/>
      <c r="BF506" s="7">
        <v>112.16205000416187</v>
      </c>
    </row>
    <row x14ac:dyDescent="0.25" r="507" customHeight="1" ht="12.75">
      <c r="A507" s="5" t="s">
        <v>626</v>
      </c>
      <c r="B507" s="3" t="s">
        <v>859</v>
      </c>
      <c r="C507" s="3" t="s">
        <v>866</v>
      </c>
      <c r="D507" s="3" t="s">
        <v>988</v>
      </c>
      <c r="E507" s="3"/>
      <c r="F507" s="6">
        <f>100*SUM(AM507:AO507)/AL507</f>
      </c>
      <c r="G507" s="6">
        <f>100*SUM(AP507)/AL507</f>
      </c>
      <c r="H507" s="6">
        <f>100*SUM(AQ507)/AL507</f>
      </c>
      <c r="I507" s="6">
        <f>100*SUM(AR507:BC507)/AL507</f>
      </c>
      <c r="J507" s="3"/>
      <c r="K507" s="6">
        <v>0.244</v>
      </c>
      <c r="L507" s="5">
        <v>1</v>
      </c>
      <c r="M507" s="6">
        <v>4.5</v>
      </c>
      <c r="N507" s="6">
        <v>27.4</v>
      </c>
      <c r="O507" s="6">
        <v>0.7</v>
      </c>
      <c r="P507" s="6"/>
      <c r="Q507" s="7"/>
      <c r="R507" s="6"/>
      <c r="S507" s="6"/>
      <c r="T507" s="6"/>
      <c r="U507" s="5"/>
      <c r="V507" s="6"/>
      <c r="W507" s="6"/>
      <c r="X507" s="6"/>
      <c r="Y507" s="15"/>
      <c r="Z507" s="6"/>
      <c r="AA507" s="6"/>
      <c r="AB507" s="5"/>
      <c r="AC507" s="3"/>
      <c r="AD507" s="6">
        <v>0.00244</v>
      </c>
      <c r="AE507" s="6">
        <v>0.010979999999999998</v>
      </c>
      <c r="AF507" s="7">
        <v>6.685599999999999</v>
      </c>
      <c r="AG507" s="6">
        <v>0.0017079999999999999</v>
      </c>
      <c r="AH507" s="7">
        <v>0</v>
      </c>
      <c r="AI507" s="15">
        <v>0.015127999999999997</v>
      </c>
      <c r="AJ507" s="6">
        <v>6.2</v>
      </c>
      <c r="AK507" s="3"/>
      <c r="AL507" s="6">
        <v>182.05586570739547</v>
      </c>
      <c r="AM507" s="6">
        <v>18.95956</v>
      </c>
      <c r="AN507" s="6">
        <v>97.71889499999999</v>
      </c>
      <c r="AO507" s="6">
        <v>16.7659807073955</v>
      </c>
      <c r="AP507" s="6">
        <v>48.61142999999999</v>
      </c>
      <c r="AQ507" s="6">
        <v>0</v>
      </c>
      <c r="AR507" s="6">
        <v>0</v>
      </c>
      <c r="AS507" s="6">
        <v>0</v>
      </c>
      <c r="AT507" s="6">
        <v>0</v>
      </c>
      <c r="AU507" s="6">
        <v>0</v>
      </c>
      <c r="AV507" s="6">
        <v>0</v>
      </c>
      <c r="AW507" s="6">
        <v>0</v>
      </c>
      <c r="AX507" s="6">
        <v>0</v>
      </c>
      <c r="AY507" s="6">
        <v>0</v>
      </c>
      <c r="AZ507" s="6">
        <v>0</v>
      </c>
      <c r="BA507" s="6">
        <v>0</v>
      </c>
      <c r="BB507" s="6">
        <v>0</v>
      </c>
      <c r="BC507" s="6"/>
      <c r="BD507" s="3"/>
      <c r="BE507" s="3"/>
      <c r="BF507" s="7">
        <v>44.42163123260449</v>
      </c>
    </row>
    <row x14ac:dyDescent="0.25" r="508" customHeight="1" ht="12.75">
      <c r="A508" s="5" t="s">
        <v>56</v>
      </c>
      <c r="B508" s="3" t="s">
        <v>859</v>
      </c>
      <c r="C508" s="3" t="s">
        <v>866</v>
      </c>
      <c r="D508" s="3" t="s">
        <v>994</v>
      </c>
      <c r="E508" s="3"/>
      <c r="F508" s="6">
        <f>100*SUM(AM508:AO508)/AL508</f>
      </c>
      <c r="G508" s="6">
        <f>100*SUM(AP508)/AL508</f>
      </c>
      <c r="H508" s="6">
        <f>100*SUM(AQ508)/AL508</f>
      </c>
      <c r="I508" s="6">
        <f>100*SUM(AR508:BC508)/AL508</f>
      </c>
      <c r="J508" s="3"/>
      <c r="K508" s="23">
        <v>25.975458000000003</v>
      </c>
      <c r="L508" s="6"/>
      <c r="M508" s="6">
        <v>19.044620703126775</v>
      </c>
      <c r="N508" s="5"/>
      <c r="O508" s="6">
        <v>2.1841765130763044</v>
      </c>
      <c r="P508" s="6"/>
      <c r="Q508" s="7"/>
      <c r="R508" s="6"/>
      <c r="S508" s="6"/>
      <c r="T508" s="6"/>
      <c r="U508" s="5"/>
      <c r="V508" s="6"/>
      <c r="W508" s="6"/>
      <c r="X508" s="6"/>
      <c r="Y508" s="15"/>
      <c r="Z508" s="6"/>
      <c r="AA508" s="6"/>
      <c r="AB508" s="5"/>
      <c r="AC508" s="3"/>
      <c r="AD508" s="6">
        <v>0</v>
      </c>
      <c r="AE508" s="6">
        <v>4.946927452000001</v>
      </c>
      <c r="AF508" s="7">
        <v>0</v>
      </c>
      <c r="AG508" s="6">
        <v>0.5673498528</v>
      </c>
      <c r="AH508" s="7">
        <v>0</v>
      </c>
      <c r="AI508" s="15">
        <v>5.5142773048</v>
      </c>
      <c r="AJ508" s="6">
        <v>21.22879721620308</v>
      </c>
      <c r="AK508" s="3"/>
      <c r="AL508" s="6">
        <v>565.2397619337485</v>
      </c>
      <c r="AM508" s="6">
        <v>0</v>
      </c>
      <c r="AN508" s="6">
        <v>413.55984240081585</v>
      </c>
      <c r="AO508" s="6">
        <v>0</v>
      </c>
      <c r="AP508" s="6">
        <v>151.67991953293264</v>
      </c>
      <c r="AQ508" s="6">
        <v>0</v>
      </c>
      <c r="AR508" s="6">
        <v>0</v>
      </c>
      <c r="AS508" s="6">
        <v>0</v>
      </c>
      <c r="AT508" s="6">
        <v>0</v>
      </c>
      <c r="AU508" s="6">
        <v>0</v>
      </c>
      <c r="AV508" s="6">
        <v>0</v>
      </c>
      <c r="AW508" s="6">
        <v>0</v>
      </c>
      <c r="AX508" s="6">
        <v>0</v>
      </c>
      <c r="AY508" s="6">
        <v>0</v>
      </c>
      <c r="AZ508" s="6">
        <v>0</v>
      </c>
      <c r="BA508" s="6">
        <v>0</v>
      </c>
      <c r="BB508" s="6">
        <v>0</v>
      </c>
      <c r="BC508" s="6"/>
      <c r="BD508" s="3"/>
      <c r="BE508" s="3"/>
      <c r="BF508" s="7">
        <v>14682.361696040083</v>
      </c>
    </row>
    <row x14ac:dyDescent="0.25" r="509" customHeight="1" ht="12.75">
      <c r="A509" s="5" t="s">
        <v>599</v>
      </c>
      <c r="B509" s="3" t="s">
        <v>859</v>
      </c>
      <c r="C509" s="3" t="s">
        <v>866</v>
      </c>
      <c r="D509" s="3" t="s">
        <v>988</v>
      </c>
      <c r="E509" s="3"/>
      <c r="F509" s="6">
        <f>100*SUM(AM509:AO509)/AL509</f>
      </c>
      <c r="G509" s="6">
        <f>100*SUM(AP509)/AL509</f>
      </c>
      <c r="H509" s="6">
        <f>100*SUM(AQ509)/AL509</f>
      </c>
      <c r="I509" s="6">
        <f>100*SUM(AR509:BC509)/AL509</f>
      </c>
      <c r="J509" s="3"/>
      <c r="K509" s="6">
        <v>1.2</v>
      </c>
      <c r="L509" s="6">
        <v>5.4</v>
      </c>
      <c r="M509" s="6">
        <v>0.4</v>
      </c>
      <c r="N509" s="5"/>
      <c r="O509" s="6">
        <v>0.7</v>
      </c>
      <c r="P509" s="6"/>
      <c r="Q509" s="7"/>
      <c r="R509" s="6"/>
      <c r="S509" s="6"/>
      <c r="T509" s="6"/>
      <c r="U509" s="5"/>
      <c r="V509" s="6"/>
      <c r="W509" s="6"/>
      <c r="X509" s="6"/>
      <c r="Y509" s="15"/>
      <c r="Z509" s="6"/>
      <c r="AA509" s="6"/>
      <c r="AB509" s="5"/>
      <c r="AC509" s="3"/>
      <c r="AD509" s="6">
        <v>0.06480000000000001</v>
      </c>
      <c r="AE509" s="6">
        <v>0.0048</v>
      </c>
      <c r="AF509" s="7">
        <v>0</v>
      </c>
      <c r="AG509" s="6">
        <v>0.0084</v>
      </c>
      <c r="AH509" s="7">
        <v>0</v>
      </c>
      <c r="AI509" s="15">
        <v>0.07800000000000001</v>
      </c>
      <c r="AJ509" s="6">
        <v>6.500000000000001</v>
      </c>
      <c r="AK509" s="3"/>
      <c r="AL509" s="6">
        <v>159.67917799999998</v>
      </c>
      <c r="AM509" s="6">
        <v>102.381624</v>
      </c>
      <c r="AN509" s="6">
        <v>8.686124</v>
      </c>
      <c r="AO509" s="6">
        <v>0</v>
      </c>
      <c r="AP509" s="6">
        <v>48.61142999999999</v>
      </c>
      <c r="AQ509" s="6">
        <v>0</v>
      </c>
      <c r="AR509" s="6">
        <v>0</v>
      </c>
      <c r="AS509" s="6">
        <v>0</v>
      </c>
      <c r="AT509" s="6">
        <v>0</v>
      </c>
      <c r="AU509" s="6">
        <v>0</v>
      </c>
      <c r="AV509" s="6">
        <v>0</v>
      </c>
      <c r="AW509" s="6">
        <v>0</v>
      </c>
      <c r="AX509" s="6">
        <v>0</v>
      </c>
      <c r="AY509" s="6">
        <v>0</v>
      </c>
      <c r="AZ509" s="6">
        <v>0</v>
      </c>
      <c r="BA509" s="6">
        <v>0</v>
      </c>
      <c r="BB509" s="6">
        <v>0</v>
      </c>
      <c r="BC509" s="6"/>
      <c r="BD509" s="3"/>
      <c r="BE509" s="3"/>
      <c r="BF509" s="7">
        <v>191.61501359999997</v>
      </c>
    </row>
    <row x14ac:dyDescent="0.25" r="510" customHeight="1" ht="12.75">
      <c r="A510" s="5" t="s">
        <v>89</v>
      </c>
      <c r="B510" s="3" t="s">
        <v>859</v>
      </c>
      <c r="C510" s="3" t="s">
        <v>866</v>
      </c>
      <c r="D510" s="3" t="s">
        <v>989</v>
      </c>
      <c r="E510" s="3"/>
      <c r="F510" s="6">
        <f>100*SUM(AM510:AO510)/AL510</f>
      </c>
      <c r="G510" s="6">
        <f>100*SUM(AP510)/AL510</f>
      </c>
      <c r="H510" s="6">
        <f>100*SUM(AQ510)/AL510</f>
      </c>
      <c r="I510" s="6">
        <f>100*SUM(AR510:BC510)/AL510</f>
      </c>
      <c r="J510" s="3"/>
      <c r="K510" s="23">
        <v>0.044216927999999996</v>
      </c>
      <c r="L510" s="6">
        <v>7.94</v>
      </c>
      <c r="M510" s="6">
        <v>6.74</v>
      </c>
      <c r="N510" s="6">
        <v>161.1</v>
      </c>
      <c r="O510" s="6"/>
      <c r="P510" s="7">
        <v>4.456569664902998</v>
      </c>
      <c r="Q510" s="7"/>
      <c r="R510" s="6"/>
      <c r="S510" s="6"/>
      <c r="T510" s="6"/>
      <c r="U510" s="5"/>
      <c r="V510" s="6"/>
      <c r="W510" s="6"/>
      <c r="X510" s="6"/>
      <c r="Y510" s="15"/>
      <c r="Z510" s="6"/>
      <c r="AA510" s="6"/>
      <c r="AB510" s="5"/>
      <c r="AC510" s="3"/>
      <c r="AD510" s="6">
        <v>0.0035108240832</v>
      </c>
      <c r="AE510" s="6">
        <v>0.0029802209471999994</v>
      </c>
      <c r="AF510" s="7">
        <v>7.123347100799999</v>
      </c>
      <c r="AG510" s="6">
        <v>0</v>
      </c>
      <c r="AH510" s="7">
        <v>0.19705582</v>
      </c>
      <c r="AI510" s="15">
        <v>0.006491045030399999</v>
      </c>
      <c r="AJ510" s="6">
        <v>14.68</v>
      </c>
      <c r="AK510" s="3"/>
      <c r="AL510" s="6">
        <v>577.4652557494151</v>
      </c>
      <c r="AM510" s="6">
        <v>150.5389064</v>
      </c>
      <c r="AN510" s="6">
        <v>146.3611894</v>
      </c>
      <c r="AO510" s="6">
        <v>98.57662379421222</v>
      </c>
      <c r="AP510" s="6">
        <v>0</v>
      </c>
      <c r="AQ510" s="6">
        <v>181.98853615520284</v>
      </c>
      <c r="AR510" s="6">
        <v>0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0</v>
      </c>
      <c r="BC510" s="6"/>
      <c r="BD510" s="3"/>
      <c r="BE510" s="3"/>
      <c r="BF510" s="7">
        <v>25.53373963597347</v>
      </c>
    </row>
    <row x14ac:dyDescent="0.25" r="511" customHeight="1" ht="12.75">
      <c r="A511" s="5" t="s">
        <v>151</v>
      </c>
      <c r="B511" s="3" t="s">
        <v>859</v>
      </c>
      <c r="C511" s="3" t="s">
        <v>866</v>
      </c>
      <c r="D511" s="3" t="s">
        <v>988</v>
      </c>
      <c r="E511" s="3"/>
      <c r="F511" s="6">
        <f>100*SUM(AM511:AO511)/AL511</f>
      </c>
      <c r="G511" s="6">
        <f>100*SUM(AP511)/AL511</f>
      </c>
      <c r="H511" s="6">
        <f>100*SUM(AQ511)/AL511</f>
      </c>
      <c r="I511" s="6">
        <f>100*SUM(AR511:BC511)/AL511</f>
      </c>
      <c r="J511" s="3"/>
      <c r="K511" s="7">
        <v>1</v>
      </c>
      <c r="L511" s="6">
        <v>5.4</v>
      </c>
      <c r="M511" s="6">
        <v>7.3</v>
      </c>
      <c r="N511" s="5"/>
      <c r="O511" s="7">
        <v>2</v>
      </c>
      <c r="P511" s="6"/>
      <c r="Q511" s="7"/>
      <c r="R511" s="6"/>
      <c r="S511" s="6"/>
      <c r="T511" s="6"/>
      <c r="U511" s="5"/>
      <c r="V511" s="6"/>
      <c r="W511" s="6"/>
      <c r="X511" s="6"/>
      <c r="Y511" s="15"/>
      <c r="Z511" s="6"/>
      <c r="AA511" s="6"/>
      <c r="AB511" s="5"/>
      <c r="AC511" s="3"/>
      <c r="AD511" s="6">
        <v>0.054000000000000006</v>
      </c>
      <c r="AE511" s="6">
        <v>0.073</v>
      </c>
      <c r="AF511" s="7">
        <v>0</v>
      </c>
      <c r="AG511" s="6">
        <v>0.02</v>
      </c>
      <c r="AH511" s="7">
        <v>0</v>
      </c>
      <c r="AI511" s="15">
        <v>0.147</v>
      </c>
      <c r="AJ511" s="6">
        <v>14.7</v>
      </c>
      <c r="AK511" s="3"/>
      <c r="AL511" s="6">
        <v>399.793187</v>
      </c>
      <c r="AM511" s="6">
        <v>102.381624</v>
      </c>
      <c r="AN511" s="6">
        <v>158.521763</v>
      </c>
      <c r="AO511" s="6">
        <v>0</v>
      </c>
      <c r="AP511" s="6">
        <v>138.8898</v>
      </c>
      <c r="AQ511" s="6">
        <v>0</v>
      </c>
      <c r="AR511" s="6">
        <v>0</v>
      </c>
      <c r="AS511" s="6">
        <v>0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0</v>
      </c>
      <c r="BC511" s="6"/>
      <c r="BD511" s="3"/>
      <c r="BE511" s="3"/>
      <c r="BF511" s="7">
        <v>399.793187</v>
      </c>
    </row>
    <row x14ac:dyDescent="0.25" r="512" customHeight="1" ht="12.75">
      <c r="A512" s="5" t="s">
        <v>163</v>
      </c>
      <c r="B512" s="3" t="s">
        <v>859</v>
      </c>
      <c r="C512" s="3" t="s">
        <v>866</v>
      </c>
      <c r="D512" s="3" t="s">
        <v>988</v>
      </c>
      <c r="E512" s="3"/>
      <c r="F512" s="6">
        <f>100*SUM(AM512:AO512)/AL512</f>
      </c>
      <c r="G512" s="6">
        <f>100*SUM(AP512)/AL512</f>
      </c>
      <c r="H512" s="6">
        <f>100*SUM(AQ512)/AL512</f>
      </c>
      <c r="I512" s="6">
        <f>100*SUM(AR512:BC512)/AL512</f>
      </c>
      <c r="J512" s="3"/>
      <c r="K512" s="6">
        <v>8.3</v>
      </c>
      <c r="L512" s="5">
        <v>6</v>
      </c>
      <c r="M512" s="5">
        <v>6</v>
      </c>
      <c r="N512" s="5"/>
      <c r="O512" s="5">
        <v>2</v>
      </c>
      <c r="P512" s="6"/>
      <c r="Q512" s="7"/>
      <c r="R512" s="6"/>
      <c r="S512" s="6"/>
      <c r="T512" s="6"/>
      <c r="U512" s="5"/>
      <c r="V512" s="6"/>
      <c r="W512" s="6"/>
      <c r="X512" s="6"/>
      <c r="Y512" s="15"/>
      <c r="Z512" s="6"/>
      <c r="AA512" s="6"/>
      <c r="AB512" s="5"/>
      <c r="AC512" s="3"/>
      <c r="AD512" s="6">
        <v>0.49800000000000005</v>
      </c>
      <c r="AE512" s="6">
        <v>0.49800000000000005</v>
      </c>
      <c r="AF512" s="7">
        <v>0</v>
      </c>
      <c r="AG512" s="6">
        <v>0.166</v>
      </c>
      <c r="AH512" s="7">
        <v>0</v>
      </c>
      <c r="AI512" s="15">
        <v>1.1620000000000001</v>
      </c>
      <c r="AJ512" s="6">
        <v>14</v>
      </c>
      <c r="AK512" s="3"/>
      <c r="AL512" s="6">
        <v>382.93902</v>
      </c>
      <c r="AM512" s="6">
        <v>113.75735999999999</v>
      </c>
      <c r="AN512" s="6">
        <v>130.29185999999999</v>
      </c>
      <c r="AO512" s="6">
        <v>0</v>
      </c>
      <c r="AP512" s="6">
        <v>138.8898</v>
      </c>
      <c r="AQ512" s="6">
        <v>0</v>
      </c>
      <c r="AR512" s="6">
        <v>0</v>
      </c>
      <c r="AS512" s="6">
        <v>0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6">
        <v>0</v>
      </c>
      <c r="BA512" s="6">
        <v>0</v>
      </c>
      <c r="BB512" s="6">
        <v>0</v>
      </c>
      <c r="BC512" s="6"/>
      <c r="BD512" s="3"/>
      <c r="BE512" s="3"/>
      <c r="BF512" s="7">
        <v>3178.3938660000003</v>
      </c>
    </row>
    <row x14ac:dyDescent="0.25" r="513" customHeight="1" ht="12.75">
      <c r="A513" s="5" t="s">
        <v>533</v>
      </c>
      <c r="B513" s="3" t="s">
        <v>859</v>
      </c>
      <c r="C513" s="3" t="s">
        <v>866</v>
      </c>
      <c r="D513" s="3" t="s">
        <v>988</v>
      </c>
      <c r="E513" s="3"/>
      <c r="F513" s="6">
        <f>100*SUM(AM513:AO513)/AL513</f>
      </c>
      <c r="G513" s="6">
        <f>100*SUM(AP513)/AL513</f>
      </c>
      <c r="H513" s="6">
        <f>100*SUM(AQ513)/AL513</f>
      </c>
      <c r="I513" s="6">
        <f>100*SUM(AR513:BC513)/AL513</f>
      </c>
      <c r="J513" s="3"/>
      <c r="K513" s="6">
        <v>1.7</v>
      </c>
      <c r="L513" s="6">
        <v>0.96</v>
      </c>
      <c r="M513" s="6">
        <v>4.97</v>
      </c>
      <c r="N513" s="5">
        <v>53</v>
      </c>
      <c r="O513" s="6">
        <v>1.33</v>
      </c>
      <c r="P513" s="6"/>
      <c r="Q513" s="7"/>
      <c r="R513" s="6"/>
      <c r="S513" s="6"/>
      <c r="T513" s="6"/>
      <c r="U513" s="5"/>
      <c r="V513" s="6"/>
      <c r="W513" s="6"/>
      <c r="X513" s="6"/>
      <c r="Y513" s="15"/>
      <c r="Z513" s="6"/>
      <c r="AA513" s="6"/>
      <c r="AB513" s="5"/>
      <c r="AC513" s="3"/>
      <c r="AD513" s="6">
        <v>0.016319999999999998</v>
      </c>
      <c r="AE513" s="6">
        <v>0.08449</v>
      </c>
      <c r="AF513" s="7">
        <v>90.1</v>
      </c>
      <c r="AG513" s="6">
        <v>0.02261</v>
      </c>
      <c r="AH513" s="7">
        <v>0</v>
      </c>
      <c r="AI513" s="15">
        <v>0.12342</v>
      </c>
      <c r="AJ513" s="6">
        <v>7.26</v>
      </c>
      <c r="AK513" s="3"/>
      <c r="AL513" s="6">
        <v>250.9185319237942</v>
      </c>
      <c r="AM513" s="6">
        <v>18.201177599999998</v>
      </c>
      <c r="AN513" s="6">
        <v>107.92509069999998</v>
      </c>
      <c r="AO513" s="6">
        <v>32.430546623794214</v>
      </c>
      <c r="AP513" s="6">
        <v>92.361717</v>
      </c>
      <c r="AQ513" s="6">
        <v>0</v>
      </c>
      <c r="AR513" s="6">
        <v>0</v>
      </c>
      <c r="AS513" s="6">
        <v>0</v>
      </c>
      <c r="AT513" s="6">
        <v>0</v>
      </c>
      <c r="AU513" s="6">
        <v>0</v>
      </c>
      <c r="AV513" s="6">
        <v>0</v>
      </c>
      <c r="AW513" s="6">
        <v>0</v>
      </c>
      <c r="AX513" s="6">
        <v>0</v>
      </c>
      <c r="AY513" s="6">
        <v>0</v>
      </c>
      <c r="AZ513" s="6">
        <v>0</v>
      </c>
      <c r="BA513" s="6">
        <v>0</v>
      </c>
      <c r="BB513" s="6">
        <v>0</v>
      </c>
      <c r="BC513" s="6"/>
      <c r="BD513" s="3"/>
      <c r="BE513" s="3"/>
      <c r="BF513" s="7">
        <v>426.56150427045014</v>
      </c>
    </row>
    <row x14ac:dyDescent="0.25" r="514" customHeight="1" ht="12.75">
      <c r="A514" s="5" t="s">
        <v>400</v>
      </c>
      <c r="B514" s="3" t="s">
        <v>859</v>
      </c>
      <c r="C514" s="3" t="s">
        <v>866</v>
      </c>
      <c r="D514" s="3" t="s">
        <v>989</v>
      </c>
      <c r="E514" s="3"/>
      <c r="F514" s="6">
        <f>100*SUM(AM514:AO514)/AL514</f>
      </c>
      <c r="G514" s="6">
        <f>100*SUM(AP514)/AL514</f>
      </c>
      <c r="H514" s="6">
        <f>100*SUM(AQ514)/AL514</f>
      </c>
      <c r="I514" s="6">
        <f>100*SUM(AR514:BC514)/AL514</f>
      </c>
      <c r="J514" s="3"/>
      <c r="K514" s="6">
        <v>8.8</v>
      </c>
      <c r="L514" s="6">
        <v>3.1</v>
      </c>
      <c r="M514" s="6">
        <v>4.2</v>
      </c>
      <c r="N514" s="5"/>
      <c r="O514" s="6">
        <v>1.6</v>
      </c>
      <c r="P514" s="6"/>
      <c r="Q514" s="7"/>
      <c r="R514" s="6"/>
      <c r="S514" s="6"/>
      <c r="T514" s="6"/>
      <c r="U514" s="5"/>
      <c r="V514" s="6"/>
      <c r="W514" s="6"/>
      <c r="X514" s="6"/>
      <c r="Y514" s="15"/>
      <c r="Z514" s="6"/>
      <c r="AA514" s="6"/>
      <c r="AB514" s="5"/>
      <c r="AC514" s="3"/>
      <c r="AD514" s="6">
        <v>0.27280000000000004</v>
      </c>
      <c r="AE514" s="6">
        <v>0.3696000000000001</v>
      </c>
      <c r="AF514" s="7">
        <v>0</v>
      </c>
      <c r="AG514" s="6">
        <v>0.1408</v>
      </c>
      <c r="AH514" s="7">
        <v>0</v>
      </c>
      <c r="AI514" s="15">
        <v>0.7832000000000001</v>
      </c>
      <c r="AJ514" s="6">
        <v>8.9</v>
      </c>
      <c r="AK514" s="3"/>
      <c r="AL514" s="6">
        <v>261.090778</v>
      </c>
      <c r="AM514" s="6">
        <v>58.774635999999994</v>
      </c>
      <c r="AN514" s="6">
        <v>91.204302</v>
      </c>
      <c r="AO514" s="6">
        <v>0</v>
      </c>
      <c r="AP514" s="6">
        <v>111.11184</v>
      </c>
      <c r="AQ514" s="6">
        <v>0</v>
      </c>
      <c r="AR514" s="6">
        <v>0</v>
      </c>
      <c r="AS514" s="6">
        <v>0</v>
      </c>
      <c r="AT514" s="6">
        <v>0</v>
      </c>
      <c r="AU514" s="6">
        <v>0</v>
      </c>
      <c r="AV514" s="6">
        <v>0</v>
      </c>
      <c r="AW514" s="6">
        <v>0</v>
      </c>
      <c r="AX514" s="6">
        <v>0</v>
      </c>
      <c r="AY514" s="6">
        <v>0</v>
      </c>
      <c r="AZ514" s="6">
        <v>0</v>
      </c>
      <c r="BA514" s="6">
        <v>0</v>
      </c>
      <c r="BB514" s="6">
        <v>0</v>
      </c>
      <c r="BC514" s="6"/>
      <c r="BD514" s="3"/>
      <c r="BE514" s="3"/>
      <c r="BF514" s="7">
        <v>2297.5988464</v>
      </c>
    </row>
    <row x14ac:dyDescent="0.25" r="515" customHeight="1" ht="12.75">
      <c r="A515" s="5" t="s">
        <v>810</v>
      </c>
      <c r="B515" s="3" t="s">
        <v>859</v>
      </c>
      <c r="C515" s="3" t="s">
        <v>866</v>
      </c>
      <c r="D515" s="3" t="s">
        <v>989</v>
      </c>
      <c r="E515" s="3"/>
      <c r="F515" s="6">
        <f>100*SUM(AM515:AO515)/AL515</f>
      </c>
      <c r="G515" s="6">
        <f>100*SUM(AP515)/AL515</f>
      </c>
      <c r="H515" s="6">
        <f>100*SUM(AQ515)/AL515</f>
      </c>
      <c r="I515" s="6">
        <f>100*SUM(AR515:BC515)/AL515</f>
      </c>
      <c r="J515" s="3"/>
      <c r="K515" s="6">
        <v>0.025</v>
      </c>
      <c r="L515" s="6">
        <v>1.75</v>
      </c>
      <c r="M515" s="6">
        <v>1.75</v>
      </c>
      <c r="N515" s="5"/>
      <c r="O515" s="6"/>
      <c r="P515" s="6"/>
      <c r="Q515" s="7">
        <v>5.88408951655405</v>
      </c>
      <c r="R515" s="6"/>
      <c r="S515" s="6"/>
      <c r="T515" s="6"/>
      <c r="U515" s="5"/>
      <c r="V515" s="6"/>
      <c r="W515" s="6"/>
      <c r="X515" s="6"/>
      <c r="Y515" s="15"/>
      <c r="Z515" s="6"/>
      <c r="AA515" s="6"/>
      <c r="AB515" s="5">
        <v>15</v>
      </c>
      <c r="AC515" s="3" t="s">
        <v>997</v>
      </c>
      <c r="AD515" s="6">
        <v>0.00043750000000000006</v>
      </c>
      <c r="AE515" s="6">
        <v>0.00043750000000000006</v>
      </c>
      <c r="AF515" s="7">
        <v>0</v>
      </c>
      <c r="AG515" s="6">
        <v>0</v>
      </c>
      <c r="AH515" s="7">
        <v>0</v>
      </c>
      <c r="AI515" s="15">
        <v>0.0008750000000000001</v>
      </c>
      <c r="AJ515" s="6">
        <v>3.5</v>
      </c>
      <c r="AK515" s="3"/>
      <c r="AL515" s="6">
        <v>129.68279380688514</v>
      </c>
      <c r="AM515" s="6">
        <v>33.179230000000004</v>
      </c>
      <c r="AN515" s="6">
        <v>38.0017925</v>
      </c>
      <c r="AO515" s="6">
        <v>0</v>
      </c>
      <c r="AP515" s="6">
        <v>0</v>
      </c>
      <c r="AQ515" s="6">
        <v>0</v>
      </c>
      <c r="AR515" s="6">
        <v>6.00177130688513</v>
      </c>
      <c r="AS515" s="6">
        <v>0</v>
      </c>
      <c r="AT515" s="6">
        <v>0</v>
      </c>
      <c r="AU515" s="6">
        <v>0</v>
      </c>
      <c r="AV515" s="6">
        <v>0</v>
      </c>
      <c r="AW515" s="6">
        <v>0</v>
      </c>
      <c r="AX515" s="6">
        <v>0</v>
      </c>
      <c r="AY515" s="6">
        <v>0</v>
      </c>
      <c r="AZ515" s="6">
        <v>0</v>
      </c>
      <c r="BA515" s="6">
        <v>0</v>
      </c>
      <c r="BB515" s="6">
        <v>0</v>
      </c>
      <c r="BC515" s="6">
        <v>52.5</v>
      </c>
      <c r="BD515" s="3" t="s">
        <v>998</v>
      </c>
      <c r="BE515" s="3"/>
      <c r="BF515" s="7">
        <v>3.2420698451721286</v>
      </c>
    </row>
    <row x14ac:dyDescent="0.25" r="516" customHeight="1" ht="12.75">
      <c r="A516" s="5" t="s">
        <v>375</v>
      </c>
      <c r="B516" s="3" t="s">
        <v>859</v>
      </c>
      <c r="C516" s="3" t="s">
        <v>866</v>
      </c>
      <c r="D516" s="3" t="s">
        <v>989</v>
      </c>
      <c r="E516" s="3"/>
      <c r="F516" s="6">
        <f>100*SUM(AM516:AO516)/AL516</f>
      </c>
      <c r="G516" s="6">
        <f>100*SUM(AP516)/AL516</f>
      </c>
      <c r="H516" s="6">
        <f>100*SUM(AQ516)/AL516</f>
      </c>
      <c r="I516" s="6">
        <f>100*SUM(AR516:BC516)/AL516</f>
      </c>
      <c r="J516" s="3"/>
      <c r="K516" s="5">
        <v>4</v>
      </c>
      <c r="L516" s="7">
        <v>1.3333333333333333</v>
      </c>
      <c r="M516" s="7">
        <v>6.666666666666667</v>
      </c>
      <c r="N516" s="5"/>
      <c r="O516" s="6"/>
      <c r="P516" s="6">
        <v>3.5</v>
      </c>
      <c r="Q516" s="7"/>
      <c r="R516" s="6"/>
      <c r="S516" s="6"/>
      <c r="T516" s="6"/>
      <c r="U516" s="5"/>
      <c r="V516" s="6"/>
      <c r="W516" s="6"/>
      <c r="X516" s="6"/>
      <c r="Y516" s="15"/>
      <c r="Z516" s="6"/>
      <c r="AA516" s="6"/>
      <c r="AB516" s="5"/>
      <c r="AC516" s="3"/>
      <c r="AD516" s="6">
        <v>0.05333333333333333</v>
      </c>
      <c r="AE516" s="6">
        <v>0.26666666666666666</v>
      </c>
      <c r="AF516" s="7">
        <v>0</v>
      </c>
      <c r="AG516" s="6">
        <v>0</v>
      </c>
      <c r="AH516" s="7">
        <v>14</v>
      </c>
      <c r="AI516" s="15">
        <v>0.32</v>
      </c>
      <c r="AJ516" s="6">
        <v>8</v>
      </c>
      <c r="AK516" s="3"/>
      <c r="AL516" s="6">
        <v>312.9741916827438</v>
      </c>
      <c r="AM516" s="6">
        <v>25.27941333333333</v>
      </c>
      <c r="AN516" s="6">
        <v>144.76873333333333</v>
      </c>
      <c r="AO516" s="6">
        <v>0</v>
      </c>
      <c r="AP516" s="6">
        <v>0</v>
      </c>
      <c r="AQ516" s="6">
        <v>142.92604501607718</v>
      </c>
      <c r="AR516" s="6">
        <v>0</v>
      </c>
      <c r="AS516" s="6">
        <v>0</v>
      </c>
      <c r="AT516" s="6">
        <v>0</v>
      </c>
      <c r="AU516" s="6">
        <v>0</v>
      </c>
      <c r="AV516" s="6">
        <v>0</v>
      </c>
      <c r="AW516" s="6">
        <v>0</v>
      </c>
      <c r="AX516" s="6">
        <v>0</v>
      </c>
      <c r="AY516" s="6">
        <v>0</v>
      </c>
      <c r="AZ516" s="6">
        <v>0</v>
      </c>
      <c r="BA516" s="6">
        <v>0</v>
      </c>
      <c r="BB516" s="6">
        <v>0</v>
      </c>
      <c r="BC516" s="6"/>
      <c r="BD516" s="3"/>
      <c r="BE516" s="3"/>
      <c r="BF516" s="7">
        <v>1251.8967667309753</v>
      </c>
    </row>
    <row x14ac:dyDescent="0.25" r="517" customHeight="1" ht="12.75">
      <c r="A517" s="5" t="s">
        <v>738</v>
      </c>
      <c r="B517" s="3" t="s">
        <v>859</v>
      </c>
      <c r="C517" s="3" t="s">
        <v>866</v>
      </c>
      <c r="D517" s="3" t="s">
        <v>988</v>
      </c>
      <c r="E517" s="3"/>
      <c r="F517" s="6">
        <f>100*SUM(AM517:AO517)/AL517</f>
      </c>
      <c r="G517" s="6">
        <f>100*SUM(AP517)/AL517</f>
      </c>
      <c r="H517" s="6">
        <f>100*SUM(AQ517)/AL517</f>
      </c>
      <c r="I517" s="6">
        <f>100*SUM(AR517:BC517)/AL517</f>
      </c>
      <c r="J517" s="3"/>
      <c r="K517" s="6">
        <v>0.56</v>
      </c>
      <c r="L517" s="6">
        <v>1.1</v>
      </c>
      <c r="M517" s="6">
        <v>2.6</v>
      </c>
      <c r="N517" s="5"/>
      <c r="O517" s="6">
        <v>1.1</v>
      </c>
      <c r="P517" s="6"/>
      <c r="Q517" s="7"/>
      <c r="R517" s="6"/>
      <c r="S517" s="6"/>
      <c r="T517" s="6"/>
      <c r="U517" s="5"/>
      <c r="V517" s="6"/>
      <c r="W517" s="6"/>
      <c r="X517" s="6"/>
      <c r="Y517" s="15"/>
      <c r="Z517" s="6"/>
      <c r="AA517" s="6"/>
      <c r="AB517" s="5"/>
      <c r="AC517" s="3"/>
      <c r="AD517" s="6">
        <v>0.006160000000000001</v>
      </c>
      <c r="AE517" s="6">
        <v>0.014560000000000002</v>
      </c>
      <c r="AF517" s="7">
        <v>0</v>
      </c>
      <c r="AG517" s="6">
        <v>0.006160000000000001</v>
      </c>
      <c r="AH517" s="7">
        <v>0</v>
      </c>
      <c r="AI517" s="15">
        <v>0.026880000000000005</v>
      </c>
      <c r="AJ517" s="6">
        <v>4.800000000000001</v>
      </c>
      <c r="AK517" s="3"/>
      <c r="AL517" s="6">
        <v>153.70471200000003</v>
      </c>
      <c r="AM517" s="6">
        <v>20.855516</v>
      </c>
      <c r="AN517" s="6">
        <v>56.459806</v>
      </c>
      <c r="AO517" s="6">
        <v>0</v>
      </c>
      <c r="AP517" s="6">
        <v>76.38939</v>
      </c>
      <c r="AQ517" s="6">
        <v>0</v>
      </c>
      <c r="AR517" s="6">
        <v>0</v>
      </c>
      <c r="AS517" s="6">
        <v>0</v>
      </c>
      <c r="AT517" s="6">
        <v>0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6">
        <v>0</v>
      </c>
      <c r="BA517" s="6">
        <v>0</v>
      </c>
      <c r="BB517" s="6">
        <v>0</v>
      </c>
      <c r="BC517" s="6"/>
      <c r="BD517" s="3"/>
      <c r="BE517" s="3"/>
      <c r="BF517" s="7">
        <v>86.07463872000002</v>
      </c>
    </row>
    <row x14ac:dyDescent="0.25" r="518" customHeight="1" ht="12.75">
      <c r="A518" s="5" t="s">
        <v>258</v>
      </c>
      <c r="B518" s="3" t="s">
        <v>859</v>
      </c>
      <c r="C518" s="3" t="s">
        <v>866</v>
      </c>
      <c r="D518" s="3"/>
      <c r="E518" s="3"/>
      <c r="F518" s="6">
        <f>100*SUM(AM518:AO518)/AL518</f>
      </c>
      <c r="G518" s="6">
        <f>100*SUM(AP518)/AL518</f>
      </c>
      <c r="H518" s="6">
        <f>100*SUM(AQ518)/AL518</f>
      </c>
      <c r="I518" s="6">
        <f>100*SUM(AR518:BC518)/AL518</f>
      </c>
      <c r="J518" s="3"/>
      <c r="K518" s="5">
        <v>80</v>
      </c>
      <c r="L518" s="6"/>
      <c r="M518" s="6">
        <v>1.9</v>
      </c>
      <c r="N518" s="5"/>
      <c r="O518" s="6">
        <v>0.7</v>
      </c>
      <c r="P518" s="6"/>
      <c r="Q518" s="7"/>
      <c r="R518" s="6"/>
      <c r="S518" s="6"/>
      <c r="T518" s="6"/>
      <c r="U518" s="5"/>
      <c r="V518" s="6"/>
      <c r="W518" s="6"/>
      <c r="X518" s="6"/>
      <c r="Y518" s="15"/>
      <c r="Z518" s="6"/>
      <c r="AA518" s="6"/>
      <c r="AB518" s="5"/>
      <c r="AC518" s="3"/>
      <c r="AD518" s="6">
        <v>0</v>
      </c>
      <c r="AE518" s="6">
        <v>1.52</v>
      </c>
      <c r="AF518" s="7">
        <v>0</v>
      </c>
      <c r="AG518" s="6">
        <v>0.56</v>
      </c>
      <c r="AH518" s="7">
        <v>0</v>
      </c>
      <c r="AI518" s="15">
        <v>2.08</v>
      </c>
      <c r="AJ518" s="6">
        <v>2.5999999999999996</v>
      </c>
      <c r="AK518" s="3"/>
      <c r="AL518" s="6">
        <v>89.87051899999999</v>
      </c>
      <c r="AM518" s="6">
        <v>0</v>
      </c>
      <c r="AN518" s="6">
        <v>41.259088999999996</v>
      </c>
      <c r="AO518" s="6">
        <v>0</v>
      </c>
      <c r="AP518" s="6">
        <v>48.61142999999999</v>
      </c>
      <c r="AQ518" s="6">
        <v>0</v>
      </c>
      <c r="AR518" s="6">
        <v>0</v>
      </c>
      <c r="AS518" s="6">
        <v>0</v>
      </c>
      <c r="AT518" s="6">
        <v>0</v>
      </c>
      <c r="AU518" s="6">
        <v>0</v>
      </c>
      <c r="AV518" s="6">
        <v>0</v>
      </c>
      <c r="AW518" s="6">
        <v>0</v>
      </c>
      <c r="AX518" s="6">
        <v>0</v>
      </c>
      <c r="AY518" s="6">
        <v>0</v>
      </c>
      <c r="AZ518" s="6">
        <v>0</v>
      </c>
      <c r="BA518" s="6">
        <v>0</v>
      </c>
      <c r="BB518" s="6">
        <v>0</v>
      </c>
      <c r="BC518" s="6"/>
      <c r="BD518" s="3"/>
      <c r="BE518" s="3"/>
      <c r="BF518" s="7">
        <v>7189.641519999999</v>
      </c>
    </row>
    <row x14ac:dyDescent="0.25" r="519" customHeight="1" ht="12.75">
      <c r="A519" s="5" t="s">
        <v>695</v>
      </c>
      <c r="B519" s="3" t="s">
        <v>859</v>
      </c>
      <c r="C519" s="3" t="s">
        <v>866</v>
      </c>
      <c r="D519" s="3" t="s">
        <v>989</v>
      </c>
      <c r="E519" s="3"/>
      <c r="F519" s="6">
        <f>100*SUM(AM519:AO519)/AL519</f>
      </c>
      <c r="G519" s="6">
        <f>100*SUM(AP519)/AL519</f>
      </c>
      <c r="H519" s="6">
        <f>100*SUM(AQ519)/AL519</f>
      </c>
      <c r="I519" s="6">
        <f>100*SUM(AR519:BC519)/AL519</f>
      </c>
      <c r="J519" s="3"/>
      <c r="K519" s="6">
        <v>0.4</v>
      </c>
      <c r="L519" s="6">
        <v>1.75</v>
      </c>
      <c r="M519" s="6">
        <v>1.75</v>
      </c>
      <c r="N519" s="5"/>
      <c r="O519" s="6"/>
      <c r="P519" s="6"/>
      <c r="Q519" s="7"/>
      <c r="R519" s="6"/>
      <c r="S519" s="6"/>
      <c r="T519" s="6"/>
      <c r="U519" s="5"/>
      <c r="V519" s="6"/>
      <c r="W519" s="6"/>
      <c r="X519" s="6"/>
      <c r="Y519" s="15"/>
      <c r="Z519" s="6"/>
      <c r="AA519" s="6"/>
      <c r="AB519" s="5">
        <v>35</v>
      </c>
      <c r="AC519" s="3" t="s">
        <v>997</v>
      </c>
      <c r="AD519" s="6">
        <v>0.007000000000000001</v>
      </c>
      <c r="AE519" s="6">
        <v>0.007000000000000001</v>
      </c>
      <c r="AF519" s="7">
        <v>0</v>
      </c>
      <c r="AG519" s="6">
        <v>0</v>
      </c>
      <c r="AH519" s="7">
        <v>0</v>
      </c>
      <c r="AI519" s="15">
        <v>0.014000000000000002</v>
      </c>
      <c r="AJ519" s="6">
        <v>3.5</v>
      </c>
      <c r="AK519" s="3"/>
      <c r="AL519" s="6">
        <v>193.68102249999998</v>
      </c>
      <c r="AM519" s="6">
        <v>33.179230000000004</v>
      </c>
      <c r="AN519" s="6">
        <v>38.0017925</v>
      </c>
      <c r="AO519" s="6">
        <v>0</v>
      </c>
      <c r="AP519" s="6">
        <v>0</v>
      </c>
      <c r="AQ519" s="6">
        <v>0</v>
      </c>
      <c r="AR519" s="6">
        <v>0</v>
      </c>
      <c r="AS519" s="6">
        <v>0</v>
      </c>
      <c r="AT519" s="6">
        <v>0</v>
      </c>
      <c r="AU519" s="6">
        <v>0</v>
      </c>
      <c r="AV519" s="6">
        <v>0</v>
      </c>
      <c r="AW519" s="6">
        <v>0</v>
      </c>
      <c r="AX519" s="6">
        <v>0</v>
      </c>
      <c r="AY519" s="6">
        <v>0</v>
      </c>
      <c r="AZ519" s="6">
        <v>0</v>
      </c>
      <c r="BA519" s="6">
        <v>0</v>
      </c>
      <c r="BB519" s="6">
        <v>0</v>
      </c>
      <c r="BC519" s="6">
        <v>122.49999999999999</v>
      </c>
      <c r="BD519" s="3" t="s">
        <v>998</v>
      </c>
      <c r="BE519" s="3"/>
      <c r="BF519" s="7">
        <v>77.472409</v>
      </c>
    </row>
    <row x14ac:dyDescent="0.25" r="520" customHeight="1" ht="12.75">
      <c r="A520" s="5" t="s">
        <v>774</v>
      </c>
      <c r="B520" s="3" t="s">
        <v>859</v>
      </c>
      <c r="C520" s="3" t="s">
        <v>866</v>
      </c>
      <c r="D520" s="3" t="s">
        <v>989</v>
      </c>
      <c r="E520" s="3"/>
      <c r="F520" s="6">
        <f>100*SUM(AM520:AO520)/AL520</f>
      </c>
      <c r="G520" s="6">
        <f>100*SUM(AP520)/AL520</f>
      </c>
      <c r="H520" s="6">
        <f>100*SUM(AQ520)/AL520</f>
      </c>
      <c r="I520" s="6">
        <f>100*SUM(AR520:BC520)/AL520</f>
      </c>
      <c r="J520" s="3"/>
      <c r="K520" s="5">
        <v>4</v>
      </c>
      <c r="L520" s="5">
        <v>1</v>
      </c>
      <c r="M520" s="5">
        <v>1</v>
      </c>
      <c r="N520" s="5"/>
      <c r="O520" s="6"/>
      <c r="P520" s="6"/>
      <c r="Q520" s="7"/>
      <c r="R520" s="6"/>
      <c r="S520" s="6"/>
      <c r="T520" s="6"/>
      <c r="U520" s="5"/>
      <c r="V520" s="6"/>
      <c r="W520" s="6"/>
      <c r="X520" s="6"/>
      <c r="Y520" s="15"/>
      <c r="Z520" s="6"/>
      <c r="AA520" s="6"/>
      <c r="AB520" s="5">
        <v>25</v>
      </c>
      <c r="AC520" s="3" t="s">
        <v>997</v>
      </c>
      <c r="AD520" s="6">
        <v>0.04</v>
      </c>
      <c r="AE520" s="6">
        <v>0.04</v>
      </c>
      <c r="AF520" s="7">
        <v>0</v>
      </c>
      <c r="AG520" s="6">
        <v>0</v>
      </c>
      <c r="AH520" s="7">
        <v>0</v>
      </c>
      <c r="AI520" s="15">
        <v>0.08</v>
      </c>
      <c r="AJ520" s="6">
        <v>2</v>
      </c>
      <c r="AK520" s="3"/>
      <c r="AL520" s="6">
        <v>128.17487</v>
      </c>
      <c r="AM520" s="6">
        <v>18.95956</v>
      </c>
      <c r="AN520" s="6">
        <v>21.71531</v>
      </c>
      <c r="AO520" s="6">
        <v>0</v>
      </c>
      <c r="AP520" s="6">
        <v>0</v>
      </c>
      <c r="AQ520" s="6">
        <v>0</v>
      </c>
      <c r="AR520" s="6">
        <v>0</v>
      </c>
      <c r="AS520" s="6">
        <v>0</v>
      </c>
      <c r="AT520" s="6">
        <v>0</v>
      </c>
      <c r="AU520" s="6">
        <v>0</v>
      </c>
      <c r="AV520" s="6">
        <v>0</v>
      </c>
      <c r="AW520" s="6">
        <v>0</v>
      </c>
      <c r="AX520" s="6">
        <v>0</v>
      </c>
      <c r="AY520" s="6">
        <v>0</v>
      </c>
      <c r="AZ520" s="6">
        <v>0</v>
      </c>
      <c r="BA520" s="6">
        <v>0</v>
      </c>
      <c r="BB520" s="6">
        <v>0</v>
      </c>
      <c r="BC520" s="6">
        <v>87.5</v>
      </c>
      <c r="BD520" s="3" t="s">
        <v>998</v>
      </c>
      <c r="BE520" s="3"/>
      <c r="BF520" s="7">
        <v>512.69948</v>
      </c>
    </row>
    <row x14ac:dyDescent="0.25" r="521" customHeight="1" ht="12.75">
      <c r="A521" s="5" t="s">
        <v>355</v>
      </c>
      <c r="B521" s="3" t="s">
        <v>859</v>
      </c>
      <c r="C521" s="3" t="s">
        <v>866</v>
      </c>
      <c r="D521" s="3" t="s">
        <v>988</v>
      </c>
      <c r="E521" s="3"/>
      <c r="F521" s="6">
        <f>100*SUM(AM521:AO521)/AL521</f>
      </c>
      <c r="G521" s="6">
        <f>100*SUM(AP521)/AL521</f>
      </c>
      <c r="H521" s="6">
        <f>100*SUM(AQ521)/AL521</f>
      </c>
      <c r="I521" s="6">
        <f>100*SUM(AR521:BC521)/AL521</f>
      </c>
      <c r="J521" s="3"/>
      <c r="K521" s="6">
        <v>14.8</v>
      </c>
      <c r="L521" s="6">
        <v>0.24</v>
      </c>
      <c r="M521" s="6">
        <v>0.51</v>
      </c>
      <c r="N521" s="5"/>
      <c r="O521" s="6">
        <v>4.39</v>
      </c>
      <c r="P521" s="6"/>
      <c r="Q521" s="7"/>
      <c r="R521" s="6"/>
      <c r="S521" s="6"/>
      <c r="T521" s="6"/>
      <c r="U521" s="5"/>
      <c r="V521" s="6"/>
      <c r="W521" s="6"/>
      <c r="X521" s="6"/>
      <c r="Y521" s="15"/>
      <c r="Z521" s="6"/>
      <c r="AA521" s="6"/>
      <c r="AB521" s="5"/>
      <c r="AC521" s="3"/>
      <c r="AD521" s="6">
        <v>0.03552</v>
      </c>
      <c r="AE521" s="6">
        <v>0.07548</v>
      </c>
      <c r="AF521" s="7">
        <v>0</v>
      </c>
      <c r="AG521" s="6">
        <v>0.64972</v>
      </c>
      <c r="AH521" s="7">
        <v>0</v>
      </c>
      <c r="AI521" s="15">
        <v>0.76072</v>
      </c>
      <c r="AJ521" s="6">
        <v>5.14</v>
      </c>
      <c r="AK521" s="3"/>
      <c r="AL521" s="6">
        <v>320.4882135</v>
      </c>
      <c r="AM521" s="6">
        <v>4.550294399999999</v>
      </c>
      <c r="AN521" s="6">
        <v>11.0748081</v>
      </c>
      <c r="AO521" s="6">
        <v>0</v>
      </c>
      <c r="AP521" s="6">
        <v>304.86311099999995</v>
      </c>
      <c r="AQ521" s="6">
        <v>0</v>
      </c>
      <c r="AR521" s="6">
        <v>0</v>
      </c>
      <c r="AS521" s="6">
        <v>0</v>
      </c>
      <c r="AT521" s="6">
        <v>0</v>
      </c>
      <c r="AU521" s="6">
        <v>0</v>
      </c>
      <c r="AV521" s="6">
        <v>0</v>
      </c>
      <c r="AW521" s="6">
        <v>0</v>
      </c>
      <c r="AX521" s="6">
        <v>0</v>
      </c>
      <c r="AY521" s="6">
        <v>0</v>
      </c>
      <c r="AZ521" s="6">
        <v>0</v>
      </c>
      <c r="BA521" s="6">
        <v>0</v>
      </c>
      <c r="BB521" s="6">
        <v>0</v>
      </c>
      <c r="BC521" s="6"/>
      <c r="BD521" s="3"/>
      <c r="BE521" s="3"/>
      <c r="BF521" s="7">
        <v>4743.2255598</v>
      </c>
    </row>
    <row x14ac:dyDescent="0.25" r="522" customHeight="1" ht="12.75">
      <c r="A522" s="5" t="s">
        <v>123</v>
      </c>
      <c r="B522" s="3" t="s">
        <v>855</v>
      </c>
      <c r="C522" s="3" t="s">
        <v>1003</v>
      </c>
      <c r="D522" s="3" t="s">
        <v>1004</v>
      </c>
      <c r="E522" s="3"/>
      <c r="F522" s="6">
        <f>100*SUM(AM522:AO522)/AL522</f>
      </c>
      <c r="G522" s="6">
        <f>100*SUM(AP522)/AL522</f>
      </c>
      <c r="H522" s="6">
        <f>100*SUM(AQ522)/AL522</f>
      </c>
      <c r="I522" s="6">
        <f>100*SUM(AR522:BC522)/AL522</f>
      </c>
      <c r="J522" s="3"/>
      <c r="K522" s="6">
        <v>10.1</v>
      </c>
      <c r="L522" s="6">
        <v>4.029029702970297</v>
      </c>
      <c r="M522" s="6">
        <v>10.152178217821783</v>
      </c>
      <c r="N522" s="31">
        <v>84.45148514851486</v>
      </c>
      <c r="O522" s="6">
        <v>1.7774257425742577</v>
      </c>
      <c r="P522" s="6">
        <v>0.5505346534653466</v>
      </c>
      <c r="Q522" s="7"/>
      <c r="R522" s="6"/>
      <c r="S522" s="6"/>
      <c r="T522" s="6"/>
      <c r="U522" s="5"/>
      <c r="V522" s="6"/>
      <c r="W522" s="6"/>
      <c r="X522" s="6"/>
      <c r="Y522" s="15"/>
      <c r="Z522" s="6"/>
      <c r="AA522" s="6"/>
      <c r="AB522" s="5"/>
      <c r="AC522" s="3"/>
      <c r="AD522" s="6">
        <v>0.40693199999999996</v>
      </c>
      <c r="AE522" s="6">
        <v>1.0253700000000001</v>
      </c>
      <c r="AF522" s="7">
        <v>852.96</v>
      </c>
      <c r="AG522" s="6">
        <v>0.17952</v>
      </c>
      <c r="AH522" s="7">
        <v>5.5604000000000005</v>
      </c>
      <c r="AI522" s="15">
        <v>1.611822</v>
      </c>
      <c r="AJ522" s="6">
        <v>15.958633663366337</v>
      </c>
      <c r="AK522" s="3"/>
      <c r="AL522" s="6">
        <v>494.43674007974346</v>
      </c>
      <c r="AM522" s="6">
        <v>76.38863039524752</v>
      </c>
      <c r="AN522" s="6">
        <v>220.45769717524755</v>
      </c>
      <c r="AO522" s="6">
        <v>51.67561936901087</v>
      </c>
      <c r="AP522" s="6">
        <v>123.43315295049507</v>
      </c>
      <c r="AQ522" s="6">
        <v>22.481640189742446</v>
      </c>
      <c r="AR522" s="6">
        <v>0</v>
      </c>
      <c r="AS522" s="6">
        <v>0</v>
      </c>
      <c r="AT522" s="6">
        <v>0</v>
      </c>
      <c r="AU522" s="6">
        <v>0</v>
      </c>
      <c r="AV522" s="6">
        <v>0</v>
      </c>
      <c r="AW522" s="6">
        <v>0</v>
      </c>
      <c r="AX522" s="6">
        <v>0</v>
      </c>
      <c r="AY522" s="6">
        <v>0</v>
      </c>
      <c r="AZ522" s="6">
        <v>0</v>
      </c>
      <c r="BA522" s="6">
        <v>0</v>
      </c>
      <c r="BB522" s="6">
        <v>0</v>
      </c>
      <c r="BC522" s="6"/>
      <c r="BD522" s="3"/>
      <c r="BE522" s="3"/>
      <c r="BF522" s="7">
        <v>4993.811074805409</v>
      </c>
    </row>
    <row x14ac:dyDescent="0.25" r="523" customHeight="1" ht="12.75">
      <c r="A523" s="5" t="s">
        <v>183</v>
      </c>
      <c r="B523" s="3" t="s">
        <v>855</v>
      </c>
      <c r="C523" s="3" t="s">
        <v>868</v>
      </c>
      <c r="D523" s="3"/>
      <c r="E523" s="3"/>
      <c r="F523" s="6">
        <f>100*SUM(AM523:AO523)/AL523</f>
      </c>
      <c r="G523" s="6">
        <f>100*SUM(AP523)/AL523</f>
      </c>
      <c r="H523" s="6">
        <f>100*SUM(AQ523)/AL523</f>
      </c>
      <c r="I523" s="6">
        <f>100*SUM(AR523:BC523)/AL523</f>
      </c>
      <c r="J523" s="3"/>
      <c r="K523" s="6">
        <v>8.7</v>
      </c>
      <c r="L523" s="6"/>
      <c r="M523" s="7">
        <v>2.8137931034482757</v>
      </c>
      <c r="N523" s="7">
        <v>3.3586206896551727</v>
      </c>
      <c r="O523" s="6"/>
      <c r="P523" s="6"/>
      <c r="Q523" s="7"/>
      <c r="R523" s="7">
        <v>0.20000000000000004</v>
      </c>
      <c r="S523" s="6"/>
      <c r="T523" s="6"/>
      <c r="U523" s="5"/>
      <c r="V523" s="15">
        <v>0.0616551724137931</v>
      </c>
      <c r="W523" s="6"/>
      <c r="X523" s="6"/>
      <c r="Y523" s="6">
        <v>0.11000000000000001</v>
      </c>
      <c r="Z523" s="6"/>
      <c r="AA523" s="7">
        <v>0.4931034482758621</v>
      </c>
      <c r="AB523" s="6">
        <v>9.331034482758621</v>
      </c>
      <c r="AC523" s="3" t="s">
        <v>1005</v>
      </c>
      <c r="AD523" s="6">
        <v>0</v>
      </c>
      <c r="AE523" s="6">
        <v>0.24479999999999996</v>
      </c>
      <c r="AF523" s="7">
        <v>29.22</v>
      </c>
      <c r="AG523" s="6">
        <v>0</v>
      </c>
      <c r="AH523" s="7">
        <v>0</v>
      </c>
      <c r="AI523" s="15">
        <v>0.24479999999999996</v>
      </c>
      <c r="AJ523" s="6">
        <v>2.8137931034482757</v>
      </c>
      <c r="AK523" s="3"/>
      <c r="AL523" s="6">
        <v>460.99623221155343</v>
      </c>
      <c r="AM523" s="6">
        <v>0</v>
      </c>
      <c r="AN523" s="6">
        <v>61.10238951724138</v>
      </c>
      <c r="AO523" s="6">
        <v>2.055130280518905</v>
      </c>
      <c r="AP523" s="6">
        <v>0</v>
      </c>
      <c r="AQ523" s="6">
        <v>0</v>
      </c>
      <c r="AR523" s="6">
        <v>0</v>
      </c>
      <c r="AS523" s="6">
        <v>33.726000000000006</v>
      </c>
      <c r="AT523" s="6">
        <v>0</v>
      </c>
      <c r="AU523" s="6">
        <v>0</v>
      </c>
      <c r="AV523" s="6">
        <v>0</v>
      </c>
      <c r="AW523" s="6">
        <v>16.585241379310343</v>
      </c>
      <c r="AX523" s="6">
        <v>0</v>
      </c>
      <c r="AY523" s="6">
        <v>0</v>
      </c>
      <c r="AZ523" s="6">
        <v>80.02698000000001</v>
      </c>
      <c r="BA523" s="6">
        <v>0</v>
      </c>
      <c r="BB523" s="6">
        <v>63.05156</v>
      </c>
      <c r="BC523" s="6">
        <v>204.44893103448277</v>
      </c>
      <c r="BD523" s="3" t="s">
        <v>1006</v>
      </c>
      <c r="BE523" s="3"/>
      <c r="BF523" s="7">
        <v>4010.6672202405143</v>
      </c>
    </row>
    <row x14ac:dyDescent="0.25" r="524" customHeight="1" ht="12.75">
      <c r="A524" s="5" t="s">
        <v>45</v>
      </c>
      <c r="B524" s="3" t="s">
        <v>855</v>
      </c>
      <c r="C524" s="3" t="s">
        <v>1007</v>
      </c>
      <c r="D524" s="3"/>
      <c r="E524" s="3"/>
      <c r="F524" s="6">
        <f>100*SUM(AM524:AO524)/AL524</f>
      </c>
      <c r="G524" s="6">
        <f>100*SUM(AP524)/AL524</f>
      </c>
      <c r="H524" s="6">
        <f>100*SUM(AQ524)/AL524</f>
      </c>
      <c r="I524" s="6">
        <f>100*SUM(AR524:BC524)/AL524</f>
      </c>
      <c r="J524" s="3"/>
      <c r="K524" s="5">
        <v>3062</v>
      </c>
      <c r="L524" s="7"/>
      <c r="M524" s="23">
        <v>0.04198595689092097</v>
      </c>
      <c r="N524" s="31"/>
      <c r="O524" s="23">
        <v>0.011971913781841934</v>
      </c>
      <c r="P524" s="6"/>
      <c r="Q524" s="7"/>
      <c r="R524" s="23">
        <v>0.034</v>
      </c>
      <c r="S524" s="6"/>
      <c r="T524" s="6"/>
      <c r="U524" s="5"/>
      <c r="V524" s="6"/>
      <c r="W524" s="6"/>
      <c r="X524" s="6"/>
      <c r="Y524" s="23">
        <v>0.017028086218158066</v>
      </c>
      <c r="Z524" s="6"/>
      <c r="AA524" s="6"/>
      <c r="AB524" s="5"/>
      <c r="AC524" s="3"/>
      <c r="AD524" s="6">
        <v>0</v>
      </c>
      <c r="AE524" s="6">
        <v>1.2856100000000001</v>
      </c>
      <c r="AF524" s="7">
        <v>0</v>
      </c>
      <c r="AG524" s="6">
        <v>0.36658</v>
      </c>
      <c r="AH524" s="7">
        <v>0</v>
      </c>
      <c r="AI524" s="15">
        <v>1.65219</v>
      </c>
      <c r="AJ524" s="6">
        <v>0.0539578706727629</v>
      </c>
      <c r="AK524" s="3"/>
      <c r="AL524" s="6">
        <v>19.864785654183542</v>
      </c>
      <c r="AM524" s="6">
        <v>0</v>
      </c>
      <c r="AN524" s="6">
        <v>0.911738069532985</v>
      </c>
      <c r="AO524" s="6">
        <v>0</v>
      </c>
      <c r="AP524" s="6">
        <v>0.8313883553886349</v>
      </c>
      <c r="AQ524" s="6">
        <v>0</v>
      </c>
      <c r="AR524" s="6">
        <v>0</v>
      </c>
      <c r="AS524" s="6">
        <v>5.733420000000001</v>
      </c>
      <c r="AT524" s="6">
        <v>0</v>
      </c>
      <c r="AU524" s="6">
        <v>0</v>
      </c>
      <c r="AV524" s="6">
        <v>0</v>
      </c>
      <c r="AW524" s="6">
        <v>0</v>
      </c>
      <c r="AX524" s="6">
        <v>0</v>
      </c>
      <c r="AY524" s="6">
        <v>0</v>
      </c>
      <c r="AZ524" s="6">
        <v>12.38823922926192</v>
      </c>
      <c r="BA524" s="6">
        <v>0</v>
      </c>
      <c r="BB524" s="6">
        <v>0</v>
      </c>
      <c r="BC524" s="6"/>
      <c r="BD524" s="3"/>
      <c r="BE524" s="3"/>
      <c r="BF524" s="7">
        <v>60825.973673110006</v>
      </c>
    </row>
    <row x14ac:dyDescent="0.25" r="525" customHeight="1" ht="12.75">
      <c r="A525" s="5" t="s">
        <v>26</v>
      </c>
      <c r="B525" s="3" t="s">
        <v>855</v>
      </c>
      <c r="C525" s="3" t="s">
        <v>1007</v>
      </c>
      <c r="D525" s="3"/>
      <c r="E525" s="3"/>
      <c r="F525" s="6">
        <f>100*SUM(AM525:AO525)/AL525</f>
      </c>
      <c r="G525" s="6">
        <f>100*SUM(AP525)/AL525</f>
      </c>
      <c r="H525" s="6">
        <f>100*SUM(AQ525)/AL525</f>
      </c>
      <c r="I525" s="6">
        <f>100*SUM(AR525:BC525)/AL525</f>
      </c>
      <c r="J525" s="3"/>
      <c r="K525" s="5">
        <v>2350</v>
      </c>
      <c r="L525" s="6"/>
      <c r="M525" s="23">
        <v>0.0431</v>
      </c>
      <c r="N525" s="5"/>
      <c r="O525" s="6"/>
      <c r="P525" s="6"/>
      <c r="Q525" s="7"/>
      <c r="R525" s="23">
        <v>0.0316</v>
      </c>
      <c r="S525" s="6"/>
      <c r="T525" s="6"/>
      <c r="U525" s="5"/>
      <c r="V525" s="6">
        <v>0.0207</v>
      </c>
      <c r="W525" s="6"/>
      <c r="X525" s="6"/>
      <c r="Y525" s="23">
        <v>0.0155</v>
      </c>
      <c r="Z525" s="6"/>
      <c r="AA525" s="6">
        <v>0.1519</v>
      </c>
      <c r="AB525" s="5"/>
      <c r="AC525" s="3"/>
      <c r="AD525" s="6">
        <v>0</v>
      </c>
      <c r="AE525" s="6">
        <v>1.01285</v>
      </c>
      <c r="AF525" s="7">
        <v>0</v>
      </c>
      <c r="AG525" s="6">
        <v>0</v>
      </c>
      <c r="AH525" s="7">
        <v>0</v>
      </c>
      <c r="AI525" s="15">
        <v>1.01285</v>
      </c>
      <c r="AJ525" s="6">
        <v>0.0431</v>
      </c>
      <c r="AK525" s="3"/>
      <c r="AL525" s="6">
        <v>42.532433781</v>
      </c>
      <c r="AM525" s="6">
        <v>0</v>
      </c>
      <c r="AN525" s="6">
        <v>0.935929861</v>
      </c>
      <c r="AO525" s="6">
        <v>0</v>
      </c>
      <c r="AP525" s="6">
        <v>0</v>
      </c>
      <c r="AQ525" s="6">
        <v>0</v>
      </c>
      <c r="AR525" s="6">
        <v>0</v>
      </c>
      <c r="AS525" s="6">
        <v>5.328708000000001</v>
      </c>
      <c r="AT525" s="6">
        <v>0</v>
      </c>
      <c r="AU525" s="6">
        <v>0</v>
      </c>
      <c r="AV525" s="6">
        <v>0</v>
      </c>
      <c r="AW525" s="6">
        <v>5.5683</v>
      </c>
      <c r="AX525" s="6">
        <v>0</v>
      </c>
      <c r="AY525" s="6">
        <v>0</v>
      </c>
      <c r="AZ525" s="6">
        <v>11.276529</v>
      </c>
      <c r="BA525" s="6">
        <v>0</v>
      </c>
      <c r="BB525" s="6">
        <v>19.42296692</v>
      </c>
      <c r="BC525" s="6"/>
      <c r="BD525" s="3"/>
      <c r="BE525" s="3"/>
      <c r="BF525" s="7">
        <v>99951.21938535</v>
      </c>
    </row>
    <row x14ac:dyDescent="0.25" r="526" customHeight="1" ht="12.75">
      <c r="A526" s="5" t="s">
        <v>622</v>
      </c>
      <c r="B526" s="3" t="s">
        <v>855</v>
      </c>
      <c r="C526" s="3" t="s">
        <v>1003</v>
      </c>
      <c r="D526" s="3" t="s">
        <v>1004</v>
      </c>
      <c r="E526" s="3"/>
      <c r="F526" s="6">
        <f>100*SUM(AM526:AO526)/AL526</f>
      </c>
      <c r="G526" s="6">
        <f>100*SUM(AP526)/AL526</f>
      </c>
      <c r="H526" s="6">
        <f>100*SUM(AQ526)/AL526</f>
      </c>
      <c r="I526" s="6">
        <f>100*SUM(AR526:BC526)/AL526</f>
      </c>
      <c r="J526" s="3"/>
      <c r="K526" s="6">
        <v>34.4</v>
      </c>
      <c r="L526" s="6"/>
      <c r="M526" s="6">
        <v>0.38</v>
      </c>
      <c r="N526" s="5"/>
      <c r="O526" s="6">
        <v>0.1</v>
      </c>
      <c r="P526" s="6"/>
      <c r="Q526" s="7"/>
      <c r="R526" s="6">
        <v>0.19</v>
      </c>
      <c r="S526" s="6"/>
      <c r="T526" s="6"/>
      <c r="U526" s="5"/>
      <c r="V526" s="6"/>
      <c r="W526" s="6"/>
      <c r="X526" s="6"/>
      <c r="Y526" s="15"/>
      <c r="Z526" s="6"/>
      <c r="AA526" s="6"/>
      <c r="AB526" s="5"/>
      <c r="AC526" s="3"/>
      <c r="AD526" s="6">
        <v>0</v>
      </c>
      <c r="AE526" s="6">
        <v>0.13072</v>
      </c>
      <c r="AF526" s="7">
        <v>0</v>
      </c>
      <c r="AG526" s="6">
        <v>0.0344</v>
      </c>
      <c r="AH526" s="7">
        <v>0</v>
      </c>
      <c r="AI526" s="15">
        <v>0.16512</v>
      </c>
      <c r="AJ526" s="6">
        <v>0.48</v>
      </c>
      <c r="AK526" s="3"/>
      <c r="AL526" s="6">
        <v>47.2360078</v>
      </c>
      <c r="AM526" s="6">
        <v>0</v>
      </c>
      <c r="AN526" s="6">
        <v>8.2518178</v>
      </c>
      <c r="AO526" s="6">
        <v>0</v>
      </c>
      <c r="AP526" s="6">
        <v>6.94449</v>
      </c>
      <c r="AQ526" s="6">
        <v>0</v>
      </c>
      <c r="AR526" s="6">
        <v>0</v>
      </c>
      <c r="AS526" s="6">
        <v>32.0397</v>
      </c>
      <c r="AT526" s="6">
        <v>0</v>
      </c>
      <c r="AU526" s="6">
        <v>0</v>
      </c>
      <c r="AV526" s="6">
        <v>0</v>
      </c>
      <c r="AW526" s="6">
        <v>0</v>
      </c>
      <c r="AX526" s="6">
        <v>0</v>
      </c>
      <c r="AY526" s="6">
        <v>0</v>
      </c>
      <c r="AZ526" s="6">
        <v>0</v>
      </c>
      <c r="BA526" s="6">
        <v>0</v>
      </c>
      <c r="BB526" s="6">
        <v>0</v>
      </c>
      <c r="BC526" s="6"/>
      <c r="BD526" s="3"/>
      <c r="BE526" s="3"/>
      <c r="BF526" s="7">
        <v>1624.91866832</v>
      </c>
    </row>
    <row x14ac:dyDescent="0.25" r="527" customHeight="1" ht="12.75">
      <c r="A527" s="5" t="s">
        <v>23</v>
      </c>
      <c r="B527" s="3" t="s">
        <v>855</v>
      </c>
      <c r="C527" s="3" t="s">
        <v>1003</v>
      </c>
      <c r="D527" s="3" t="s">
        <v>1004</v>
      </c>
      <c r="E527" s="3"/>
      <c r="F527" s="6">
        <f>100*SUM(AM527:AO527)/AL527</f>
      </c>
      <c r="G527" s="6">
        <f>100*SUM(AP527)/AL527</f>
      </c>
      <c r="H527" s="6">
        <f>100*SUM(AQ527)/AL527</f>
      </c>
      <c r="I527" s="6">
        <f>100*SUM(AR527:BC527)/AL527</f>
      </c>
      <c r="J527" s="3"/>
      <c r="K527" s="7">
        <v>2052.8</v>
      </c>
      <c r="L527" s="6"/>
      <c r="M527" s="6">
        <v>0.5002542868277474</v>
      </c>
      <c r="N527" s="5"/>
      <c r="O527" s="6">
        <v>0.12999999999999998</v>
      </c>
      <c r="P527" s="6"/>
      <c r="Q527" s="7"/>
      <c r="R527" s="6">
        <v>0.22270946999220576</v>
      </c>
      <c r="S527" s="6">
        <v>0.02</v>
      </c>
      <c r="T527" s="6"/>
      <c r="U527" s="5"/>
      <c r="V527" s="6"/>
      <c r="W527" s="6"/>
      <c r="X527" s="6"/>
      <c r="Y527" s="6">
        <v>0.0017</v>
      </c>
      <c r="Z527" s="6"/>
      <c r="AA527" s="6"/>
      <c r="AB527" s="5"/>
      <c r="AC527" s="3"/>
      <c r="AD527" s="6">
        <v>0</v>
      </c>
      <c r="AE527" s="6">
        <v>10.26922</v>
      </c>
      <c r="AF527" s="7">
        <v>0</v>
      </c>
      <c r="AG527" s="6">
        <v>2.66864</v>
      </c>
      <c r="AH527" s="7">
        <v>0</v>
      </c>
      <c r="AI527" s="15">
        <v>12.93786</v>
      </c>
      <c r="AJ527" s="6">
        <v>0.6302542868277474</v>
      </c>
      <c r="AK527" s="3"/>
      <c r="AL527" s="6">
        <v>64.8561724420791</v>
      </c>
      <c r="AM527" s="6">
        <v>0</v>
      </c>
      <c r="AN527" s="6">
        <v>10.863176917293451</v>
      </c>
      <c r="AO527" s="6">
        <v>0</v>
      </c>
      <c r="AP527" s="6">
        <v>9.027836999999998</v>
      </c>
      <c r="AQ527" s="6">
        <v>0</v>
      </c>
      <c r="AR527" s="6">
        <v>0</v>
      </c>
      <c r="AS527" s="6">
        <v>37.555497924785655</v>
      </c>
      <c r="AT527" s="6">
        <v>6.17288</v>
      </c>
      <c r="AU527" s="6">
        <v>0</v>
      </c>
      <c r="AV527" s="6">
        <v>0</v>
      </c>
      <c r="AW527" s="6">
        <v>0</v>
      </c>
      <c r="AX527" s="6">
        <v>0</v>
      </c>
      <c r="AY527" s="6">
        <v>0</v>
      </c>
      <c r="AZ527" s="6">
        <v>1.2367806000000001</v>
      </c>
      <c r="BA527" s="6">
        <v>0</v>
      </c>
      <c r="BB527" s="6">
        <v>0</v>
      </c>
      <c r="BC527" s="6"/>
      <c r="BD527" s="3"/>
      <c r="BE527" s="3"/>
      <c r="BF527" s="7">
        <v>133136.75078909998</v>
      </c>
    </row>
    <row x14ac:dyDescent="0.25" r="528" customHeight="1" ht="12.75">
      <c r="A528" s="5" t="s">
        <v>226</v>
      </c>
      <c r="B528" s="3" t="s">
        <v>855</v>
      </c>
      <c r="C528" s="3" t="s">
        <v>963</v>
      </c>
      <c r="D528" s="3"/>
      <c r="E528" s="3"/>
      <c r="F528" s="6">
        <f>100*SUM(AM528:AO528)/AL528</f>
      </c>
      <c r="G528" s="6">
        <f>100*SUM(AP528)/AL528</f>
      </c>
      <c r="H528" s="6">
        <f>100*SUM(AQ528)/AL528</f>
      </c>
      <c r="I528" s="6">
        <f>100*SUM(AR528:BC528)/AL528</f>
      </c>
      <c r="J528" s="3"/>
      <c r="K528" s="6">
        <v>54.5</v>
      </c>
      <c r="L528" s="6">
        <v>3.094935779816514</v>
      </c>
      <c r="M528" s="6">
        <v>0.6040917431192661</v>
      </c>
      <c r="N528" s="7">
        <v>12.143120567375886</v>
      </c>
      <c r="O528" s="6">
        <v>0.4310642201834863</v>
      </c>
      <c r="P528" s="6"/>
      <c r="Q528" s="7"/>
      <c r="R528" s="23">
        <v>0.08207339449541286</v>
      </c>
      <c r="S528" s="6">
        <v>0.09862385321100918</v>
      </c>
      <c r="T528" s="6"/>
      <c r="U528" s="5"/>
      <c r="V528" s="6"/>
      <c r="W528" s="6"/>
      <c r="X528" s="6"/>
      <c r="Y528" s="15"/>
      <c r="Z528" s="6"/>
      <c r="AA528" s="6"/>
      <c r="AB528" s="5"/>
      <c r="AC528" s="3"/>
      <c r="AD528" s="6">
        <v>1.6867400000000001</v>
      </c>
      <c r="AE528" s="6">
        <v>0.32923</v>
      </c>
      <c r="AF528" s="7">
        <v>661.8000709219858</v>
      </c>
      <c r="AG528" s="6">
        <v>0.23493000000000003</v>
      </c>
      <c r="AH528" s="7">
        <v>0</v>
      </c>
      <c r="AI528" s="15">
        <v>2.2509</v>
      </c>
      <c r="AJ528" s="6">
        <v>4.130091743119267</v>
      </c>
      <c r="AK528" s="3"/>
      <c r="AL528" s="6">
        <v>153.44190914660751</v>
      </c>
      <c r="AM528" s="6">
        <v>58.67862061357798</v>
      </c>
      <c r="AN528" s="6">
        <v>13.118039470275228</v>
      </c>
      <c r="AO528" s="6">
        <v>7.430340334313927</v>
      </c>
      <c r="AP528" s="6">
        <v>29.935211664220187</v>
      </c>
      <c r="AQ528" s="6">
        <v>0</v>
      </c>
      <c r="AR528" s="6">
        <v>0</v>
      </c>
      <c r="AS528" s="6">
        <v>13.84003651376147</v>
      </c>
      <c r="AT528" s="6">
        <v>30.439660550458715</v>
      </c>
      <c r="AU528" s="6">
        <v>0</v>
      </c>
      <c r="AV528" s="6">
        <v>0</v>
      </c>
      <c r="AW528" s="6">
        <v>0</v>
      </c>
      <c r="AX528" s="6">
        <v>0</v>
      </c>
      <c r="AY528" s="6">
        <v>0</v>
      </c>
      <c r="AZ528" s="6">
        <v>0</v>
      </c>
      <c r="BA528" s="6">
        <v>0</v>
      </c>
      <c r="BB528" s="6">
        <v>0</v>
      </c>
      <c r="BC528" s="6"/>
      <c r="BD528" s="3"/>
      <c r="BE528" s="3"/>
      <c r="BF528" s="7">
        <v>8362.58404849011</v>
      </c>
    </row>
    <row x14ac:dyDescent="0.25" r="529" customHeight="1" ht="12.75">
      <c r="A529" s="5" t="s">
        <v>7</v>
      </c>
      <c r="B529" s="3" t="s">
        <v>855</v>
      </c>
      <c r="C529" s="3" t="s">
        <v>1008</v>
      </c>
      <c r="D529" s="3"/>
      <c r="E529" s="3"/>
      <c r="F529" s="6">
        <f>100*SUM(AM529:AO529)/AL529</f>
      </c>
      <c r="G529" s="6">
        <f>100*SUM(AP529)/AL529</f>
      </c>
      <c r="H529" s="6">
        <f>100*SUM(AQ529)/AL529</f>
      </c>
      <c r="I529" s="6">
        <f>100*SUM(AR529:BC529)/AL529</f>
      </c>
      <c r="J529" s="3"/>
      <c r="K529" s="7">
        <v>5008.7480000000005</v>
      </c>
      <c r="L529" s="6"/>
      <c r="M529" s="23">
        <v>0.017247699241407233</v>
      </c>
      <c r="N529" s="5"/>
      <c r="O529" s="23">
        <v>0.004132823162594724</v>
      </c>
      <c r="P529" s="6"/>
      <c r="Q529" s="7"/>
      <c r="R529" s="23">
        <v>0.006873871753979238</v>
      </c>
      <c r="S529" s="23">
        <v>0.0015435868504464591</v>
      </c>
      <c r="T529" s="6"/>
      <c r="U529" s="5"/>
      <c r="V529" s="15">
        <v>0.001615811332451756</v>
      </c>
      <c r="W529" s="6"/>
      <c r="X529" s="6"/>
      <c r="Y529" s="15">
        <v>0.0011085777224168593</v>
      </c>
      <c r="Z529" s="6"/>
      <c r="AA529" s="23">
        <v>0.03510999954608588</v>
      </c>
      <c r="AB529" s="23">
        <v>0.025609670614293232</v>
      </c>
      <c r="AC529" s="3" t="s">
        <v>1009</v>
      </c>
      <c r="AD529" s="6">
        <v>0</v>
      </c>
      <c r="AE529" s="6">
        <v>0.8638937908</v>
      </c>
      <c r="AF529" s="7">
        <v>0</v>
      </c>
      <c r="AG529" s="6">
        <v>0.2070026975</v>
      </c>
      <c r="AH529" s="7">
        <v>0</v>
      </c>
      <c r="AI529" s="15">
        <v>1.0708964882999998</v>
      </c>
      <c r="AJ529" s="6">
        <v>0.021380522404001956</v>
      </c>
      <c r="AK529" s="3"/>
      <c r="AL529" s="6">
        <v>1474.212923349506</v>
      </c>
      <c r="AM529" s="6">
        <v>0</v>
      </c>
      <c r="AN529" s="6">
        <v>0.3745391358139229</v>
      </c>
      <c r="AO529" s="6">
        <v>0</v>
      </c>
      <c r="AP529" s="6">
        <v>0.2870034912440743</v>
      </c>
      <c r="AQ529" s="6">
        <v>0</v>
      </c>
      <c r="AR529" s="6">
        <v>0</v>
      </c>
      <c r="AS529" s="6">
        <v>1.1591409938735189</v>
      </c>
      <c r="AT529" s="6">
        <v>0.47641881986919693</v>
      </c>
      <c r="AU529" s="6">
        <v>0</v>
      </c>
      <c r="AV529" s="6">
        <v>0</v>
      </c>
      <c r="AW529" s="6">
        <v>0.43465324842952235</v>
      </c>
      <c r="AX529" s="6">
        <v>0</v>
      </c>
      <c r="AY529" s="6">
        <v>0</v>
      </c>
      <c r="AZ529" s="6">
        <v>0.8065102474572686</v>
      </c>
      <c r="BA529" s="6">
        <v>0</v>
      </c>
      <c r="BB529" s="6">
        <v>4.489403289959454</v>
      </c>
      <c r="BC529" s="6">
        <v>1466.1852541228589</v>
      </c>
      <c r="BD529" s="3" t="s">
        <v>1010</v>
      </c>
      <c r="BE529" s="3"/>
      <c r="BF529" s="7">
        <v>7383961.031400992</v>
      </c>
    </row>
    <row x14ac:dyDescent="0.25" r="530" customHeight="1" ht="12.75">
      <c r="A530" s="5" t="s">
        <v>12</v>
      </c>
      <c r="B530" s="3" t="s">
        <v>859</v>
      </c>
      <c r="C530" s="3" t="s">
        <v>1011</v>
      </c>
      <c r="D530" s="3" t="s">
        <v>1012</v>
      </c>
      <c r="E530" s="3"/>
      <c r="F530" s="6">
        <f>100*SUM(AM530:AO530)/AL530</f>
      </c>
      <c r="G530" s="6">
        <f>100*SUM(AP530)/AL530</f>
      </c>
      <c r="H530" s="6">
        <f>100*SUM(AQ530)/AL530</f>
      </c>
      <c r="I530" s="6">
        <f>100*SUM(AR530:BC530)/AL530</f>
      </c>
      <c r="J530" s="3"/>
      <c r="K530" s="23">
        <v>0.019958</v>
      </c>
      <c r="L530" s="6">
        <v>26.7</v>
      </c>
      <c r="M530" s="6">
        <v>7.3</v>
      </c>
      <c r="N530" s="5">
        <v>1027.4</v>
      </c>
      <c r="O530" s="6"/>
      <c r="P530" s="6"/>
      <c r="Q530" s="7"/>
      <c r="R530" s="6"/>
      <c r="S530" s="6"/>
      <c r="T530" s="6"/>
      <c r="U530" s="5"/>
      <c r="V530" s="6"/>
      <c r="W530" s="6"/>
      <c r="X530" s="6"/>
      <c r="Y530" s="15"/>
      <c r="Z530" s="6"/>
      <c r="AA530" s="6"/>
      <c r="AB530" s="5"/>
      <c r="AC530" s="3"/>
      <c r="AD530" s="6">
        <v>0.005328785999999999</v>
      </c>
      <c r="AE530" s="6">
        <v>0.001456934</v>
      </c>
      <c r="AF530" s="7">
        <v>20.504849200000002</v>
      </c>
      <c r="AG530" s="6">
        <v>0</v>
      </c>
      <c r="AH530" s="7">
        <v>0</v>
      </c>
      <c r="AI530" s="15">
        <v>0.006785719999999999</v>
      </c>
      <c r="AJ530" s="6">
        <v>34</v>
      </c>
      <c r="AK530" s="3"/>
      <c r="AL530" s="6">
        <v>1293.4051018167206</v>
      </c>
      <c r="AM530" s="6">
        <v>506.220252</v>
      </c>
      <c r="AN530" s="6">
        <v>158.521763</v>
      </c>
      <c r="AO530" s="6">
        <v>628.6630868167205</v>
      </c>
      <c r="AP530" s="6">
        <v>0</v>
      </c>
      <c r="AQ530" s="6">
        <v>0</v>
      </c>
      <c r="AR530" s="6">
        <v>0</v>
      </c>
      <c r="AS530" s="6">
        <v>0</v>
      </c>
      <c r="AT530" s="6">
        <v>0</v>
      </c>
      <c r="AU530" s="6">
        <v>0</v>
      </c>
      <c r="AV530" s="6">
        <v>0</v>
      </c>
      <c r="AW530" s="6">
        <v>0</v>
      </c>
      <c r="AX530" s="6">
        <v>0</v>
      </c>
      <c r="AY530" s="6">
        <v>0</v>
      </c>
      <c r="AZ530" s="6">
        <v>0</v>
      </c>
      <c r="BA530" s="6">
        <v>0</v>
      </c>
      <c r="BB530" s="6">
        <v>0</v>
      </c>
      <c r="BC530" s="6"/>
      <c r="BD530" s="3"/>
      <c r="BE530" s="3"/>
      <c r="BF530" s="7">
        <v>25.81377902205811</v>
      </c>
    </row>
    <row x14ac:dyDescent="0.25" r="531" customHeight="1" ht="12.75">
      <c r="A531" s="5" t="s">
        <v>364</v>
      </c>
      <c r="B531" s="3" t="s">
        <v>855</v>
      </c>
      <c r="C531" s="3" t="s">
        <v>869</v>
      </c>
      <c r="D531" s="3"/>
      <c r="E531" s="3"/>
      <c r="F531" s="6">
        <f>100*SUM(AM531:AO531)/AL531</f>
      </c>
      <c r="G531" s="6">
        <f>100*SUM(AP531)/AL531</f>
      </c>
      <c r="H531" s="6">
        <f>100*SUM(AQ531)/AL531</f>
      </c>
      <c r="I531" s="6">
        <f>100*SUM(AR531:BC531)/AL531</f>
      </c>
      <c r="J531" s="3"/>
      <c r="K531" s="6">
        <v>363.98</v>
      </c>
      <c r="L531" s="6">
        <v>0.07502610033518325</v>
      </c>
      <c r="M531" s="6">
        <v>0.26</v>
      </c>
      <c r="N531" s="7">
        <v>8.446211879773614</v>
      </c>
      <c r="O531" s="6"/>
      <c r="P531" s="6"/>
      <c r="Q531" s="7"/>
      <c r="R531" s="6"/>
      <c r="S531" s="6"/>
      <c r="T531" s="6"/>
      <c r="U531" s="5"/>
      <c r="V531" s="6"/>
      <c r="W531" s="6"/>
      <c r="X531" s="6"/>
      <c r="Y531" s="15"/>
      <c r="Z531" s="6"/>
      <c r="AA531" s="6"/>
      <c r="AB531" s="5"/>
      <c r="AC531" s="3"/>
      <c r="AD531" s="6">
        <v>0.27308000000000004</v>
      </c>
      <c r="AE531" s="6">
        <v>0.9463480000000001</v>
      </c>
      <c r="AF531" s="7">
        <v>3074.2522000000004</v>
      </c>
      <c r="AG531" s="6">
        <v>0</v>
      </c>
      <c r="AH531" s="7">
        <v>0</v>
      </c>
      <c r="AI531" s="15">
        <v>1.2194280000000002</v>
      </c>
      <c r="AJ531" s="6">
        <v>0.33502610033518326</v>
      </c>
      <c r="AK531" s="3"/>
      <c r="AL531" s="6">
        <v>12.236655057690601</v>
      </c>
      <c r="AM531" s="6">
        <v>1.422461850870927</v>
      </c>
      <c r="AN531" s="6">
        <v>5.6459806</v>
      </c>
      <c r="AO531" s="6">
        <v>5.168212606819675</v>
      </c>
      <c r="AP531" s="6">
        <v>0</v>
      </c>
      <c r="AQ531" s="6">
        <v>0</v>
      </c>
      <c r="AR531" s="6">
        <v>0</v>
      </c>
      <c r="AS531" s="6">
        <v>0</v>
      </c>
      <c r="AT531" s="6">
        <v>0</v>
      </c>
      <c r="AU531" s="6">
        <v>0</v>
      </c>
      <c r="AV531" s="6">
        <v>0</v>
      </c>
      <c r="AW531" s="6">
        <v>0</v>
      </c>
      <c r="AX531" s="6">
        <v>0</v>
      </c>
      <c r="AY531" s="6">
        <v>0</v>
      </c>
      <c r="AZ531" s="6">
        <v>0</v>
      </c>
      <c r="BA531" s="6">
        <v>0</v>
      </c>
      <c r="BB531" s="6">
        <v>0</v>
      </c>
      <c r="BC531" s="6"/>
      <c r="BD531" s="3"/>
      <c r="BE531" s="3"/>
      <c r="BF531" s="7">
        <v>4453.897707898225</v>
      </c>
    </row>
    <row x14ac:dyDescent="0.25" r="532" customHeight="1" ht="12.75">
      <c r="A532" s="5" t="s">
        <v>316</v>
      </c>
      <c r="B532" s="3" t="s">
        <v>855</v>
      </c>
      <c r="C532" s="3" t="s">
        <v>869</v>
      </c>
      <c r="D532" s="3"/>
      <c r="E532" s="3"/>
      <c r="F532" s="6">
        <f>100*SUM(AM532:AO532)/AL532</f>
      </c>
      <c r="G532" s="6">
        <f>100*SUM(AP532)/AL532</f>
      </c>
      <c r="H532" s="6">
        <f>100*SUM(AQ532)/AL532</f>
      </c>
      <c r="I532" s="6">
        <f>100*SUM(AR532:BC532)/AL532</f>
      </c>
      <c r="J532" s="3"/>
      <c r="K532" s="6">
        <v>45.926</v>
      </c>
      <c r="L532" s="6">
        <v>0.86</v>
      </c>
      <c r="M532" s="6">
        <v>2.53</v>
      </c>
      <c r="N532" s="6">
        <v>28.62</v>
      </c>
      <c r="O532" s="6"/>
      <c r="P532" s="6"/>
      <c r="Q532" s="7"/>
      <c r="R532" s="6"/>
      <c r="S532" s="6"/>
      <c r="T532" s="6"/>
      <c r="U532" s="5"/>
      <c r="V532" s="6"/>
      <c r="W532" s="6"/>
      <c r="X532" s="6"/>
      <c r="Y532" s="15"/>
      <c r="Z532" s="6"/>
      <c r="AA532" s="6"/>
      <c r="AB532" s="5"/>
      <c r="AC532" s="3"/>
      <c r="AD532" s="6">
        <v>0.3949636</v>
      </c>
      <c r="AE532" s="6">
        <v>1.1619278</v>
      </c>
      <c r="AF532" s="7">
        <v>1314.4021200000002</v>
      </c>
      <c r="AG532" s="6">
        <v>0</v>
      </c>
      <c r="AH532" s="7">
        <v>0</v>
      </c>
      <c r="AI532" s="15">
        <v>1.5568914</v>
      </c>
      <c r="AJ532" s="6">
        <v>3.3899999999999997</v>
      </c>
      <c r="AK532" s="3"/>
      <c r="AL532" s="6">
        <v>88.75745107684887</v>
      </c>
      <c r="AM532" s="6">
        <v>16.3052216</v>
      </c>
      <c r="AN532" s="6">
        <v>54.9397343</v>
      </c>
      <c r="AO532" s="6">
        <v>17.512495176848876</v>
      </c>
      <c r="AP532" s="6">
        <v>0</v>
      </c>
      <c r="AQ532" s="6">
        <v>0</v>
      </c>
      <c r="AR532" s="6">
        <v>0</v>
      </c>
      <c r="AS532" s="6">
        <v>0</v>
      </c>
      <c r="AT532" s="6">
        <v>0</v>
      </c>
      <c r="AU532" s="6">
        <v>0</v>
      </c>
      <c r="AV532" s="6">
        <v>0</v>
      </c>
      <c r="AW532" s="6">
        <v>0</v>
      </c>
      <c r="AX532" s="6">
        <v>0</v>
      </c>
      <c r="AY532" s="6">
        <v>0</v>
      </c>
      <c r="AZ532" s="6">
        <v>0</v>
      </c>
      <c r="BA532" s="6">
        <v>0</v>
      </c>
      <c r="BB532" s="6">
        <v>0</v>
      </c>
      <c r="BC532" s="6"/>
      <c r="BD532" s="3"/>
      <c r="BE532" s="3"/>
      <c r="BF532" s="7">
        <v>4076.2746981553614</v>
      </c>
    </row>
    <row x14ac:dyDescent="0.25" r="533" customHeight="1" ht="12.75">
      <c r="A533" s="5" t="s">
        <v>351</v>
      </c>
      <c r="B533" s="3" t="s">
        <v>855</v>
      </c>
      <c r="C533" s="3" t="s">
        <v>869</v>
      </c>
      <c r="D533" s="3"/>
      <c r="E533" s="3"/>
      <c r="F533" s="6">
        <f>100*SUM(AM533:AO533)/AL533</f>
      </c>
      <c r="G533" s="6">
        <f>100*SUM(AP533)/AL533</f>
      </c>
      <c r="H533" s="6">
        <f>100*SUM(AQ533)/AL533</f>
      </c>
      <c r="I533" s="6">
        <f>100*SUM(AR533:BC533)/AL533</f>
      </c>
      <c r="J533" s="3"/>
      <c r="K533" s="6">
        <v>15.881</v>
      </c>
      <c r="L533" s="6">
        <v>7.062468358415716</v>
      </c>
      <c r="M533" s="6">
        <v>1.3194439896731942</v>
      </c>
      <c r="N533" s="7">
        <v>128.73287576349094</v>
      </c>
      <c r="O533" s="6"/>
      <c r="P533" s="6"/>
      <c r="Q533" s="7"/>
      <c r="R533" s="6"/>
      <c r="S533" s="6"/>
      <c r="T533" s="6"/>
      <c r="U533" s="5"/>
      <c r="V533" s="6"/>
      <c r="W533" s="6"/>
      <c r="X533" s="6"/>
      <c r="Y533" s="15"/>
      <c r="Z533" s="6"/>
      <c r="AA533" s="6"/>
      <c r="AB533" s="5"/>
      <c r="AC533" s="3"/>
      <c r="AD533" s="6">
        <v>1.1215905999999998</v>
      </c>
      <c r="AE533" s="6">
        <v>0.20954089999999997</v>
      </c>
      <c r="AF533" s="7">
        <v>2044.4067999999995</v>
      </c>
      <c r="AG533" s="6">
        <v>0</v>
      </c>
      <c r="AH533" s="7">
        <v>0</v>
      </c>
      <c r="AI533" s="15">
        <v>1.3311314999999997</v>
      </c>
      <c r="AJ533" s="6">
        <v>8.38191234808891</v>
      </c>
      <c r="AK533" s="3"/>
      <c r="AL533" s="6">
        <v>241.32470199368584</v>
      </c>
      <c r="AM533" s="6">
        <v>133.90129258948426</v>
      </c>
      <c r="AN533" s="6">
        <v>28.65213526339021</v>
      </c>
      <c r="AO533" s="6">
        <v>78.77127414081134</v>
      </c>
      <c r="AP533" s="6">
        <v>0</v>
      </c>
      <c r="AQ533" s="6">
        <v>0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0</v>
      </c>
      <c r="BB533" s="6">
        <v>0</v>
      </c>
      <c r="BC533" s="6"/>
      <c r="BD533" s="3"/>
      <c r="BE533" s="3"/>
      <c r="BF533" s="7">
        <v>3832.477592361725</v>
      </c>
    </row>
    <row x14ac:dyDescent="0.25" r="534" customHeight="1" ht="12.75">
      <c r="A534" s="5" t="s">
        <v>132</v>
      </c>
      <c r="B534" s="3" t="s">
        <v>855</v>
      </c>
      <c r="C534" s="3" t="s">
        <v>869</v>
      </c>
      <c r="D534" s="3"/>
      <c r="E534" s="3"/>
      <c r="F534" s="6">
        <f>100*SUM(AM534:AO534)/AL534</f>
      </c>
      <c r="G534" s="6">
        <f>100*SUM(AP534)/AL534</f>
      </c>
      <c r="H534" s="6">
        <f>100*SUM(AQ534)/AL534</f>
      </c>
      <c r="I534" s="6">
        <f>100*SUM(AR534:BC534)/AL534</f>
      </c>
      <c r="J534" s="3"/>
      <c r="K534" s="23">
        <v>8.501788</v>
      </c>
      <c r="L534" s="6">
        <v>9.4</v>
      </c>
      <c r="M534" s="7">
        <v>6</v>
      </c>
      <c r="N534" s="7">
        <v>256</v>
      </c>
      <c r="O534" s="6"/>
      <c r="P534" s="6"/>
      <c r="Q534" s="7"/>
      <c r="R534" s="6"/>
      <c r="S534" s="6"/>
      <c r="T534" s="6"/>
      <c r="U534" s="5"/>
      <c r="V534" s="6"/>
      <c r="W534" s="6"/>
      <c r="X534" s="6"/>
      <c r="Y534" s="15"/>
      <c r="Z534" s="6"/>
      <c r="AA534" s="6"/>
      <c r="AB534" s="5"/>
      <c r="AC534" s="3"/>
      <c r="AD534" s="6">
        <v>0.799168072</v>
      </c>
      <c r="AE534" s="6">
        <v>0.51010728</v>
      </c>
      <c r="AF534" s="7">
        <v>2176.457728</v>
      </c>
      <c r="AG534" s="6">
        <v>0</v>
      </c>
      <c r="AH534" s="7">
        <v>0</v>
      </c>
      <c r="AI534" s="15">
        <v>1.309275352</v>
      </c>
      <c r="AJ534" s="6">
        <v>15.4</v>
      </c>
      <c r="AK534" s="3"/>
      <c r="AL534" s="6">
        <v>465.1573831639871</v>
      </c>
      <c r="AM534" s="6">
        <v>178.219864</v>
      </c>
      <c r="AN534" s="6">
        <v>130.29185999999999</v>
      </c>
      <c r="AO534" s="6">
        <v>156.64565916398715</v>
      </c>
      <c r="AP534" s="6">
        <v>0</v>
      </c>
      <c r="AQ534" s="6">
        <v>0</v>
      </c>
      <c r="AR534" s="6">
        <v>0</v>
      </c>
      <c r="AS534" s="6">
        <v>0</v>
      </c>
      <c r="AT534" s="6">
        <v>0</v>
      </c>
      <c r="AU534" s="6">
        <v>0</v>
      </c>
      <c r="AV534" s="6">
        <v>0</v>
      </c>
      <c r="AW534" s="6">
        <v>0</v>
      </c>
      <c r="AX534" s="6">
        <v>0</v>
      </c>
      <c r="AY534" s="6">
        <v>0</v>
      </c>
      <c r="AZ534" s="6">
        <v>0</v>
      </c>
      <c r="BA534" s="6">
        <v>0</v>
      </c>
      <c r="BB534" s="6">
        <v>0</v>
      </c>
      <c r="BC534" s="6"/>
      <c r="BD534" s="3"/>
      <c r="BE534" s="3"/>
      <c r="BF534" s="7">
        <v>3954.669458294987</v>
      </c>
    </row>
    <row x14ac:dyDescent="0.25" r="535" customHeight="1" ht="12.75">
      <c r="A535" s="5" t="s">
        <v>361</v>
      </c>
      <c r="B535" s="3" t="s">
        <v>855</v>
      </c>
      <c r="C535" s="3" t="s">
        <v>869</v>
      </c>
      <c r="D535" s="3" t="s">
        <v>1013</v>
      </c>
      <c r="E535" s="3"/>
      <c r="F535" s="6">
        <f>100*SUM(AM535:AO535)/AL535</f>
      </c>
      <c r="G535" s="6">
        <f>100*SUM(AP535)/AL535</f>
      </c>
      <c r="H535" s="6">
        <f>100*SUM(AQ535)/AL535</f>
      </c>
      <c r="I535" s="6">
        <f>100*SUM(AR535:BC535)/AL535</f>
      </c>
      <c r="J535" s="3"/>
      <c r="K535" s="6">
        <v>27.66</v>
      </c>
      <c r="L535" s="6">
        <v>2.1339331164135937</v>
      </c>
      <c r="M535" s="6">
        <v>2.361547360809834</v>
      </c>
      <c r="N535" s="5"/>
      <c r="O535" s="6"/>
      <c r="P535" s="6"/>
      <c r="Q535" s="7"/>
      <c r="R535" s="6"/>
      <c r="S535" s="6"/>
      <c r="T535" s="6"/>
      <c r="U535" s="5"/>
      <c r="V535" s="6"/>
      <c r="W535" s="6"/>
      <c r="X535" s="6"/>
      <c r="Y535" s="15"/>
      <c r="Z535" s="6"/>
      <c r="AA535" s="6"/>
      <c r="AB535" s="5"/>
      <c r="AC535" s="3"/>
      <c r="AD535" s="6">
        <v>0.5902459</v>
      </c>
      <c r="AE535" s="6">
        <v>0.6532040000000001</v>
      </c>
      <c r="AF535" s="7">
        <v>0</v>
      </c>
      <c r="AG535" s="6">
        <v>0</v>
      </c>
      <c r="AH535" s="7">
        <v>0</v>
      </c>
      <c r="AI535" s="15">
        <v>1.2434499</v>
      </c>
      <c r="AJ535" s="6">
        <v>4.495480477223428</v>
      </c>
      <c r="AK535" s="3"/>
      <c r="AL535" s="6">
        <v>91.7401659762979</v>
      </c>
      <c r="AM535" s="6">
        <v>40.45843295663051</v>
      </c>
      <c r="AN535" s="6">
        <v>51.281733019667385</v>
      </c>
      <c r="AO535" s="6">
        <v>0</v>
      </c>
      <c r="AP535" s="6">
        <v>0</v>
      </c>
      <c r="AQ535" s="6">
        <v>0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0</v>
      </c>
      <c r="AZ535" s="6">
        <v>0</v>
      </c>
      <c r="BA535" s="6">
        <v>0</v>
      </c>
      <c r="BB535" s="6">
        <v>0</v>
      </c>
      <c r="BC535" s="6"/>
      <c r="BD535" s="3"/>
      <c r="BE535" s="3"/>
      <c r="BF535" s="7">
        <v>2537.5329909044</v>
      </c>
    </row>
    <row x14ac:dyDescent="0.25" r="536" customHeight="1" ht="12.75">
      <c r="A536" s="5" t="s">
        <v>560</v>
      </c>
      <c r="B536" s="3" t="s">
        <v>855</v>
      </c>
      <c r="C536" s="3" t="s">
        <v>869</v>
      </c>
      <c r="D536" s="3" t="s">
        <v>1013</v>
      </c>
      <c r="E536" s="3"/>
      <c r="F536" s="6">
        <f>100*SUM(AM536:AO536)/AL536</f>
      </c>
      <c r="G536" s="6">
        <f>100*SUM(AP536)/AL536</f>
      </c>
      <c r="H536" s="6">
        <f>100*SUM(AQ536)/AL536</f>
      </c>
      <c r="I536" s="6">
        <f>100*SUM(AR536:BC536)/AL536</f>
      </c>
      <c r="J536" s="3"/>
      <c r="K536" s="6">
        <v>8.3</v>
      </c>
      <c r="L536" s="6">
        <v>0.7966301204819276</v>
      </c>
      <c r="M536" s="6">
        <v>6.18769156626506</v>
      </c>
      <c r="N536" s="5"/>
      <c r="O536" s="6"/>
      <c r="P536" s="6"/>
      <c r="Q536" s="7"/>
      <c r="R536" s="6"/>
      <c r="S536" s="6"/>
      <c r="T536" s="6"/>
      <c r="U536" s="5"/>
      <c r="V536" s="6"/>
      <c r="W536" s="6"/>
      <c r="X536" s="6"/>
      <c r="Y536" s="15"/>
      <c r="Z536" s="6"/>
      <c r="AA536" s="6"/>
      <c r="AB536" s="5"/>
      <c r="AC536" s="3"/>
      <c r="AD536" s="6">
        <v>0.06612029999999999</v>
      </c>
      <c r="AE536" s="6">
        <v>0.5135784</v>
      </c>
      <c r="AF536" s="7">
        <v>0</v>
      </c>
      <c r="AG536" s="6">
        <v>0</v>
      </c>
      <c r="AH536" s="7">
        <v>0</v>
      </c>
      <c r="AI536" s="15">
        <v>0.5796987</v>
      </c>
      <c r="AJ536" s="6">
        <v>6.984321686746988</v>
      </c>
      <c r="AK536" s="3"/>
      <c r="AL536" s="6">
        <v>149.47139711291564</v>
      </c>
      <c r="AM536" s="6">
        <v>15.103756567084336</v>
      </c>
      <c r="AN536" s="6">
        <v>134.3676405458313</v>
      </c>
      <c r="AO536" s="6">
        <v>0</v>
      </c>
      <c r="AP536" s="6">
        <v>0</v>
      </c>
      <c r="AQ536" s="6">
        <v>0</v>
      </c>
      <c r="AR536" s="6">
        <v>0</v>
      </c>
      <c r="AS536" s="6">
        <v>0</v>
      </c>
      <c r="AT536" s="6">
        <v>0</v>
      </c>
      <c r="AU536" s="6">
        <v>0</v>
      </c>
      <c r="AV536" s="6">
        <v>0</v>
      </c>
      <c r="AW536" s="6">
        <v>0</v>
      </c>
      <c r="AX536" s="6">
        <v>0</v>
      </c>
      <c r="AY536" s="6">
        <v>0</v>
      </c>
      <c r="AZ536" s="6">
        <v>0</v>
      </c>
      <c r="BA536" s="6">
        <v>0</v>
      </c>
      <c r="BB536" s="6">
        <v>0</v>
      </c>
      <c r="BC536" s="6"/>
      <c r="BD536" s="3"/>
      <c r="BE536" s="3"/>
      <c r="BF536" s="7">
        <v>1240.6125960371999</v>
      </c>
    </row>
    <row x14ac:dyDescent="0.25" r="537" customHeight="1" ht="12.75">
      <c r="A537" s="5" t="s">
        <v>489</v>
      </c>
      <c r="B537" s="3" t="s">
        <v>855</v>
      </c>
      <c r="C537" s="3" t="s">
        <v>869</v>
      </c>
      <c r="D537" s="3"/>
      <c r="E537" s="3"/>
      <c r="F537" s="6">
        <f>100*SUM(AM537:AO537)/AL537</f>
      </c>
      <c r="G537" s="6">
        <f>100*SUM(AP537)/AL537</f>
      </c>
      <c r="H537" s="6">
        <f>100*SUM(AQ537)/AL537</f>
      </c>
      <c r="I537" s="6">
        <f>100*SUM(AR537:BC537)/AL537</f>
      </c>
      <c r="J537" s="3"/>
      <c r="K537" s="6">
        <v>6.42</v>
      </c>
      <c r="L537" s="6">
        <v>2.2738317757009345</v>
      </c>
      <c r="M537" s="6">
        <v>5.565482866043614</v>
      </c>
      <c r="N537" s="7">
        <v>62.718068535825545</v>
      </c>
      <c r="O537" s="6"/>
      <c r="P537" s="6"/>
      <c r="Q537" s="7"/>
      <c r="R537" s="6"/>
      <c r="S537" s="6"/>
      <c r="T537" s="6"/>
      <c r="U537" s="5"/>
      <c r="V537" s="6"/>
      <c r="W537" s="6"/>
      <c r="X537" s="6"/>
      <c r="Y537" s="15"/>
      <c r="Z537" s="6"/>
      <c r="AA537" s="6"/>
      <c r="AB537" s="5"/>
      <c r="AC537" s="3"/>
      <c r="AD537" s="6">
        <v>0.14598</v>
      </c>
      <c r="AE537" s="6">
        <v>0.357304</v>
      </c>
      <c r="AF537" s="7">
        <v>402.65</v>
      </c>
      <c r="AG537" s="6">
        <v>0</v>
      </c>
      <c r="AH537" s="7">
        <v>0</v>
      </c>
      <c r="AI537" s="15">
        <v>0.5032840000000001</v>
      </c>
      <c r="AJ537" s="6">
        <v>7.839314641744549</v>
      </c>
      <c r="AK537" s="3"/>
      <c r="AL537" s="6">
        <v>202.34404035497192</v>
      </c>
      <c r="AM537" s="6">
        <v>43.110849981308405</v>
      </c>
      <c r="AN537" s="6">
        <v>120.85618573582555</v>
      </c>
      <c r="AO537" s="6">
        <v>38.37700463783795</v>
      </c>
      <c r="AP537" s="6">
        <v>0</v>
      </c>
      <c r="AQ537" s="6">
        <v>0</v>
      </c>
      <c r="AR537" s="6">
        <v>0</v>
      </c>
      <c r="AS537" s="6">
        <v>0</v>
      </c>
      <c r="AT537" s="6">
        <v>0</v>
      </c>
      <c r="AU537" s="6">
        <v>0</v>
      </c>
      <c r="AV537" s="6">
        <v>0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0</v>
      </c>
      <c r="BC537" s="6"/>
      <c r="BD537" s="3"/>
      <c r="BE537" s="3"/>
      <c r="BF537" s="7">
        <v>1299.0487390789197</v>
      </c>
    </row>
    <row x14ac:dyDescent="0.25" r="538" customHeight="1" ht="12.75">
      <c r="A538" s="5" t="s">
        <v>102</v>
      </c>
      <c r="B538" s="3" t="s">
        <v>855</v>
      </c>
      <c r="C538" s="3" t="s">
        <v>869</v>
      </c>
      <c r="D538" s="3"/>
      <c r="E538" s="3"/>
      <c r="F538" s="6">
        <f>100*SUM(AM538:AO538)/AL538</f>
      </c>
      <c r="G538" s="6">
        <f>100*SUM(AP538)/AL538</f>
      </c>
      <c r="H538" s="6">
        <f>100*SUM(AQ538)/AL538</f>
      </c>
      <c r="I538" s="6">
        <f>100*SUM(AR538:BC538)/AL538</f>
      </c>
      <c r="J538" s="3"/>
      <c r="K538" s="6">
        <v>1.8339999999999999</v>
      </c>
      <c r="L538" s="7">
        <v>7.261395856052345</v>
      </c>
      <c r="M538" s="7">
        <v>10.101090512540896</v>
      </c>
      <c r="N538" s="31">
        <v>192.28353326063248</v>
      </c>
      <c r="O538" s="6"/>
      <c r="P538" s="6"/>
      <c r="Q538" s="7"/>
      <c r="R538" s="6"/>
      <c r="S538" s="6"/>
      <c r="T538" s="6"/>
      <c r="U538" s="5"/>
      <c r="V538" s="6"/>
      <c r="W538" s="6"/>
      <c r="X538" s="6"/>
      <c r="Y538" s="15"/>
      <c r="Z538" s="6"/>
      <c r="AA538" s="6"/>
      <c r="AB538" s="5"/>
      <c r="AC538" s="3"/>
      <c r="AD538" s="6">
        <v>0.133174</v>
      </c>
      <c r="AE538" s="6">
        <v>0.185254</v>
      </c>
      <c r="AF538" s="7">
        <v>352.64799999999997</v>
      </c>
      <c r="AG538" s="6">
        <v>0</v>
      </c>
      <c r="AH538" s="7">
        <v>0</v>
      </c>
      <c r="AI538" s="15">
        <v>0.318428</v>
      </c>
      <c r="AJ538" s="6">
        <v>17.362486368593242</v>
      </c>
      <c r="AK538" s="3"/>
      <c r="AL538" s="6">
        <v>474.67891978911734</v>
      </c>
      <c r="AM538" s="6">
        <v>137.6728704165758</v>
      </c>
      <c r="AN538" s="6">
        <v>219.34831181788445</v>
      </c>
      <c r="AO538" s="6">
        <v>117.65773755465712</v>
      </c>
      <c r="AP538" s="6">
        <v>0</v>
      </c>
      <c r="AQ538" s="6">
        <v>0</v>
      </c>
      <c r="AR538" s="6">
        <v>0</v>
      </c>
      <c r="AS538" s="6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6">
        <v>0</v>
      </c>
      <c r="BA538" s="6">
        <v>0</v>
      </c>
      <c r="BB538" s="6">
        <v>0</v>
      </c>
      <c r="BC538" s="6"/>
      <c r="BD538" s="3"/>
      <c r="BE538" s="3"/>
      <c r="BF538" s="7">
        <v>870.5611388932412</v>
      </c>
    </row>
    <row x14ac:dyDescent="0.25" r="539" customHeight="1" ht="12.75">
      <c r="A539" s="5" t="s">
        <v>282</v>
      </c>
      <c r="B539" s="3" t="s">
        <v>855</v>
      </c>
      <c r="C539" s="3" t="s">
        <v>869</v>
      </c>
      <c r="D539" s="3"/>
      <c r="E539" s="3"/>
      <c r="F539" s="6">
        <f>100*SUM(AM539:AO539)/AL539</f>
      </c>
      <c r="G539" s="6">
        <f>100*SUM(AP539)/AL539</f>
      </c>
      <c r="H539" s="6">
        <f>100*SUM(AQ539)/AL539</f>
      </c>
      <c r="I539" s="6">
        <f>100*SUM(AR539:BC539)/AL539</f>
      </c>
      <c r="J539" s="3"/>
      <c r="K539" s="6">
        <v>3.836</v>
      </c>
      <c r="L539" s="6">
        <v>1.0390119916579772</v>
      </c>
      <c r="M539" s="6">
        <v>1.4001824817518247</v>
      </c>
      <c r="N539" s="7">
        <v>526.0236488008342</v>
      </c>
      <c r="O539" s="6"/>
      <c r="P539" s="6"/>
      <c r="Q539" s="7"/>
      <c r="R539" s="6"/>
      <c r="S539" s="6"/>
      <c r="T539" s="6"/>
      <c r="U539" s="5"/>
      <c r="V539" s="6"/>
      <c r="W539" s="6"/>
      <c r="X539" s="6"/>
      <c r="Y539" s="15"/>
      <c r="Z539" s="6"/>
      <c r="AA539" s="6"/>
      <c r="AB539" s="5"/>
      <c r="AC539" s="3"/>
      <c r="AD539" s="6">
        <v>0.0398565</v>
      </c>
      <c r="AE539" s="6">
        <v>0.053710999999999995</v>
      </c>
      <c r="AF539" s="7">
        <v>2017.8267167999998</v>
      </c>
      <c r="AG539" s="6">
        <v>0</v>
      </c>
      <c r="AH539" s="7">
        <v>0</v>
      </c>
      <c r="AI539" s="15">
        <v>0.0935675</v>
      </c>
      <c r="AJ539" s="6">
        <v>2.4391944734098017</v>
      </c>
      <c r="AK539" s="3"/>
      <c r="AL539" s="6">
        <v>371.9769552906674</v>
      </c>
      <c r="AM539" s="6">
        <v>19.699210196558916</v>
      </c>
      <c r="AN539" s="6">
        <v>30.405396647810218</v>
      </c>
      <c r="AO539" s="6">
        <v>321.87234844629825</v>
      </c>
      <c r="AP539" s="6">
        <v>0</v>
      </c>
      <c r="AQ539" s="6">
        <v>0</v>
      </c>
      <c r="AR539" s="6">
        <v>0</v>
      </c>
      <c r="AS539" s="6">
        <v>0</v>
      </c>
      <c r="AT539" s="6">
        <v>0</v>
      </c>
      <c r="AU539" s="6">
        <v>0</v>
      </c>
      <c r="AV539" s="6">
        <v>0</v>
      </c>
      <c r="AW539" s="6">
        <v>0</v>
      </c>
      <c r="AX539" s="6">
        <v>0</v>
      </c>
      <c r="AY539" s="6">
        <v>0</v>
      </c>
      <c r="AZ539" s="6">
        <v>0</v>
      </c>
      <c r="BA539" s="6">
        <v>0</v>
      </c>
      <c r="BB539" s="6">
        <v>0</v>
      </c>
      <c r="BC539" s="6"/>
      <c r="BD539" s="3"/>
      <c r="BE539" s="3"/>
      <c r="BF539" s="7">
        <v>1426.903600495</v>
      </c>
    </row>
    <row x14ac:dyDescent="0.25" r="540" customHeight="1" ht="12.75">
      <c r="A540" s="5" t="s">
        <v>844</v>
      </c>
      <c r="B540" s="3" t="s">
        <v>855</v>
      </c>
      <c r="C540" s="3" t="s">
        <v>869</v>
      </c>
      <c r="D540" s="3"/>
      <c r="E540" s="3"/>
      <c r="F540" s="6">
        <f>100*SUM(AM540:AO540)/AL540</f>
      </c>
      <c r="G540" s="6">
        <f>100*SUM(AP540)/AL540</f>
      </c>
      <c r="H540" s="6">
        <f>100*SUM(AQ540)/AL540</f>
      </c>
      <c r="I540" s="6">
        <f>100*SUM(AR540:BC540)/AL540</f>
      </c>
      <c r="J540" s="3"/>
      <c r="K540" s="23">
        <v>1.735048</v>
      </c>
      <c r="L540" s="6">
        <v>0.7000000000000001</v>
      </c>
      <c r="M540" s="6">
        <v>1.5572699429641144</v>
      </c>
      <c r="N540" s="31">
        <v>56.56380342215317</v>
      </c>
      <c r="O540" s="6"/>
      <c r="P540" s="6"/>
      <c r="Q540" s="7"/>
      <c r="R540" s="6"/>
      <c r="S540" s="6"/>
      <c r="T540" s="6"/>
      <c r="U540" s="5"/>
      <c r="V540" s="6"/>
      <c r="W540" s="6"/>
      <c r="X540" s="6"/>
      <c r="Y540" s="15"/>
      <c r="Z540" s="6"/>
      <c r="AA540" s="6"/>
      <c r="AB540" s="5"/>
      <c r="AC540" s="3"/>
      <c r="AD540" s="6">
        <v>0.012145336</v>
      </c>
      <c r="AE540" s="6">
        <v>0.027019381000000006</v>
      </c>
      <c r="AF540" s="7">
        <v>98.14091400000001</v>
      </c>
      <c r="AG540" s="6">
        <v>0</v>
      </c>
      <c r="AH540" s="7">
        <v>0</v>
      </c>
      <c r="AI540" s="15">
        <v>0.039164717</v>
      </c>
      <c r="AJ540" s="6">
        <v>2.2572699429641143</v>
      </c>
      <c r="AK540" s="3"/>
      <c r="AL540" s="6">
        <v>81.69951918970031</v>
      </c>
      <c r="AM540" s="6">
        <v>13.271692000000002</v>
      </c>
      <c r="AN540" s="6">
        <v>33.81659956514806</v>
      </c>
      <c r="AO540" s="6">
        <v>34.61122762455225</v>
      </c>
      <c r="AP540" s="6">
        <v>0</v>
      </c>
      <c r="AQ540" s="6">
        <v>0</v>
      </c>
      <c r="AR540" s="6">
        <v>0</v>
      </c>
      <c r="AS540" s="6">
        <v>0</v>
      </c>
      <c r="AT540" s="6">
        <v>0</v>
      </c>
      <c r="AU540" s="6">
        <v>0</v>
      </c>
      <c r="AV540" s="6">
        <v>0</v>
      </c>
      <c r="AW540" s="6">
        <v>0</v>
      </c>
      <c r="AX540" s="6">
        <v>0</v>
      </c>
      <c r="AY540" s="6">
        <v>0</v>
      </c>
      <c r="AZ540" s="6">
        <v>0</v>
      </c>
      <c r="BA540" s="6">
        <v>0</v>
      </c>
      <c r="BB540" s="6">
        <v>0</v>
      </c>
      <c r="BC540" s="6"/>
      <c r="BD540" s="3"/>
      <c r="BE540" s="3"/>
      <c r="BF540" s="7">
        <v>141.75258737105113</v>
      </c>
    </row>
    <row x14ac:dyDescent="0.25" r="541" customHeight="1" ht="12.75">
      <c r="A541" s="5" t="s">
        <v>111</v>
      </c>
      <c r="B541" s="3" t="s">
        <v>855</v>
      </c>
      <c r="C541" s="3" t="s">
        <v>869</v>
      </c>
      <c r="D541" s="3"/>
      <c r="E541" s="3"/>
      <c r="F541" s="6">
        <f>100*SUM(AM541:AO541)/AL541</f>
      </c>
      <c r="G541" s="6">
        <f>100*SUM(AP541)/AL541</f>
      </c>
      <c r="H541" s="6">
        <f>100*SUM(AQ541)/AL541</f>
      </c>
      <c r="I541" s="6">
        <f>100*SUM(AR541:BC541)/AL541</f>
      </c>
      <c r="J541" s="3"/>
      <c r="K541" s="6">
        <v>0.123</v>
      </c>
      <c r="L541" s="6">
        <v>6.64</v>
      </c>
      <c r="M541" s="6">
        <v>8.47</v>
      </c>
      <c r="N541" s="7">
        <v>392.8552</v>
      </c>
      <c r="O541" s="6"/>
      <c r="P541" s="6"/>
      <c r="Q541" s="7"/>
      <c r="R541" s="6"/>
      <c r="S541" s="6"/>
      <c r="T541" s="6"/>
      <c r="U541" s="5"/>
      <c r="V541" s="6"/>
      <c r="W541" s="6"/>
      <c r="X541" s="6"/>
      <c r="Y541" s="15"/>
      <c r="Z541" s="6"/>
      <c r="AA541" s="6"/>
      <c r="AB541" s="5"/>
      <c r="AC541" s="3"/>
      <c r="AD541" s="6">
        <v>0.0081672</v>
      </c>
      <c r="AE541" s="6">
        <v>0.010418100000000001</v>
      </c>
      <c r="AF541" s="7">
        <v>48.321189600000004</v>
      </c>
      <c r="AG541" s="6">
        <v>0</v>
      </c>
      <c r="AH541" s="7">
        <v>0</v>
      </c>
      <c r="AI541" s="15">
        <v>0.0185853</v>
      </c>
      <c r="AJ541" s="6">
        <v>15.11</v>
      </c>
      <c r="AK541" s="3"/>
      <c r="AL541" s="6">
        <v>550.2071141000001</v>
      </c>
      <c r="AM541" s="6">
        <v>125.8914784</v>
      </c>
      <c r="AN541" s="6">
        <v>183.9286757</v>
      </c>
      <c r="AO541" s="6">
        <v>240.38696000000004</v>
      </c>
      <c r="AP541" s="6">
        <v>0</v>
      </c>
      <c r="AQ541" s="6">
        <v>0</v>
      </c>
      <c r="AR541" s="6">
        <v>0</v>
      </c>
      <c r="AS541" s="6">
        <v>0</v>
      </c>
      <c r="AT541" s="6">
        <v>0</v>
      </c>
      <c r="AU541" s="6">
        <v>0</v>
      </c>
      <c r="AV541" s="6">
        <v>0</v>
      </c>
      <c r="AW541" s="6">
        <v>0</v>
      </c>
      <c r="AX541" s="6">
        <v>0</v>
      </c>
      <c r="AY541" s="6">
        <v>0</v>
      </c>
      <c r="AZ541" s="6">
        <v>0</v>
      </c>
      <c r="BA541" s="6">
        <v>0</v>
      </c>
      <c r="BB541" s="6">
        <v>0</v>
      </c>
      <c r="BC541" s="6"/>
      <c r="BD541" s="3"/>
      <c r="BE541" s="3"/>
      <c r="BF541" s="7">
        <v>67.67547503430002</v>
      </c>
    </row>
    <row x14ac:dyDescent="0.25" r="542" customHeight="1" ht="12.75">
      <c r="A542" s="5" t="s">
        <v>820</v>
      </c>
      <c r="B542" s="3" t="s">
        <v>855</v>
      </c>
      <c r="C542" s="3" t="s">
        <v>869</v>
      </c>
      <c r="D542" s="3" t="s">
        <v>1014</v>
      </c>
      <c r="E542" s="3"/>
      <c r="F542" s="6">
        <f>100*SUM(AM542:AO542)/AL542</f>
      </c>
      <c r="G542" s="6">
        <f>100*SUM(AP542)/AL542</f>
      </c>
      <c r="H542" s="6">
        <f>100*SUM(AQ542)/AL542</f>
      </c>
      <c r="I542" s="6">
        <f>100*SUM(AR542:BC542)/AL542</f>
      </c>
      <c r="J542" s="3"/>
      <c r="K542" s="6">
        <v>0.45</v>
      </c>
      <c r="L542" s="6">
        <v>1.5</v>
      </c>
      <c r="M542" s="6">
        <v>1.25</v>
      </c>
      <c r="N542" s="5">
        <v>100</v>
      </c>
      <c r="O542" s="6"/>
      <c r="P542" s="6"/>
      <c r="Q542" s="7"/>
      <c r="R542" s="6"/>
      <c r="S542" s="6"/>
      <c r="T542" s="6"/>
      <c r="U542" s="5"/>
      <c r="V542" s="6"/>
      <c r="W542" s="6"/>
      <c r="X542" s="6"/>
      <c r="Y542" s="15"/>
      <c r="Z542" s="6"/>
      <c r="AA542" s="6"/>
      <c r="AB542" s="5"/>
      <c r="AC542" s="3"/>
      <c r="AD542" s="6">
        <v>0.006750000000000001</v>
      </c>
      <c r="AE542" s="6">
        <v>0.005625</v>
      </c>
      <c r="AF542" s="7">
        <v>45</v>
      </c>
      <c r="AG542" s="6">
        <v>0</v>
      </c>
      <c r="AH542" s="7">
        <v>0</v>
      </c>
      <c r="AI542" s="15">
        <v>0.012375</v>
      </c>
      <c r="AJ542" s="6">
        <v>2.75</v>
      </c>
      <c r="AK542" s="3"/>
      <c r="AL542" s="6">
        <v>116.7731881109325</v>
      </c>
      <c r="AM542" s="6">
        <v>28.439339999999998</v>
      </c>
      <c r="AN542" s="6">
        <v>27.1441375</v>
      </c>
      <c r="AO542" s="6">
        <v>61.18971061093249</v>
      </c>
      <c r="AP542" s="6">
        <v>0</v>
      </c>
      <c r="AQ542" s="6">
        <v>0</v>
      </c>
      <c r="AR542" s="6">
        <v>0</v>
      </c>
      <c r="AS542" s="6">
        <v>0</v>
      </c>
      <c r="AT542" s="6">
        <v>0</v>
      </c>
      <c r="AU542" s="6">
        <v>0</v>
      </c>
      <c r="AV542" s="6">
        <v>0</v>
      </c>
      <c r="AW542" s="6">
        <v>0</v>
      </c>
      <c r="AX542" s="6">
        <v>0</v>
      </c>
      <c r="AY542" s="6">
        <v>0</v>
      </c>
      <c r="AZ542" s="6">
        <v>0</v>
      </c>
      <c r="BA542" s="6">
        <v>0</v>
      </c>
      <c r="BB542" s="6">
        <v>0</v>
      </c>
      <c r="BC542" s="6"/>
      <c r="BD542" s="3"/>
      <c r="BE542" s="3"/>
      <c r="BF542" s="7">
        <v>52.547934649919625</v>
      </c>
    </row>
    <row x14ac:dyDescent="0.25" r="543" customHeight="1" ht="12.75">
      <c r="A543" s="5" t="s">
        <v>399</v>
      </c>
      <c r="B543" s="3" t="s">
        <v>855</v>
      </c>
      <c r="C543" s="3" t="s">
        <v>869</v>
      </c>
      <c r="D543" s="3"/>
      <c r="E543" s="3"/>
      <c r="F543" s="6">
        <f>100*SUM(AM543:AO543)/AL543</f>
      </c>
      <c r="G543" s="6">
        <f>100*SUM(AP543)/AL543</f>
      </c>
      <c r="H543" s="6">
        <f>100*SUM(AQ543)/AL543</f>
      </c>
      <c r="I543" s="6">
        <f>100*SUM(AR543:BC543)/AL543</f>
      </c>
      <c r="J543" s="3"/>
      <c r="K543" s="6">
        <v>0.173</v>
      </c>
      <c r="L543" s="6">
        <v>0.38</v>
      </c>
      <c r="M543" s="6">
        <v>4.32</v>
      </c>
      <c r="N543" s="7">
        <v>325.30600000000004</v>
      </c>
      <c r="O543" s="6"/>
      <c r="P543" s="6"/>
      <c r="Q543" s="7"/>
      <c r="R543" s="6"/>
      <c r="S543" s="6"/>
      <c r="T543" s="6"/>
      <c r="U543" s="5"/>
      <c r="V543" s="6"/>
      <c r="W543" s="6"/>
      <c r="X543" s="6"/>
      <c r="Y543" s="15"/>
      <c r="Z543" s="6"/>
      <c r="AA543" s="6"/>
      <c r="AB543" s="5"/>
      <c r="AC543" s="3"/>
      <c r="AD543" s="6">
        <v>0.0006573999999999999</v>
      </c>
      <c r="AE543" s="6">
        <v>0.0074736</v>
      </c>
      <c r="AF543" s="7">
        <v>56.277938000000006</v>
      </c>
      <c r="AG543" s="6">
        <v>0</v>
      </c>
      <c r="AH543" s="7">
        <v>0</v>
      </c>
      <c r="AI543" s="15">
        <v>0.008131000000000001</v>
      </c>
      <c r="AJ543" s="6">
        <v>4.7</v>
      </c>
      <c r="AK543" s="3"/>
      <c r="AL543" s="6">
        <v>300.0685720000001</v>
      </c>
      <c r="AM543" s="6">
        <v>7.2046328</v>
      </c>
      <c r="AN543" s="6">
        <v>93.81013920000001</v>
      </c>
      <c r="AO543" s="6">
        <v>199.05380000000005</v>
      </c>
      <c r="AP543" s="6">
        <v>0</v>
      </c>
      <c r="AQ543" s="6">
        <v>0</v>
      </c>
      <c r="AR543" s="6">
        <v>0</v>
      </c>
      <c r="AS543" s="6">
        <v>0</v>
      </c>
      <c r="AT543" s="6">
        <v>0</v>
      </c>
      <c r="AU543" s="6">
        <v>0</v>
      </c>
      <c r="AV543" s="6">
        <v>0</v>
      </c>
      <c r="AW543" s="6">
        <v>0</v>
      </c>
      <c r="AX543" s="6">
        <v>0</v>
      </c>
      <c r="AY543" s="6">
        <v>0</v>
      </c>
      <c r="AZ543" s="6">
        <v>0</v>
      </c>
      <c r="BA543" s="6">
        <v>0</v>
      </c>
      <c r="BB543" s="6">
        <v>0</v>
      </c>
      <c r="BC543" s="6"/>
      <c r="BD543" s="3"/>
      <c r="BE543" s="3"/>
      <c r="BF543" s="7">
        <v>51.91186295600001</v>
      </c>
    </row>
    <row x14ac:dyDescent="0.25" r="544" customHeight="1" ht="12.75">
      <c r="A544" s="5" t="s">
        <v>143</v>
      </c>
      <c r="B544" s="3" t="s">
        <v>855</v>
      </c>
      <c r="C544" s="3" t="s">
        <v>869</v>
      </c>
      <c r="D544" s="3"/>
      <c r="E544" s="3"/>
      <c r="F544" s="6">
        <f>100*SUM(AM544:AO544)/AL544</f>
      </c>
      <c r="G544" s="6">
        <f>100*SUM(AP544)/AL544</f>
      </c>
      <c r="H544" s="6">
        <f>100*SUM(AQ544)/AL544</f>
      </c>
      <c r="I544" s="6">
        <f>100*SUM(AR544:BC544)/AL544</f>
      </c>
      <c r="J544" s="3"/>
      <c r="K544" s="6">
        <v>136.4</v>
      </c>
      <c r="L544" s="6">
        <v>0.48</v>
      </c>
      <c r="M544" s="6">
        <v>2.46</v>
      </c>
      <c r="N544" s="5"/>
      <c r="O544" s="6"/>
      <c r="P544" s="6"/>
      <c r="Q544" s="7"/>
      <c r="R544" s="6"/>
      <c r="S544" s="6"/>
      <c r="T544" s="6"/>
      <c r="U544" s="5"/>
      <c r="V544" s="6"/>
      <c r="W544" s="6"/>
      <c r="X544" s="6"/>
      <c r="Y544" s="15"/>
      <c r="Z544" s="6"/>
      <c r="AA544" s="6"/>
      <c r="AB544" s="5"/>
      <c r="AC544" s="3"/>
      <c r="AD544" s="6">
        <v>0.65472</v>
      </c>
      <c r="AE544" s="6">
        <v>3.3554399999999998</v>
      </c>
      <c r="AF544" s="7">
        <v>0</v>
      </c>
      <c r="AG544" s="6">
        <v>0</v>
      </c>
      <c r="AH544" s="7">
        <v>0</v>
      </c>
      <c r="AI544" s="15">
        <v>4.01016</v>
      </c>
      <c r="AJ544" s="6">
        <v>2.94</v>
      </c>
      <c r="AK544" s="3"/>
      <c r="AL544" s="6">
        <v>62.5202514</v>
      </c>
      <c r="AM544" s="6">
        <v>9.100588799999999</v>
      </c>
      <c r="AN544" s="6">
        <v>53.4196626</v>
      </c>
      <c r="AO544" s="6">
        <v>0</v>
      </c>
      <c r="AP544" s="6">
        <v>0</v>
      </c>
      <c r="AQ544" s="6">
        <v>0</v>
      </c>
      <c r="AR544" s="6">
        <v>0</v>
      </c>
      <c r="AS544" s="6">
        <v>0</v>
      </c>
      <c r="AT544" s="6">
        <v>0</v>
      </c>
      <c r="AU544" s="6">
        <v>0</v>
      </c>
      <c r="AV544" s="6">
        <v>0</v>
      </c>
      <c r="AW544" s="6">
        <v>0</v>
      </c>
      <c r="AX544" s="6">
        <v>0</v>
      </c>
      <c r="AY544" s="6">
        <v>0</v>
      </c>
      <c r="AZ544" s="6">
        <v>0</v>
      </c>
      <c r="BA544" s="6">
        <v>0</v>
      </c>
      <c r="BB544" s="6">
        <v>0</v>
      </c>
      <c r="BC544" s="6"/>
      <c r="BD544" s="3"/>
      <c r="BE544" s="3"/>
      <c r="BF544" s="7">
        <v>8527.76229096</v>
      </c>
    </row>
    <row x14ac:dyDescent="0.25" r="545" customHeight="1" ht="12.75">
      <c r="A545" s="5" t="s">
        <v>531</v>
      </c>
      <c r="B545" s="3" t="s">
        <v>855</v>
      </c>
      <c r="C545" s="3" t="s">
        <v>869</v>
      </c>
      <c r="D545" s="3"/>
      <c r="E545" s="3"/>
      <c r="F545" s="6">
        <f>100*SUM(AM545:AO545)/AL545</f>
      </c>
      <c r="G545" s="6">
        <f>100*SUM(AP545)/AL545</f>
      </c>
      <c r="H545" s="6">
        <f>100*SUM(AQ545)/AL545</f>
      </c>
      <c r="I545" s="6">
        <f>100*SUM(AR545:BC545)/AL545</f>
      </c>
      <c r="J545" s="3"/>
      <c r="K545" s="6">
        <v>20.416</v>
      </c>
      <c r="L545" s="6">
        <v>1.8</v>
      </c>
      <c r="M545" s="6">
        <v>1.4</v>
      </c>
      <c r="N545" s="6">
        <v>16.6</v>
      </c>
      <c r="O545" s="6"/>
      <c r="P545" s="6"/>
      <c r="Q545" s="7"/>
      <c r="R545" s="6"/>
      <c r="S545" s="6"/>
      <c r="T545" s="6"/>
      <c r="U545" s="5"/>
      <c r="V545" s="6"/>
      <c r="W545" s="6"/>
      <c r="X545" s="6"/>
      <c r="Y545" s="15"/>
      <c r="Z545" s="6"/>
      <c r="AA545" s="6"/>
      <c r="AB545" s="5"/>
      <c r="AC545" s="3"/>
      <c r="AD545" s="6">
        <v>0.36748800000000004</v>
      </c>
      <c r="AE545" s="6">
        <v>0.285824</v>
      </c>
      <c r="AF545" s="7">
        <v>338.90560000000005</v>
      </c>
      <c r="AG545" s="6">
        <v>0</v>
      </c>
      <c r="AH545" s="7">
        <v>0</v>
      </c>
      <c r="AI545" s="15">
        <v>0.6533120000000001</v>
      </c>
      <c r="AJ545" s="6">
        <v>3.2</v>
      </c>
      <c r="AK545" s="3"/>
      <c r="AL545" s="6">
        <v>74.68613396141478</v>
      </c>
      <c r="AM545" s="6">
        <v>34.127208</v>
      </c>
      <c r="AN545" s="6">
        <v>30.401433999999995</v>
      </c>
      <c r="AO545" s="6">
        <v>10.157491961414793</v>
      </c>
      <c r="AP545" s="6">
        <v>0</v>
      </c>
      <c r="AQ545" s="6">
        <v>0</v>
      </c>
      <c r="AR545" s="6">
        <v>0</v>
      </c>
      <c r="AS545" s="6">
        <v>0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0</v>
      </c>
      <c r="BC545" s="6"/>
      <c r="BD545" s="3"/>
      <c r="BE545" s="3"/>
      <c r="BF545" s="7">
        <v>1524.7921109562442</v>
      </c>
    </row>
    <row x14ac:dyDescent="0.25" r="546" customHeight="1" ht="12.75">
      <c r="A546" s="5" t="s">
        <v>486</v>
      </c>
      <c r="B546" s="3" t="s">
        <v>855</v>
      </c>
      <c r="C546" s="3" t="s">
        <v>869</v>
      </c>
      <c r="D546" s="3"/>
      <c r="E546" s="3"/>
      <c r="F546" s="6">
        <f>100*SUM(AM546:AO546)/AL546</f>
      </c>
      <c r="G546" s="6">
        <f>100*SUM(AP546)/AL546</f>
      </c>
      <c r="H546" s="6">
        <f>100*SUM(AQ546)/AL546</f>
      </c>
      <c r="I546" s="6">
        <f>100*SUM(AR546:BC546)/AL546</f>
      </c>
      <c r="J546" s="3"/>
      <c r="K546" s="23">
        <v>4.359615384615385</v>
      </c>
      <c r="L546" s="6">
        <v>2.69</v>
      </c>
      <c r="M546" s="6">
        <v>5.2</v>
      </c>
      <c r="N546" s="6">
        <v>54.16</v>
      </c>
      <c r="O546" s="6"/>
      <c r="P546" s="6"/>
      <c r="Q546" s="7"/>
      <c r="R546" s="6"/>
      <c r="S546" s="6"/>
      <c r="T546" s="6"/>
      <c r="U546" s="5"/>
      <c r="V546" s="6"/>
      <c r="W546" s="6"/>
      <c r="X546" s="6"/>
      <c r="Y546" s="15"/>
      <c r="Z546" s="6"/>
      <c r="AA546" s="6"/>
      <c r="AB546" s="5"/>
      <c r="AC546" s="3"/>
      <c r="AD546" s="6">
        <v>0.11727365384615383</v>
      </c>
      <c r="AE546" s="6">
        <v>0.2267</v>
      </c>
      <c r="AF546" s="7">
        <v>236.11676923076922</v>
      </c>
      <c r="AG546" s="6">
        <v>0</v>
      </c>
      <c r="AH546" s="7">
        <v>0</v>
      </c>
      <c r="AI546" s="15">
        <v>0.34397365384615386</v>
      </c>
      <c r="AJ546" s="6">
        <v>7.890000000000001</v>
      </c>
      <c r="AK546" s="3"/>
      <c r="AL546" s="6">
        <v>197.06117566688104</v>
      </c>
      <c r="AM546" s="6">
        <v>51.0012164</v>
      </c>
      <c r="AN546" s="6">
        <v>112.919612</v>
      </c>
      <c r="AO546" s="6">
        <v>33.14034726688103</v>
      </c>
      <c r="AP546" s="6">
        <v>0</v>
      </c>
      <c r="AQ546" s="6">
        <v>0</v>
      </c>
      <c r="AR546" s="6">
        <v>0</v>
      </c>
      <c r="AS546" s="6">
        <v>0</v>
      </c>
      <c r="AT546" s="6">
        <v>0</v>
      </c>
      <c r="AU546" s="6">
        <v>0</v>
      </c>
      <c r="AV546" s="6">
        <v>0</v>
      </c>
      <c r="AW546" s="6">
        <v>0</v>
      </c>
      <c r="AX546" s="6">
        <v>0</v>
      </c>
      <c r="AY546" s="6">
        <v>0</v>
      </c>
      <c r="AZ546" s="6">
        <v>0</v>
      </c>
      <c r="BA546" s="6">
        <v>0</v>
      </c>
      <c r="BB546" s="6">
        <v>0</v>
      </c>
      <c r="BC546" s="6"/>
      <c r="BD546" s="3"/>
      <c r="BE546" s="3"/>
      <c r="BF546" s="7">
        <v>859.1109331477295</v>
      </c>
    </row>
    <row x14ac:dyDescent="0.25" r="547" customHeight="1" ht="12.75">
      <c r="A547" s="5" t="s">
        <v>176</v>
      </c>
      <c r="B547" s="3" t="s">
        <v>855</v>
      </c>
      <c r="C547" s="3" t="s">
        <v>1015</v>
      </c>
      <c r="D547" s="3"/>
      <c r="E547" s="3"/>
      <c r="F547" s="6">
        <f>100*SUM(AM547:AO547)/AL547</f>
      </c>
      <c r="G547" s="6">
        <f>100*SUM(AP547)/AL547</f>
      </c>
      <c r="H547" s="6">
        <f>100*SUM(AQ547)/AL547</f>
      </c>
      <c r="I547" s="6">
        <f>100*SUM(AR547:BC547)/AL547</f>
      </c>
      <c r="J547" s="3"/>
      <c r="K547" s="6">
        <v>2.19</v>
      </c>
      <c r="L547" s="6">
        <v>2.6</v>
      </c>
      <c r="M547" s="6">
        <v>10.4</v>
      </c>
      <c r="N547" s="5"/>
      <c r="O547" s="6"/>
      <c r="P547" s="6"/>
      <c r="Q547" s="7"/>
      <c r="R547" s="6"/>
      <c r="S547" s="6"/>
      <c r="T547" s="6"/>
      <c r="U547" s="5"/>
      <c r="V547" s="6"/>
      <c r="W547" s="6"/>
      <c r="X547" s="6"/>
      <c r="Y547" s="15"/>
      <c r="Z547" s="6"/>
      <c r="AA547" s="6"/>
      <c r="AB547" s="5"/>
      <c r="AC547" s="3"/>
      <c r="AD547" s="6">
        <v>0.05694</v>
      </c>
      <c r="AE547" s="6">
        <v>0.22776</v>
      </c>
      <c r="AF547" s="7">
        <v>0</v>
      </c>
      <c r="AG547" s="6">
        <v>0</v>
      </c>
      <c r="AH547" s="7">
        <v>0</v>
      </c>
      <c r="AI547" s="15">
        <v>0.2847</v>
      </c>
      <c r="AJ547" s="6">
        <v>13</v>
      </c>
      <c r="AK547" s="3"/>
      <c r="AL547" s="6">
        <v>275.13408</v>
      </c>
      <c r="AM547" s="6">
        <v>49.294856</v>
      </c>
      <c r="AN547" s="6">
        <v>225.839224</v>
      </c>
      <c r="AO547" s="6">
        <v>0</v>
      </c>
      <c r="AP547" s="6">
        <v>0</v>
      </c>
      <c r="AQ547" s="6">
        <v>0</v>
      </c>
      <c r="AR547" s="6">
        <v>0</v>
      </c>
      <c r="AS547" s="6">
        <v>0</v>
      </c>
      <c r="AT547" s="6">
        <v>0</v>
      </c>
      <c r="AU547" s="6">
        <v>0</v>
      </c>
      <c r="AV547" s="6">
        <v>0</v>
      </c>
      <c r="AW547" s="6">
        <v>0</v>
      </c>
      <c r="AX547" s="6">
        <v>0</v>
      </c>
      <c r="AY547" s="6">
        <v>0</v>
      </c>
      <c r="AZ547" s="6">
        <v>0</v>
      </c>
      <c r="BA547" s="6">
        <v>0</v>
      </c>
      <c r="BB547" s="6">
        <v>0</v>
      </c>
      <c r="BC547" s="6"/>
      <c r="BD547" s="3"/>
      <c r="BE547" s="3"/>
      <c r="BF547" s="7">
        <v>602.5436351999999</v>
      </c>
    </row>
    <row x14ac:dyDescent="0.25" r="548" customHeight="1" ht="12.75">
      <c r="A548" s="5" t="s">
        <v>479</v>
      </c>
      <c r="B548" s="3" t="s">
        <v>855</v>
      </c>
      <c r="C548" s="3" t="s">
        <v>869</v>
      </c>
      <c r="D548" s="3"/>
      <c r="E548" s="3"/>
      <c r="F548" s="6">
        <f>100*SUM(AM548:AO548)/AL548</f>
      </c>
      <c r="G548" s="6">
        <f>100*SUM(AP548)/AL548</f>
      </c>
      <c r="H548" s="6">
        <f>100*SUM(AQ548)/AL548</f>
      </c>
      <c r="I548" s="6">
        <f>100*SUM(AR548:BC548)/AL548</f>
      </c>
      <c r="J548" s="3"/>
      <c r="K548" s="23">
        <v>19.1562</v>
      </c>
      <c r="L548" s="7">
        <v>1.2003451415207609</v>
      </c>
      <c r="M548" s="7">
        <v>1.4189325649137097</v>
      </c>
      <c r="N548" s="31">
        <v>169.4386367860014</v>
      </c>
      <c r="O548" s="6"/>
      <c r="P548" s="6">
        <v>0.013837822741462294</v>
      </c>
      <c r="Q548" s="7"/>
      <c r="R548" s="6"/>
      <c r="S548" s="6"/>
      <c r="T548" s="6"/>
      <c r="U548" s="5"/>
      <c r="V548" s="6"/>
      <c r="W548" s="6"/>
      <c r="X548" s="6"/>
      <c r="Y548" s="15"/>
      <c r="Z548" s="6"/>
      <c r="AA548" s="6"/>
      <c r="AB548" s="5"/>
      <c r="AC548" s="3"/>
      <c r="AD548" s="6">
        <v>0.22994051599999998</v>
      </c>
      <c r="AE548" s="6">
        <v>0.27181356000000007</v>
      </c>
      <c r="AF548" s="7">
        <v>3245.800414</v>
      </c>
      <c r="AG548" s="6">
        <v>0</v>
      </c>
      <c r="AH548" s="7">
        <v>0.2650801</v>
      </c>
      <c r="AI548" s="15">
        <v>0.5017540760000001</v>
      </c>
      <c r="AJ548" s="6">
        <v>2.6192777064344703</v>
      </c>
      <c r="AK548" s="3"/>
      <c r="AL548" s="6">
        <v>157.8146692674797</v>
      </c>
      <c r="AM548" s="6">
        <v>22.75801573137136</v>
      </c>
      <c r="AN548" s="6">
        <v>30.812560516196328</v>
      </c>
      <c r="AO548" s="6">
        <v>103.67901151246325</v>
      </c>
      <c r="AP548" s="6">
        <v>0</v>
      </c>
      <c r="AQ548" s="6">
        <v>0.5650815074487817</v>
      </c>
      <c r="AR548" s="6">
        <v>0</v>
      </c>
      <c r="AS548" s="6">
        <v>0</v>
      </c>
      <c r="AT548" s="6">
        <v>0</v>
      </c>
      <c r="AU548" s="6">
        <v>0</v>
      </c>
      <c r="AV548" s="6">
        <v>0</v>
      </c>
      <c r="AW548" s="6">
        <v>0</v>
      </c>
      <c r="AX548" s="6">
        <v>0</v>
      </c>
      <c r="AY548" s="6">
        <v>0</v>
      </c>
      <c r="AZ548" s="6">
        <v>0</v>
      </c>
      <c r="BA548" s="6">
        <v>0</v>
      </c>
      <c r="BB548" s="6">
        <v>0</v>
      </c>
      <c r="BC548" s="6"/>
      <c r="BD548" s="3"/>
      <c r="BE548" s="3"/>
      <c r="BF548" s="7">
        <v>3023.1293674216945</v>
      </c>
    </row>
    <row x14ac:dyDescent="0.25" r="549" customHeight="1" ht="12.75">
      <c r="A549" s="5" t="s">
        <v>410</v>
      </c>
      <c r="B549" s="3" t="s">
        <v>855</v>
      </c>
      <c r="C549" s="3" t="s">
        <v>869</v>
      </c>
      <c r="D549" s="3"/>
      <c r="E549" s="3"/>
      <c r="F549" s="6">
        <f>100*SUM(AM549:AO549)/AL549</f>
      </c>
      <c r="G549" s="6">
        <f>100*SUM(AP549)/AL549</f>
      </c>
      <c r="H549" s="6">
        <f>100*SUM(AQ549)/AL549</f>
      </c>
      <c r="I549" s="6">
        <f>100*SUM(AR549:BC549)/AL549</f>
      </c>
      <c r="J549" s="3"/>
      <c r="K549" s="23">
        <v>17.392711</v>
      </c>
      <c r="L549" s="7">
        <v>2.455326337567502</v>
      </c>
      <c r="M549" s="7">
        <v>3.589937106411991</v>
      </c>
      <c r="N549" s="31">
        <v>136.70985972227103</v>
      </c>
      <c r="O549" s="6"/>
      <c r="P549" s="6">
        <v>0.06903634574276547</v>
      </c>
      <c r="Q549" s="7"/>
      <c r="R549" s="6"/>
      <c r="S549" s="6"/>
      <c r="T549" s="6"/>
      <c r="U549" s="5"/>
      <c r="V549" s="6"/>
      <c r="W549" s="6"/>
      <c r="X549" s="6"/>
      <c r="Y549" s="15"/>
      <c r="Z549" s="6"/>
      <c r="AA549" s="6"/>
      <c r="AB549" s="5"/>
      <c r="AC549" s="3"/>
      <c r="AD549" s="6">
        <v>0.427047814</v>
      </c>
      <c r="AE549" s="6">
        <v>0.624387386</v>
      </c>
      <c r="AF549" s="7">
        <v>2377.7550810000002</v>
      </c>
      <c r="AG549" s="6">
        <v>0</v>
      </c>
      <c r="AH549" s="7">
        <v>1.2007292100000002</v>
      </c>
      <c r="AI549" s="15">
        <v>1.0514352</v>
      </c>
      <c r="AJ549" s="6">
        <v>6.0452634439794934</v>
      </c>
      <c r="AK549" s="3"/>
      <c r="AL549" s="6">
        <v>210.98004080627894</v>
      </c>
      <c r="AM549" s="6">
        <v>46.5519070166913</v>
      </c>
      <c r="AN549" s="6">
        <v>77.95659714623937</v>
      </c>
      <c r="AO549" s="6">
        <v>83.6523675406694</v>
      </c>
      <c r="AP549" s="6">
        <v>0</v>
      </c>
      <c r="AQ549" s="6">
        <v>2.8191691026788472</v>
      </c>
      <c r="AR549" s="6">
        <v>0</v>
      </c>
      <c r="AS549" s="6">
        <v>0</v>
      </c>
      <c r="AT549" s="6">
        <v>0</v>
      </c>
      <c r="AU549" s="6">
        <v>0</v>
      </c>
      <c r="AV549" s="6">
        <v>0</v>
      </c>
      <c r="AW549" s="6">
        <v>0</v>
      </c>
      <c r="AX549" s="6">
        <v>0</v>
      </c>
      <c r="AY549" s="6">
        <v>0</v>
      </c>
      <c r="AZ549" s="6">
        <v>0</v>
      </c>
      <c r="BA549" s="6">
        <v>0</v>
      </c>
      <c r="BB549" s="6">
        <v>0</v>
      </c>
      <c r="BC549" s="6"/>
      <c r="BD549" s="3"/>
      <c r="BE549" s="3"/>
      <c r="BF549" s="7">
        <v>3669.514876511816</v>
      </c>
    </row>
    <row x14ac:dyDescent="0.25" r="550" customHeight="1" ht="12.75">
      <c r="A550" s="5" t="s">
        <v>165</v>
      </c>
      <c r="B550" s="3" t="s">
        <v>855</v>
      </c>
      <c r="C550" s="3" t="s">
        <v>869</v>
      </c>
      <c r="D550" s="3"/>
      <c r="E550" s="3"/>
      <c r="F550" s="6">
        <f>100*SUM(AM550:AO550)/AL550</f>
      </c>
      <c r="G550" s="6">
        <f>100*SUM(AP550)/AL550</f>
      </c>
      <c r="H550" s="6">
        <f>100*SUM(AQ550)/AL550</f>
      </c>
      <c r="I550" s="6">
        <f>100*SUM(AR550:BC550)/AL550</f>
      </c>
      <c r="J550" s="3"/>
      <c r="K550" s="23">
        <v>60.45558</v>
      </c>
      <c r="L550" s="6">
        <v>0.65</v>
      </c>
      <c r="M550" s="6">
        <v>4.38</v>
      </c>
      <c r="N550" s="7">
        <v>30.478</v>
      </c>
      <c r="O550" s="6">
        <v>0.06</v>
      </c>
      <c r="P550" s="6"/>
      <c r="Q550" s="7"/>
      <c r="R550" s="6"/>
      <c r="S550" s="6"/>
      <c r="T550" s="6"/>
      <c r="U550" s="5"/>
      <c r="V550" s="6"/>
      <c r="W550" s="6"/>
      <c r="X550" s="6"/>
      <c r="Y550" s="15"/>
      <c r="Z550" s="6"/>
      <c r="AA550" s="6"/>
      <c r="AB550" s="5"/>
      <c r="AC550" s="3"/>
      <c r="AD550" s="6">
        <v>0.39296127</v>
      </c>
      <c r="AE550" s="6">
        <v>2.6479544039999996</v>
      </c>
      <c r="AF550" s="7">
        <v>1842.56516724</v>
      </c>
      <c r="AG550" s="6">
        <v>0.036273348</v>
      </c>
      <c r="AH550" s="7">
        <v>0</v>
      </c>
      <c r="AI550" s="15">
        <v>3.0771890219999993</v>
      </c>
      <c r="AJ550" s="6">
        <v>5.09</v>
      </c>
      <c r="AK550" s="3"/>
      <c r="AL550" s="6">
        <v>130.2528658</v>
      </c>
      <c r="AM550" s="6">
        <v>12.323714</v>
      </c>
      <c r="AN550" s="6">
        <v>95.11305779999999</v>
      </c>
      <c r="AO550" s="6">
        <v>18.649400000000004</v>
      </c>
      <c r="AP550" s="6">
        <v>4.166694</v>
      </c>
      <c r="AQ550" s="6">
        <v>0</v>
      </c>
      <c r="AR550" s="6">
        <v>0</v>
      </c>
      <c r="AS550" s="6">
        <v>0</v>
      </c>
      <c r="AT550" s="6">
        <v>0</v>
      </c>
      <c r="AU550" s="6">
        <v>0</v>
      </c>
      <c r="AV550" s="6">
        <v>0</v>
      </c>
      <c r="AW550" s="6">
        <v>0</v>
      </c>
      <c r="AX550" s="6">
        <v>0</v>
      </c>
      <c r="AY550" s="6">
        <v>0</v>
      </c>
      <c r="AZ550" s="6">
        <v>0</v>
      </c>
      <c r="BA550" s="6">
        <v>0</v>
      </c>
      <c r="BB550" s="6">
        <v>0</v>
      </c>
      <c r="BC550" s="6"/>
      <c r="BD550" s="3"/>
      <c r="BE550" s="3"/>
      <c r="BF550" s="7">
        <v>7874.512548601163</v>
      </c>
    </row>
    <row x14ac:dyDescent="0.25" r="551" customHeight="1" ht="12.75">
      <c r="A551" s="5" t="s">
        <v>428</v>
      </c>
      <c r="B551" s="3" t="s">
        <v>855</v>
      </c>
      <c r="C551" s="3" t="s">
        <v>869</v>
      </c>
      <c r="D551" s="3"/>
      <c r="E551" s="3"/>
      <c r="F551" s="6">
        <f>100*SUM(AM551:AO551)/AL551</f>
      </c>
      <c r="G551" s="6">
        <f>100*SUM(AP551)/AL551</f>
      </c>
      <c r="H551" s="6">
        <f>100*SUM(AQ551)/AL551</f>
      </c>
      <c r="I551" s="6">
        <f>100*SUM(AR551:BC551)/AL551</f>
      </c>
      <c r="J551" s="3"/>
      <c r="K551" s="6">
        <v>13.536</v>
      </c>
      <c r="L551" s="6">
        <v>2.19</v>
      </c>
      <c r="M551" s="6">
        <v>5.18</v>
      </c>
      <c r="N551" s="7">
        <v>92.96</v>
      </c>
      <c r="O551" s="6">
        <v>0.09</v>
      </c>
      <c r="P551" s="6">
        <v>0.04</v>
      </c>
      <c r="Q551" s="7"/>
      <c r="R551" s="6"/>
      <c r="S551" s="6"/>
      <c r="T551" s="6"/>
      <c r="U551" s="5"/>
      <c r="V551" s="6"/>
      <c r="W551" s="6"/>
      <c r="X551" s="6"/>
      <c r="Y551" s="15"/>
      <c r="Z551" s="6"/>
      <c r="AA551" s="6"/>
      <c r="AB551" s="5"/>
      <c r="AC551" s="3"/>
      <c r="AD551" s="6">
        <v>0.2964384</v>
      </c>
      <c r="AE551" s="6">
        <v>0.7011647999999999</v>
      </c>
      <c r="AF551" s="7">
        <v>1258.30656</v>
      </c>
      <c r="AG551" s="6">
        <v>0.0121824</v>
      </c>
      <c r="AH551" s="7">
        <v>0.54144</v>
      </c>
      <c r="AI551" s="15">
        <v>1.0097855999999998</v>
      </c>
      <c r="AJ551" s="6">
        <v>7.459999999999999</v>
      </c>
      <c r="AK551" s="3"/>
      <c r="AL551" s="6">
        <v>218.77217869839228</v>
      </c>
      <c r="AM551" s="6">
        <v>41.5214364</v>
      </c>
      <c r="AN551" s="6">
        <v>112.48530579999999</v>
      </c>
      <c r="AO551" s="6">
        <v>56.88195498392283</v>
      </c>
      <c r="AP551" s="6">
        <v>6.2500409999999995</v>
      </c>
      <c r="AQ551" s="6">
        <v>1.6334405144694535</v>
      </c>
      <c r="AR551" s="6">
        <v>0</v>
      </c>
      <c r="AS551" s="6">
        <v>0</v>
      </c>
      <c r="AT551" s="6">
        <v>0</v>
      </c>
      <c r="AU551" s="6">
        <v>0</v>
      </c>
      <c r="AV551" s="6">
        <v>0</v>
      </c>
      <c r="AW551" s="6">
        <v>0</v>
      </c>
      <c r="AX551" s="6">
        <v>0</v>
      </c>
      <c r="AY551" s="6">
        <v>0</v>
      </c>
      <c r="AZ551" s="6">
        <v>0</v>
      </c>
      <c r="BA551" s="6">
        <v>0</v>
      </c>
      <c r="BB551" s="6">
        <v>0</v>
      </c>
      <c r="BC551" s="6"/>
      <c r="BD551" s="3"/>
      <c r="BE551" s="3"/>
      <c r="BF551" s="7">
        <v>2961.300210861438</v>
      </c>
    </row>
    <row x14ac:dyDescent="0.25" r="552" customHeight="1" ht="12.75">
      <c r="A552" s="5" t="s">
        <v>363</v>
      </c>
      <c r="B552" s="3" t="s">
        <v>855</v>
      </c>
      <c r="C552" s="3" t="s">
        <v>869</v>
      </c>
      <c r="D552" s="3"/>
      <c r="E552" s="3"/>
      <c r="F552" s="6">
        <f>100*SUM(AM552:AO552)/AL552</f>
      </c>
      <c r="G552" s="6">
        <f>100*SUM(AP552)/AL552</f>
      </c>
      <c r="H552" s="6">
        <f>100*SUM(AQ552)/AL552</f>
      </c>
      <c r="I552" s="6">
        <f>100*SUM(AR552:BC552)/AL552</f>
      </c>
      <c r="J552" s="3"/>
      <c r="K552" s="6">
        <v>14.93</v>
      </c>
      <c r="L552" s="6">
        <v>2.55</v>
      </c>
      <c r="M552" s="6">
        <v>5.77</v>
      </c>
      <c r="N552" s="5">
        <v>117</v>
      </c>
      <c r="O552" s="6"/>
      <c r="P552" s="6">
        <v>0.23</v>
      </c>
      <c r="Q552" s="7"/>
      <c r="R552" s="6"/>
      <c r="S552" s="6"/>
      <c r="T552" s="6"/>
      <c r="U552" s="5"/>
      <c r="V552" s="6"/>
      <c r="W552" s="6"/>
      <c r="X552" s="6"/>
      <c r="Y552" s="15"/>
      <c r="Z552" s="6"/>
      <c r="AA552" s="6"/>
      <c r="AB552" s="5"/>
      <c r="AC552" s="3"/>
      <c r="AD552" s="6">
        <v>0.3807149999999999</v>
      </c>
      <c r="AE552" s="6">
        <v>0.8614609999999999</v>
      </c>
      <c r="AF552" s="7">
        <v>1746.81</v>
      </c>
      <c r="AG552" s="6">
        <v>0</v>
      </c>
      <c r="AH552" s="7">
        <v>3.4339</v>
      </c>
      <c r="AI552" s="15">
        <v>1.2421759999999997</v>
      </c>
      <c r="AJ552" s="6">
        <v>8.32</v>
      </c>
      <c r="AK552" s="3"/>
      <c r="AL552" s="6">
        <v>254.62846107299035</v>
      </c>
      <c r="AM552" s="6">
        <v>48.346878</v>
      </c>
      <c r="AN552" s="6">
        <v>125.29733869999998</v>
      </c>
      <c r="AO552" s="6">
        <v>71.591961414791</v>
      </c>
      <c r="AP552" s="6">
        <v>0</v>
      </c>
      <c r="AQ552" s="6">
        <v>9.392282958199358</v>
      </c>
      <c r="AR552" s="6">
        <v>0</v>
      </c>
      <c r="AS552" s="6">
        <v>0</v>
      </c>
      <c r="AT552" s="6">
        <v>0</v>
      </c>
      <c r="AU552" s="6">
        <v>0</v>
      </c>
      <c r="AV552" s="6">
        <v>0</v>
      </c>
      <c r="AW552" s="6">
        <v>0</v>
      </c>
      <c r="AX552" s="6">
        <v>0</v>
      </c>
      <c r="AY552" s="6">
        <v>0</v>
      </c>
      <c r="AZ552" s="6">
        <v>0</v>
      </c>
      <c r="BA552" s="6">
        <v>0</v>
      </c>
      <c r="BB552" s="6">
        <v>0</v>
      </c>
      <c r="BC552" s="6"/>
      <c r="BD552" s="3"/>
      <c r="BE552" s="3"/>
      <c r="BF552" s="7">
        <v>3801.6029238197457</v>
      </c>
    </row>
    <row x14ac:dyDescent="0.25" r="553" customHeight="1" ht="12.75">
      <c r="A553" s="5" t="s">
        <v>366</v>
      </c>
      <c r="B553" s="3" t="s">
        <v>855</v>
      </c>
      <c r="C553" s="3" t="s">
        <v>869</v>
      </c>
      <c r="D553" s="3"/>
      <c r="E553" s="3"/>
      <c r="F553" s="6">
        <f>100*SUM(AM553:AO553)/AL553</f>
      </c>
      <c r="G553" s="6">
        <f>100*SUM(AP553)/AL553</f>
      </c>
      <c r="H553" s="6">
        <f>100*SUM(AQ553)/AL553</f>
      </c>
      <c r="I553" s="6">
        <f>100*SUM(AR553:BC553)/AL553</f>
      </c>
      <c r="J553" s="3"/>
      <c r="K553" s="6">
        <v>31.055</v>
      </c>
      <c r="L553" s="6">
        <v>0.5235923361777493</v>
      </c>
      <c r="M553" s="6">
        <v>3.3182038319111253</v>
      </c>
      <c r="N553" s="31">
        <v>22.677121236515863</v>
      </c>
      <c r="O553" s="6">
        <v>0.08174625664144258</v>
      </c>
      <c r="P553" s="6"/>
      <c r="Q553" s="7"/>
      <c r="R553" s="6"/>
      <c r="S553" s="6"/>
      <c r="T553" s="6"/>
      <c r="U553" s="5"/>
      <c r="V553" s="6"/>
      <c r="W553" s="6"/>
      <c r="X553" s="6"/>
      <c r="Y553" s="15"/>
      <c r="Z553" s="6"/>
      <c r="AA553" s="6"/>
      <c r="AB553" s="5"/>
      <c r="AC553" s="3"/>
      <c r="AD553" s="6">
        <v>0.1626016</v>
      </c>
      <c r="AE553" s="6">
        <v>1.0304682</v>
      </c>
      <c r="AF553" s="7">
        <v>704.238</v>
      </c>
      <c r="AG553" s="6">
        <v>0.025386299999999994</v>
      </c>
      <c r="AH553" s="7">
        <v>0</v>
      </c>
      <c r="AI553" s="15">
        <v>1.2184561</v>
      </c>
      <c r="AJ553" s="6">
        <v>3.9235424247303174</v>
      </c>
      <c r="AK553" s="3"/>
      <c r="AL553" s="6">
        <v>101.53583064379387</v>
      </c>
      <c r="AM553" s="6">
        <v>9.927080313302207</v>
      </c>
      <c r="AN553" s="6">
        <v>72.05582485313798</v>
      </c>
      <c r="AO553" s="6">
        <v>13.87606485951437</v>
      </c>
      <c r="AP553" s="6">
        <v>5.676860617839315</v>
      </c>
      <c r="AQ553" s="6">
        <v>0</v>
      </c>
      <c r="AR553" s="6">
        <v>0</v>
      </c>
      <c r="AS553" s="6">
        <v>0</v>
      </c>
      <c r="AT553" s="6">
        <v>0</v>
      </c>
      <c r="AU553" s="6">
        <v>0</v>
      </c>
      <c r="AV553" s="6">
        <v>0</v>
      </c>
      <c r="AW553" s="6">
        <v>0</v>
      </c>
      <c r="AX553" s="6">
        <v>0</v>
      </c>
      <c r="AY553" s="6">
        <v>0</v>
      </c>
      <c r="AZ553" s="6">
        <v>0</v>
      </c>
      <c r="BA553" s="6">
        <v>0</v>
      </c>
      <c r="BB553" s="6">
        <v>0</v>
      </c>
      <c r="BC553" s="6"/>
      <c r="BD553" s="3"/>
      <c r="BE553" s="3"/>
      <c r="BF553" s="7">
        <v>3153.1952206430187</v>
      </c>
    </row>
    <row x14ac:dyDescent="0.25" r="554" customHeight="1" ht="12.75">
      <c r="A554" s="5" t="s">
        <v>340</v>
      </c>
      <c r="B554" s="3" t="s">
        <v>855</v>
      </c>
      <c r="C554" s="3" t="s">
        <v>869</v>
      </c>
      <c r="D554" s="3"/>
      <c r="E554" s="3"/>
      <c r="F554" s="6">
        <f>100*SUM(AM554:AO554)/AL554</f>
      </c>
      <c r="G554" s="6">
        <f>100*SUM(AP554)/AL554</f>
      </c>
      <c r="H554" s="6">
        <f>100*SUM(AQ554)/AL554</f>
      </c>
      <c r="I554" s="6">
        <f>100*SUM(AR554:BC554)/AL554</f>
      </c>
      <c r="J554" s="3"/>
      <c r="K554" s="6">
        <v>47.225</v>
      </c>
      <c r="L554" s="6">
        <v>0.74</v>
      </c>
      <c r="M554" s="6">
        <v>2.17</v>
      </c>
      <c r="N554" s="7">
        <v>20.73</v>
      </c>
      <c r="O554" s="6">
        <v>0.07</v>
      </c>
      <c r="P554" s="6"/>
      <c r="Q554" s="7"/>
      <c r="R554" s="6"/>
      <c r="S554" s="6"/>
      <c r="T554" s="6"/>
      <c r="U554" s="5"/>
      <c r="V554" s="6"/>
      <c r="W554" s="6"/>
      <c r="X554" s="6"/>
      <c r="Y554" s="15"/>
      <c r="Z554" s="6"/>
      <c r="AA554" s="6"/>
      <c r="AB554" s="5"/>
      <c r="AC554" s="3"/>
      <c r="AD554" s="6">
        <v>0.349465</v>
      </c>
      <c r="AE554" s="6">
        <v>1.0247825</v>
      </c>
      <c r="AF554" s="7">
        <v>978.9742500000001</v>
      </c>
      <c r="AG554" s="6">
        <v>0.033057500000000004</v>
      </c>
      <c r="AH554" s="7">
        <v>0</v>
      </c>
      <c r="AI554" s="15">
        <v>1.407305</v>
      </c>
      <c r="AJ554" s="6">
        <v>2.98</v>
      </c>
      <c r="AK554" s="3"/>
      <c r="AL554" s="6">
        <v>78.6980671096463</v>
      </c>
      <c r="AM554" s="6">
        <v>14.0300744</v>
      </c>
      <c r="AN554" s="6">
        <v>47.1222227</v>
      </c>
      <c r="AO554" s="6">
        <v>12.684627009646304</v>
      </c>
      <c r="AP554" s="6">
        <v>4.861143</v>
      </c>
      <c r="AQ554" s="6">
        <v>0</v>
      </c>
      <c r="AR554" s="6">
        <v>0</v>
      </c>
      <c r="AS554" s="6">
        <v>0</v>
      </c>
      <c r="AT554" s="6">
        <v>0</v>
      </c>
      <c r="AU554" s="6">
        <v>0</v>
      </c>
      <c r="AV554" s="6">
        <v>0</v>
      </c>
      <c r="AW554" s="6">
        <v>0</v>
      </c>
      <c r="AX554" s="6">
        <v>0</v>
      </c>
      <c r="AY554" s="6">
        <v>0</v>
      </c>
      <c r="AZ554" s="6">
        <v>0</v>
      </c>
      <c r="BA554" s="6">
        <v>0</v>
      </c>
      <c r="BB554" s="6">
        <v>0</v>
      </c>
      <c r="BC554" s="6"/>
      <c r="BD554" s="3"/>
      <c r="BE554" s="3"/>
      <c r="BF554" s="7">
        <v>3716.516219253047</v>
      </c>
    </row>
    <row x14ac:dyDescent="0.25" r="555" customHeight="1" ht="12.75">
      <c r="A555" s="5" t="s">
        <v>306</v>
      </c>
      <c r="B555" s="3" t="s">
        <v>855</v>
      </c>
      <c r="C555" s="3" t="s">
        <v>869</v>
      </c>
      <c r="D555" s="3"/>
      <c r="E555" s="3"/>
      <c r="F555" s="6">
        <f>100*SUM(AM555:AO555)/AL555</f>
      </c>
      <c r="G555" s="6">
        <f>100*SUM(AP555)/AL555</f>
      </c>
      <c r="H555" s="6">
        <f>100*SUM(AQ555)/AL555</f>
      </c>
      <c r="I555" s="6">
        <f>100*SUM(AR555:BC555)/AL555</f>
      </c>
      <c r="J555" s="3"/>
      <c r="K555" s="6">
        <v>18.271</v>
      </c>
      <c r="L555" s="6">
        <v>2.121456953642384</v>
      </c>
      <c r="M555" s="6">
        <v>6.623819166985934</v>
      </c>
      <c r="N555" s="7">
        <v>120.20433408133107</v>
      </c>
      <c r="O555" s="6">
        <v>0.25366974987685403</v>
      </c>
      <c r="P555" s="6"/>
      <c r="Q555" s="7"/>
      <c r="R555" s="6"/>
      <c r="S555" s="6"/>
      <c r="T555" s="6"/>
      <c r="U555" s="5"/>
      <c r="V555" s="6"/>
      <c r="W555" s="6"/>
      <c r="X555" s="6"/>
      <c r="Y555" s="15"/>
      <c r="Z555" s="6"/>
      <c r="AA555" s="6"/>
      <c r="AB555" s="5"/>
      <c r="AC555" s="3"/>
      <c r="AD555" s="6">
        <v>0.3876114</v>
      </c>
      <c r="AE555" s="6">
        <v>1.210238</v>
      </c>
      <c r="AF555" s="7">
        <v>2196.253388</v>
      </c>
      <c r="AG555" s="6">
        <v>0.046348</v>
      </c>
      <c r="AH555" s="7">
        <v>0</v>
      </c>
      <c r="AI555" s="15">
        <v>1.6441974</v>
      </c>
      <c r="AJ555" s="6">
        <v>8.998945870505173</v>
      </c>
      <c r="AK555" s="3"/>
      <c r="AL555" s="6">
        <v>275.22893157442945</v>
      </c>
      <c r="AM555" s="6">
        <v>40.22189039999999</v>
      </c>
      <c r="AN555" s="6">
        <v>143.83828659504132</v>
      </c>
      <c r="AO555" s="6">
        <v>73.55268416616497</v>
      </c>
      <c r="AP555" s="6">
        <v>17.61607041322314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/>
      <c r="BD555" s="3"/>
      <c r="BE555" s="3"/>
      <c r="BF555" s="7">
        <v>5028.707808796401</v>
      </c>
    </row>
    <row x14ac:dyDescent="0.25" r="556" customHeight="1" ht="12.75">
      <c r="A556" s="5" t="s">
        <v>146</v>
      </c>
      <c r="B556" s="3" t="s">
        <v>855</v>
      </c>
      <c r="C556" s="3" t="s">
        <v>869</v>
      </c>
      <c r="D556" s="3"/>
      <c r="E556" s="3"/>
      <c r="F556" s="6">
        <f>100*SUM(AM556:AO556)/AL556</f>
      </c>
      <c r="G556" s="6">
        <f>100*SUM(AP556)/AL556</f>
      </c>
      <c r="H556" s="6">
        <f>100*SUM(AQ556)/AL556</f>
      </c>
      <c r="I556" s="6">
        <f>100*SUM(AR556:BC556)/AL556</f>
      </c>
      <c r="J556" s="3"/>
      <c r="K556" s="6">
        <v>71.745</v>
      </c>
      <c r="L556" s="6">
        <v>0.7704001672590424</v>
      </c>
      <c r="M556" s="6">
        <v>4.4857249982577185</v>
      </c>
      <c r="N556" s="7">
        <v>109.82996752386926</v>
      </c>
      <c r="O556" s="6">
        <v>0.21626426928705833</v>
      </c>
      <c r="P556" s="6"/>
      <c r="Q556" s="7"/>
      <c r="R556" s="6"/>
      <c r="S556" s="6"/>
      <c r="T556" s="6"/>
      <c r="U556" s="5"/>
      <c r="V556" s="6"/>
      <c r="W556" s="6"/>
      <c r="X556" s="6"/>
      <c r="Y556" s="15"/>
      <c r="Z556" s="6"/>
      <c r="AA556" s="6"/>
      <c r="AB556" s="5"/>
      <c r="AC556" s="3"/>
      <c r="AD556" s="6">
        <v>0.5527236</v>
      </c>
      <c r="AE556" s="6">
        <v>3.2182834000000002</v>
      </c>
      <c r="AF556" s="7">
        <v>7879.751020000001</v>
      </c>
      <c r="AG556" s="6">
        <v>0.1551588</v>
      </c>
      <c r="AH556" s="7">
        <v>0</v>
      </c>
      <c r="AI556" s="15">
        <v>3.9261658</v>
      </c>
      <c r="AJ556" s="6">
        <v>5.472389434803819</v>
      </c>
      <c r="AK556" s="3"/>
      <c r="AL556" s="6">
        <v>194.23844695322325</v>
      </c>
      <c r="AM556" s="6">
        <v>14.60644819515785</v>
      </c>
      <c r="AN556" s="6">
        <v>97.40890891191582</v>
      </c>
      <c r="AO556" s="6">
        <v>67.20463929193673</v>
      </c>
      <c r="AP556" s="6">
        <v>15.018450554212835</v>
      </c>
      <c r="AQ556" s="6">
        <v>0</v>
      </c>
      <c r="AR556" s="6">
        <v>0</v>
      </c>
      <c r="AS556" s="6">
        <v>0</v>
      </c>
      <c r="AT556" s="6">
        <v>0</v>
      </c>
      <c r="AU556" s="6">
        <v>0</v>
      </c>
      <c r="AV556" s="6">
        <v>0</v>
      </c>
      <c r="AW556" s="6">
        <v>0</v>
      </c>
      <c r="AX556" s="6">
        <v>0</v>
      </c>
      <c r="AY556" s="6">
        <v>0</v>
      </c>
      <c r="AZ556" s="6">
        <v>0</v>
      </c>
      <c r="BA556" s="6">
        <v>0</v>
      </c>
      <c r="BB556" s="6">
        <v>0</v>
      </c>
      <c r="BC556" s="6"/>
      <c r="BD556" s="3"/>
      <c r="BE556" s="3"/>
      <c r="BF556" s="7">
        <v>13935.637376659002</v>
      </c>
    </row>
    <row x14ac:dyDescent="0.25" r="557" customHeight="1" ht="12.75">
      <c r="A557" s="5" t="s">
        <v>558</v>
      </c>
      <c r="B557" s="3" t="s">
        <v>855</v>
      </c>
      <c r="C557" s="3" t="s">
        <v>869</v>
      </c>
      <c r="D557" s="3"/>
      <c r="E557" s="3"/>
      <c r="F557" s="6">
        <f>100*SUM(AM557:AO557)/AL557</f>
      </c>
      <c r="G557" s="6">
        <f>100*SUM(AP557)/AL557</f>
      </c>
      <c r="H557" s="6">
        <f>100*SUM(AQ557)/AL557</f>
      </c>
      <c r="I557" s="6">
        <f>100*SUM(AR557:BC557)/AL557</f>
      </c>
      <c r="J557" s="3"/>
      <c r="K557" s="6">
        <v>8.944</v>
      </c>
      <c r="L557" s="6">
        <v>2.378852862254025</v>
      </c>
      <c r="M557" s="6">
        <v>4.014948568872987</v>
      </c>
      <c r="N557" s="7">
        <v>54.671498211091226</v>
      </c>
      <c r="O557" s="6">
        <v>0.21032423971377462</v>
      </c>
      <c r="P557" s="6"/>
      <c r="Q557" s="7"/>
      <c r="R557" s="6"/>
      <c r="S557" s="6"/>
      <c r="T557" s="6"/>
      <c r="U557" s="5"/>
      <c r="V557" s="6"/>
      <c r="W557" s="6"/>
      <c r="X557" s="6"/>
      <c r="Y557" s="15"/>
      <c r="Z557" s="6"/>
      <c r="AA557" s="6"/>
      <c r="AB557" s="5"/>
      <c r="AC557" s="3"/>
      <c r="AD557" s="6">
        <v>0.2127646</v>
      </c>
      <c r="AE557" s="6">
        <v>0.359097</v>
      </c>
      <c r="AF557" s="7">
        <v>488.98188</v>
      </c>
      <c r="AG557" s="6">
        <v>0.018811400000000006</v>
      </c>
      <c r="AH557" s="7">
        <v>0</v>
      </c>
      <c r="AI557" s="15">
        <v>0.590673</v>
      </c>
      <c r="AJ557" s="6">
        <v>6.604125670840787</v>
      </c>
      <c r="AK557" s="3"/>
      <c r="AL557" s="6">
        <v>180.34713371673712</v>
      </c>
      <c r="AM557" s="6">
        <v>45.102003573076914</v>
      </c>
      <c r="AN557" s="6">
        <v>87.18585280713326</v>
      </c>
      <c r="AO557" s="6">
        <v>33.45333154202785</v>
      </c>
      <c r="AP557" s="6">
        <v>14.605945794499107</v>
      </c>
      <c r="AQ557" s="6">
        <v>0</v>
      </c>
      <c r="AR557" s="6">
        <v>0</v>
      </c>
      <c r="AS557" s="6">
        <v>0</v>
      </c>
      <c r="AT557" s="6">
        <v>0</v>
      </c>
      <c r="AU557" s="6">
        <v>0</v>
      </c>
      <c r="AV557" s="6">
        <v>0</v>
      </c>
      <c r="AW557" s="6">
        <v>0</v>
      </c>
      <c r="AX557" s="6">
        <v>0</v>
      </c>
      <c r="AY557" s="6">
        <v>0</v>
      </c>
      <c r="AZ557" s="6">
        <v>0</v>
      </c>
      <c r="BA557" s="6">
        <v>0</v>
      </c>
      <c r="BB557" s="6">
        <v>0</v>
      </c>
      <c r="BC557" s="6"/>
      <c r="BD557" s="3"/>
      <c r="BE557" s="3"/>
      <c r="BF557" s="7">
        <v>1613.024763962497</v>
      </c>
    </row>
    <row x14ac:dyDescent="0.25" r="558" customHeight="1" ht="12.75">
      <c r="A558" s="5" t="s">
        <v>850</v>
      </c>
      <c r="B558" s="3" t="s">
        <v>855</v>
      </c>
      <c r="C558" s="3" t="s">
        <v>869</v>
      </c>
      <c r="D558" s="3"/>
      <c r="E558" s="3"/>
      <c r="F558" s="6">
        <f>100*SUM(AM558:AO558)/AL558</f>
      </c>
      <c r="G558" s="6">
        <f>100*SUM(AP558)/AL558</f>
      </c>
      <c r="H558" s="6">
        <f>100*SUM(AQ558)/AL558</f>
      </c>
      <c r="I558" s="6">
        <f>100*SUM(AR558:BC558)/AL558</f>
      </c>
      <c r="J558" s="3"/>
      <c r="K558" s="6">
        <v>0.562</v>
      </c>
      <c r="L558" s="6"/>
      <c r="M558" s="6">
        <v>1.4</v>
      </c>
      <c r="N558" s="6">
        <v>36.4</v>
      </c>
      <c r="O558" s="6"/>
      <c r="P558" s="6"/>
      <c r="Q558" s="7"/>
      <c r="R558" s="6"/>
      <c r="S558" s="6"/>
      <c r="T558" s="6">
        <v>0.5</v>
      </c>
      <c r="U558" s="5"/>
      <c r="V558" s="6"/>
      <c r="W558" s="6"/>
      <c r="X558" s="6"/>
      <c r="Y558" s="15"/>
      <c r="Z558" s="6"/>
      <c r="AA558" s="6"/>
      <c r="AB558" s="5"/>
      <c r="AC558" s="3"/>
      <c r="AD558" s="6">
        <v>0</v>
      </c>
      <c r="AE558" s="6">
        <v>0.007868</v>
      </c>
      <c r="AF558" s="7">
        <v>20.4568</v>
      </c>
      <c r="AG558" s="6">
        <v>0</v>
      </c>
      <c r="AH558" s="7">
        <v>0</v>
      </c>
      <c r="AI558" s="15">
        <v>0.007868</v>
      </c>
      <c r="AJ558" s="6">
        <v>1.4</v>
      </c>
      <c r="AK558" s="3"/>
      <c r="AL558" s="6">
        <v>57.574488662379416</v>
      </c>
      <c r="AM558" s="6">
        <v>0</v>
      </c>
      <c r="AN558" s="6">
        <v>30.401433999999995</v>
      </c>
      <c r="AO558" s="6">
        <v>22.273054662379423</v>
      </c>
      <c r="AP558" s="6">
        <v>0</v>
      </c>
      <c r="AQ558" s="6">
        <v>0</v>
      </c>
      <c r="AR558" s="6">
        <v>0</v>
      </c>
      <c r="AS558" s="6">
        <v>0</v>
      </c>
      <c r="AT558" s="6">
        <v>0</v>
      </c>
      <c r="AU558" s="6">
        <v>4.9</v>
      </c>
      <c r="AV558" s="6">
        <v>0</v>
      </c>
      <c r="AW558" s="6">
        <v>0</v>
      </c>
      <c r="AX558" s="6">
        <v>0</v>
      </c>
      <c r="AY558" s="6">
        <v>0</v>
      </c>
      <c r="AZ558" s="6">
        <v>0</v>
      </c>
      <c r="BA558" s="6">
        <v>0</v>
      </c>
      <c r="BB558" s="6">
        <v>0</v>
      </c>
      <c r="BC558" s="6"/>
      <c r="BD558" s="3"/>
      <c r="BE558" s="3"/>
      <c r="BF558" s="7">
        <v>32.35686262825723</v>
      </c>
    </row>
    <row x14ac:dyDescent="0.25" r="559" customHeight="1" ht="12.75">
      <c r="A559" s="5" t="s">
        <v>606</v>
      </c>
      <c r="B559" s="3" t="s">
        <v>855</v>
      </c>
      <c r="C559" s="3" t="s">
        <v>869</v>
      </c>
      <c r="D559" s="3"/>
      <c r="E559" s="3"/>
      <c r="F559" s="6">
        <f>100*SUM(AM559:AO559)/AL559</f>
      </c>
      <c r="G559" s="6">
        <f>100*SUM(AP559)/AL559</f>
      </c>
      <c r="H559" s="6">
        <f>100*SUM(AQ559)/AL559</f>
      </c>
      <c r="I559" s="6">
        <f>100*SUM(AR559:BC559)/AL559</f>
      </c>
      <c r="J559" s="3"/>
      <c r="K559" s="6">
        <v>11.049999999999999</v>
      </c>
      <c r="L559" s="6">
        <v>1.9894932126696834</v>
      </c>
      <c r="M559" s="6">
        <v>2.1031493212669683</v>
      </c>
      <c r="N559" s="7">
        <v>53.52125791855204</v>
      </c>
      <c r="O559" s="6">
        <v>0.18961085972850678</v>
      </c>
      <c r="P559" s="6"/>
      <c r="Q559" s="7"/>
      <c r="R559" s="6"/>
      <c r="S559" s="6"/>
      <c r="T559" s="6"/>
      <c r="U559" s="5"/>
      <c r="V559" s="6"/>
      <c r="W559" s="6"/>
      <c r="X559" s="6"/>
      <c r="Y559" s="15"/>
      <c r="Z559" s="6"/>
      <c r="AA559" s="6"/>
      <c r="AB559" s="5"/>
      <c r="AC559" s="3"/>
      <c r="AD559" s="6">
        <v>0.21983899999999998</v>
      </c>
      <c r="AE559" s="6">
        <v>0.232398</v>
      </c>
      <c r="AF559" s="7">
        <v>591.4099</v>
      </c>
      <c r="AG559" s="6">
        <v>0.020952</v>
      </c>
      <c r="AH559" s="7">
        <v>0</v>
      </c>
      <c r="AI559" s="15">
        <v>0.47318899999999997</v>
      </c>
      <c r="AJ559" s="6">
        <v>4.282253393665159</v>
      </c>
      <c r="AK559" s="3"/>
      <c r="AL559" s="6">
        <v>129.3074654512584</v>
      </c>
      <c r="AM559" s="6">
        <v>37.71991593520362</v>
      </c>
      <c r="AN559" s="6">
        <v>45.67053948760181</v>
      </c>
      <c r="AO559" s="6">
        <v>32.74950283569278</v>
      </c>
      <c r="AP559" s="6">
        <v>13.16750719276018</v>
      </c>
      <c r="AQ559" s="6">
        <v>0</v>
      </c>
      <c r="AR559" s="6">
        <v>0</v>
      </c>
      <c r="AS559" s="6">
        <v>0</v>
      </c>
      <c r="AT559" s="6">
        <v>0</v>
      </c>
      <c r="AU559" s="6">
        <v>0</v>
      </c>
      <c r="AV559" s="6">
        <v>0</v>
      </c>
      <c r="AW559" s="6">
        <v>0</v>
      </c>
      <c r="AX559" s="6">
        <v>0</v>
      </c>
      <c r="AY559" s="6">
        <v>0</v>
      </c>
      <c r="AZ559" s="6">
        <v>0</v>
      </c>
      <c r="BA559" s="6">
        <v>0</v>
      </c>
      <c r="BB559" s="6">
        <v>0</v>
      </c>
      <c r="BC559" s="6"/>
      <c r="BD559" s="3"/>
      <c r="BE559" s="3"/>
      <c r="BF559" s="7">
        <v>1428.8474932364052</v>
      </c>
    </row>
    <row x14ac:dyDescent="0.25" r="560" customHeight="1" ht="12.75">
      <c r="A560" s="5" t="s">
        <v>433</v>
      </c>
      <c r="B560" s="3" t="s">
        <v>855</v>
      </c>
      <c r="C560" s="3" t="s">
        <v>869</v>
      </c>
      <c r="D560" s="3"/>
      <c r="E560" s="3"/>
      <c r="F560" s="6">
        <f>100*SUM(AM560:AO560)/AL560</f>
      </c>
      <c r="G560" s="6">
        <f>100*SUM(AP560)/AL560</f>
      </c>
      <c r="H560" s="6">
        <f>100*SUM(AQ560)/AL560</f>
      </c>
      <c r="I560" s="6">
        <f>100*SUM(AR560:BC560)/AL560</f>
      </c>
      <c r="J560" s="3"/>
      <c r="K560" s="6">
        <v>16.73</v>
      </c>
      <c r="L560" s="6">
        <v>0.6382785415421398</v>
      </c>
      <c r="M560" s="7">
        <v>5.085774058577406</v>
      </c>
      <c r="N560" s="31">
        <v>23.463419007770472</v>
      </c>
      <c r="O560" s="7">
        <v>0.2321637776449492</v>
      </c>
      <c r="P560" s="6"/>
      <c r="Q560" s="7"/>
      <c r="R560" s="6"/>
      <c r="S560" s="6"/>
      <c r="T560" s="6"/>
      <c r="U560" s="5"/>
      <c r="V560" s="6"/>
      <c r="W560" s="6"/>
      <c r="X560" s="6"/>
      <c r="Y560" s="15"/>
      <c r="Z560" s="6"/>
      <c r="AA560" s="6"/>
      <c r="AB560" s="5"/>
      <c r="AC560" s="3"/>
      <c r="AD560" s="6">
        <v>0.106784</v>
      </c>
      <c r="AE560" s="6">
        <v>0.8508500000000001</v>
      </c>
      <c r="AF560" s="7">
        <v>392.543</v>
      </c>
      <c r="AG560" s="6">
        <v>0.038841</v>
      </c>
      <c r="AH560" s="7">
        <v>0</v>
      </c>
      <c r="AI560" s="15">
        <v>0.9964750000000001</v>
      </c>
      <c r="AJ560" s="6">
        <v>5.956216377764495</v>
      </c>
      <c r="AK560" s="3"/>
      <c r="AL560" s="6">
        <v>153.02042908950824</v>
      </c>
      <c r="AM560" s="6">
        <v>12.101480305080692</v>
      </c>
      <c r="AN560" s="6">
        <v>110.43916027196653</v>
      </c>
      <c r="AO560" s="6">
        <v>14.357198190285278</v>
      </c>
      <c r="AP560" s="6">
        <v>16.122590322175732</v>
      </c>
      <c r="AQ560" s="6">
        <v>0</v>
      </c>
      <c r="AR560" s="6">
        <v>0</v>
      </c>
      <c r="AS560" s="6">
        <v>0</v>
      </c>
      <c r="AT560" s="6">
        <v>0</v>
      </c>
      <c r="AU560" s="6">
        <v>0</v>
      </c>
      <c r="AV560" s="6">
        <v>0</v>
      </c>
      <c r="AW560" s="6">
        <v>0</v>
      </c>
      <c r="AX560" s="6">
        <v>0</v>
      </c>
      <c r="AY560" s="6">
        <v>0</v>
      </c>
      <c r="AZ560" s="6">
        <v>0</v>
      </c>
      <c r="BA560" s="6">
        <v>0</v>
      </c>
      <c r="BB560" s="6">
        <v>0</v>
      </c>
      <c r="BC560" s="6"/>
      <c r="BD560" s="3"/>
      <c r="BE560" s="3"/>
      <c r="BF560" s="7">
        <v>2560.0317786674727</v>
      </c>
    </row>
    <row x14ac:dyDescent="0.25" r="561" customHeight="1" ht="12.75">
      <c r="A561" s="5" t="s">
        <v>216</v>
      </c>
      <c r="B561" s="3" t="s">
        <v>855</v>
      </c>
      <c r="C561" s="3" t="s">
        <v>869</v>
      </c>
      <c r="D561" s="3"/>
      <c r="E561" s="3"/>
      <c r="F561" s="6">
        <f>100*SUM(AM561:AO561)/AL561</f>
      </c>
      <c r="G561" s="6">
        <f>100*SUM(AP561)/AL561</f>
      </c>
      <c r="H561" s="6">
        <f>100*SUM(AQ561)/AL561</f>
      </c>
      <c r="I561" s="6">
        <f>100*SUM(AR561:BC561)/AL561</f>
      </c>
      <c r="J561" s="3"/>
      <c r="K561" s="23">
        <v>40.972762</v>
      </c>
      <c r="L561" s="6">
        <v>0.89</v>
      </c>
      <c r="M561" s="6">
        <v>4.64</v>
      </c>
      <c r="N561" s="7">
        <v>60.334</v>
      </c>
      <c r="O561" s="6">
        <v>0.27</v>
      </c>
      <c r="P561" s="6"/>
      <c r="Q561" s="7"/>
      <c r="R561" s="6"/>
      <c r="S561" s="6"/>
      <c r="T561" s="6"/>
      <c r="U561" s="5"/>
      <c r="V561" s="6"/>
      <c r="W561" s="6"/>
      <c r="X561" s="6"/>
      <c r="Y561" s="15"/>
      <c r="Z561" s="6"/>
      <c r="AA561" s="6"/>
      <c r="AB561" s="5"/>
      <c r="AC561" s="3"/>
      <c r="AD561" s="6">
        <v>0.3646575818</v>
      </c>
      <c r="AE561" s="6">
        <v>1.9011361568</v>
      </c>
      <c r="AF561" s="7">
        <v>2472.0506225080003</v>
      </c>
      <c r="AG561" s="6">
        <v>0.1106264574</v>
      </c>
      <c r="AH561" s="7">
        <v>0</v>
      </c>
      <c r="AI561" s="15">
        <v>2.376420196</v>
      </c>
      <c r="AJ561" s="6">
        <v>5.799999999999999</v>
      </c>
      <c r="AK561" s="3"/>
      <c r="AL561" s="6">
        <v>173.3013698</v>
      </c>
      <c r="AM561" s="6">
        <v>16.874008399999997</v>
      </c>
      <c r="AN561" s="6">
        <v>100.7590384</v>
      </c>
      <c r="AO561" s="6">
        <v>36.918200000000006</v>
      </c>
      <c r="AP561" s="6">
        <v>18.750123000000002</v>
      </c>
      <c r="AQ561" s="6">
        <v>0</v>
      </c>
      <c r="AR561" s="6">
        <v>0</v>
      </c>
      <c r="AS561" s="6">
        <v>0</v>
      </c>
      <c r="AT561" s="6">
        <v>0</v>
      </c>
      <c r="AU561" s="6">
        <v>0</v>
      </c>
      <c r="AV561" s="6">
        <v>0</v>
      </c>
      <c r="AW561" s="6">
        <v>0</v>
      </c>
      <c r="AX561" s="6">
        <v>0</v>
      </c>
      <c r="AY561" s="6">
        <v>0</v>
      </c>
      <c r="AZ561" s="6">
        <v>0</v>
      </c>
      <c r="BA561" s="6">
        <v>0</v>
      </c>
      <c r="BB561" s="6">
        <v>0</v>
      </c>
      <c r="BC561" s="6"/>
      <c r="BD561" s="3"/>
      <c r="BE561" s="3"/>
      <c r="BF561" s="7">
        <v>7100.635779089388</v>
      </c>
    </row>
    <row x14ac:dyDescent="0.25" r="562" customHeight="1" ht="12.75">
      <c r="A562" s="5" t="s">
        <v>436</v>
      </c>
      <c r="B562" s="3" t="s">
        <v>855</v>
      </c>
      <c r="C562" s="3" t="s">
        <v>869</v>
      </c>
      <c r="D562" s="3"/>
      <c r="E562" s="3"/>
      <c r="F562" s="6">
        <f>100*SUM(AM562:AO562)/AL562</f>
      </c>
      <c r="G562" s="6">
        <f>100*SUM(AP562)/AL562</f>
      </c>
      <c r="H562" s="6">
        <f>100*SUM(AQ562)/AL562</f>
      </c>
      <c r="I562" s="6">
        <f>100*SUM(AR562:BC562)/AL562</f>
      </c>
      <c r="J562" s="3"/>
      <c r="K562" s="6">
        <v>5.075861838541997</v>
      </c>
      <c r="L562" s="6"/>
      <c r="M562" s="6">
        <v>7.484443274545932</v>
      </c>
      <c r="N562" s="7">
        <v>150.0084232692814</v>
      </c>
      <c r="O562" s="6"/>
      <c r="P562" s="7">
        <v>0.7886285864701236</v>
      </c>
      <c r="Q562" s="7"/>
      <c r="R562" s="6"/>
      <c r="S562" s="6"/>
      <c r="T562" s="6"/>
      <c r="U562" s="5"/>
      <c r="V562" s="6"/>
      <c r="W562" s="6"/>
      <c r="X562" s="6"/>
      <c r="Y562" s="15"/>
      <c r="Z562" s="6"/>
      <c r="AA562" s="6"/>
      <c r="AB562" s="5"/>
      <c r="AC562" s="3"/>
      <c r="AD562" s="6">
        <v>0</v>
      </c>
      <c r="AE562" s="6">
        <v>0.3799</v>
      </c>
      <c r="AF562" s="7">
        <v>761.4220311324008</v>
      </c>
      <c r="AG562" s="6">
        <v>0</v>
      </c>
      <c r="AH562" s="7">
        <v>4.002969746847018</v>
      </c>
      <c r="AI562" s="15">
        <v>0.3799</v>
      </c>
      <c r="AJ562" s="6">
        <v>7.484443274545932</v>
      </c>
      <c r="AK562" s="3"/>
      <c r="AL562" s="6">
        <v>286.52117307490295</v>
      </c>
      <c r="AM562" s="6">
        <v>0</v>
      </c>
      <c r="AN562" s="6">
        <v>162.52700588418003</v>
      </c>
      <c r="AO562" s="6">
        <v>91.78972009049599</v>
      </c>
      <c r="AP562" s="6">
        <v>0</v>
      </c>
      <c r="AQ562" s="6">
        <v>32.204447100226915</v>
      </c>
      <c r="AR562" s="6">
        <v>0</v>
      </c>
      <c r="AS562" s="6">
        <v>0</v>
      </c>
      <c r="AT562" s="6">
        <v>0</v>
      </c>
      <c r="AU562" s="6">
        <v>0</v>
      </c>
      <c r="AV562" s="6">
        <v>0</v>
      </c>
      <c r="AW562" s="6">
        <v>0</v>
      </c>
      <c r="AX562" s="6">
        <v>0</v>
      </c>
      <c r="AY562" s="6">
        <v>0</v>
      </c>
      <c r="AZ562" s="6">
        <v>0</v>
      </c>
      <c r="BA562" s="6">
        <v>0</v>
      </c>
      <c r="BB562" s="6">
        <v>0</v>
      </c>
      <c r="BC562" s="6"/>
      <c r="BD562" s="3"/>
      <c r="BE562" s="3"/>
      <c r="BF562" s="7">
        <v>1454.3418883451866</v>
      </c>
    </row>
    <row x14ac:dyDescent="0.25" r="563" customHeight="1" ht="12.75">
      <c r="A563" s="5" t="s">
        <v>563</v>
      </c>
      <c r="B563" s="3" t="s">
        <v>855</v>
      </c>
      <c r="C563" s="3" t="s">
        <v>869</v>
      </c>
      <c r="D563" s="3"/>
      <c r="E563" s="3"/>
      <c r="F563" s="6">
        <f>100*SUM(AM563:AO563)/AL563</f>
      </c>
      <c r="G563" s="6">
        <f>100*SUM(AP563)/AL563</f>
      </c>
      <c r="H563" s="6">
        <f>100*SUM(AQ563)/AL563</f>
      </c>
      <c r="I563" s="6">
        <f>100*SUM(AR563:BC563)/AL563</f>
      </c>
      <c r="J563" s="3"/>
      <c r="K563" s="6">
        <v>6.142</v>
      </c>
      <c r="L563" s="6">
        <v>0.55</v>
      </c>
      <c r="M563" s="6">
        <v>6.11</v>
      </c>
      <c r="N563" s="7">
        <v>40.25</v>
      </c>
      <c r="O563" s="6">
        <v>0.32</v>
      </c>
      <c r="P563" s="6"/>
      <c r="Q563" s="7"/>
      <c r="R563" s="6"/>
      <c r="S563" s="6"/>
      <c r="T563" s="6"/>
      <c r="U563" s="5"/>
      <c r="V563" s="6"/>
      <c r="W563" s="6"/>
      <c r="X563" s="6"/>
      <c r="Y563" s="15"/>
      <c r="Z563" s="6"/>
      <c r="AA563" s="6"/>
      <c r="AB563" s="5"/>
      <c r="AC563" s="3"/>
      <c r="AD563" s="6">
        <v>0.033781000000000005</v>
      </c>
      <c r="AE563" s="6">
        <v>0.37527620000000006</v>
      </c>
      <c r="AF563" s="7">
        <v>247.21550000000002</v>
      </c>
      <c r="AG563" s="6">
        <v>0.019654400000000002</v>
      </c>
      <c r="AH563" s="7">
        <v>0</v>
      </c>
      <c r="AI563" s="15">
        <v>0.4287116000000001</v>
      </c>
      <c r="AJ563" s="6">
        <v>6.98</v>
      </c>
      <c r="AK563" s="3"/>
      <c r="AL563" s="6">
        <v>189.95952862090033</v>
      </c>
      <c r="AM563" s="6">
        <v>10.427758</v>
      </c>
      <c r="AN563" s="6">
        <v>132.6805441</v>
      </c>
      <c r="AO563" s="6">
        <v>24.628858520900327</v>
      </c>
      <c r="AP563" s="6">
        <v>22.222368</v>
      </c>
      <c r="AQ563" s="6">
        <v>0</v>
      </c>
      <c r="AR563" s="6">
        <v>0</v>
      </c>
      <c r="AS563" s="6">
        <v>0</v>
      </c>
      <c r="AT563" s="6">
        <v>0</v>
      </c>
      <c r="AU563" s="6">
        <v>0</v>
      </c>
      <c r="AV563" s="6">
        <v>0</v>
      </c>
      <c r="AW563" s="6">
        <v>0</v>
      </c>
      <c r="AX563" s="6">
        <v>0</v>
      </c>
      <c r="AY563" s="6">
        <v>0</v>
      </c>
      <c r="AZ563" s="6">
        <v>0</v>
      </c>
      <c r="BA563" s="6">
        <v>0</v>
      </c>
      <c r="BB563" s="6">
        <v>0</v>
      </c>
      <c r="BC563" s="6"/>
      <c r="BD563" s="3"/>
      <c r="BE563" s="3"/>
      <c r="BF563" s="7">
        <v>1166.73142478957</v>
      </c>
    </row>
    <row x14ac:dyDescent="0.25" r="564" customHeight="1" ht="12.75">
      <c r="A564" s="5" t="s">
        <v>753</v>
      </c>
      <c r="B564" s="3" t="s">
        <v>855</v>
      </c>
      <c r="C564" s="3" t="s">
        <v>869</v>
      </c>
      <c r="D564" s="3"/>
      <c r="E564" s="3"/>
      <c r="F564" s="6">
        <f>100*SUM(AM564:AO564)/AL564</f>
      </c>
      <c r="G564" s="6">
        <f>100*SUM(AP564)/AL564</f>
      </c>
      <c r="H564" s="6">
        <f>100*SUM(AQ564)/AL564</f>
      </c>
      <c r="I564" s="6">
        <f>100*SUM(AR564:BC564)/AL564</f>
      </c>
      <c r="J564" s="3"/>
      <c r="K564" s="6">
        <v>0.9</v>
      </c>
      <c r="L564" s="6">
        <v>0.9</v>
      </c>
      <c r="M564" s="6">
        <v>3.4</v>
      </c>
      <c r="N564" s="7">
        <v>16</v>
      </c>
      <c r="O564" s="6">
        <v>0.2</v>
      </c>
      <c r="P564" s="6"/>
      <c r="Q564" s="7"/>
      <c r="R564" s="6"/>
      <c r="S564" s="6"/>
      <c r="T564" s="6"/>
      <c r="U564" s="5"/>
      <c r="V564" s="6"/>
      <c r="W564" s="6"/>
      <c r="X564" s="6"/>
      <c r="Y564" s="15"/>
      <c r="Z564" s="6"/>
      <c r="AA564" s="6"/>
      <c r="AB564" s="5"/>
      <c r="AC564" s="3"/>
      <c r="AD564" s="6">
        <v>0.008100000000000001</v>
      </c>
      <c r="AE564" s="6">
        <v>0.030600000000000002</v>
      </c>
      <c r="AF564" s="7">
        <v>14.4</v>
      </c>
      <c r="AG564" s="6">
        <v>0.0018000000000000002</v>
      </c>
      <c r="AH564" s="7">
        <v>0</v>
      </c>
      <c r="AI564" s="15">
        <v>0.04050000000000001</v>
      </c>
      <c r="AJ564" s="6">
        <v>4.5</v>
      </c>
      <c r="AK564" s="3"/>
      <c r="AL564" s="6">
        <v>114.5749916977492</v>
      </c>
      <c r="AM564" s="6">
        <v>17.063604</v>
      </c>
      <c r="AN564" s="6">
        <v>73.832054</v>
      </c>
      <c r="AO564" s="6">
        <v>9.790353697749197</v>
      </c>
      <c r="AP564" s="6">
        <v>13.88898</v>
      </c>
      <c r="AQ564" s="6">
        <v>0</v>
      </c>
      <c r="AR564" s="6">
        <v>0</v>
      </c>
      <c r="AS564" s="6">
        <v>0</v>
      </c>
      <c r="AT564" s="6">
        <v>0</v>
      </c>
      <c r="AU564" s="6">
        <v>0</v>
      </c>
      <c r="AV564" s="6">
        <v>0</v>
      </c>
      <c r="AW564" s="6">
        <v>0</v>
      </c>
      <c r="AX564" s="6">
        <v>0</v>
      </c>
      <c r="AY564" s="6">
        <v>0</v>
      </c>
      <c r="AZ564" s="6">
        <v>0</v>
      </c>
      <c r="BA564" s="6">
        <v>0</v>
      </c>
      <c r="BB564" s="6">
        <v>0</v>
      </c>
      <c r="BC564" s="6"/>
      <c r="BD564" s="3"/>
      <c r="BE564" s="3"/>
      <c r="BF564" s="7">
        <v>103.11749252797428</v>
      </c>
    </row>
    <row x14ac:dyDescent="0.25" r="565" customHeight="1" ht="12.75">
      <c r="A565" s="5" t="s">
        <v>578</v>
      </c>
      <c r="B565" s="3" t="s">
        <v>855</v>
      </c>
      <c r="C565" s="3" t="s">
        <v>869</v>
      </c>
      <c r="D565" s="3"/>
      <c r="E565" s="3"/>
      <c r="F565" s="6">
        <f>100*SUM(AM565:AO565)/AL565</f>
      </c>
      <c r="G565" s="6">
        <f>100*SUM(AP565)/AL565</f>
      </c>
      <c r="H565" s="6">
        <f>100*SUM(AQ565)/AL565</f>
      </c>
      <c r="I565" s="6">
        <f>100*SUM(AR565:BC565)/AL565</f>
      </c>
      <c r="J565" s="3"/>
      <c r="K565" s="6">
        <v>23.243</v>
      </c>
      <c r="L565" s="6">
        <v>0.6444340231467539</v>
      </c>
      <c r="M565" s="6">
        <v>1.3603897947769221</v>
      </c>
      <c r="N565" s="7">
        <v>60.75797014154801</v>
      </c>
      <c r="O565" s="6">
        <v>0.08831562190767113</v>
      </c>
      <c r="P565" s="6">
        <v>0.11741685668803511</v>
      </c>
      <c r="Q565" s="7"/>
      <c r="R565" s="6"/>
      <c r="S565" s="6"/>
      <c r="T565" s="6"/>
      <c r="U565" s="5"/>
      <c r="V565" s="6"/>
      <c r="W565" s="6"/>
      <c r="X565" s="6"/>
      <c r="Y565" s="15"/>
      <c r="Z565" s="6"/>
      <c r="AA565" s="6"/>
      <c r="AB565" s="5"/>
      <c r="AC565" s="3"/>
      <c r="AD565" s="6">
        <v>0.1497858</v>
      </c>
      <c r="AE565" s="6">
        <v>0.3161954</v>
      </c>
      <c r="AF565" s="7">
        <v>1412.1975000000002</v>
      </c>
      <c r="AG565" s="6">
        <v>0.0205272</v>
      </c>
      <c r="AH565" s="7">
        <v>2.72912</v>
      </c>
      <c r="AI565" s="15">
        <v>0.4865084</v>
      </c>
      <c r="AJ565" s="6">
        <v>2.093139439831347</v>
      </c>
      <c r="AK565" s="3"/>
      <c r="AL565" s="6">
        <v>89.8650035467128</v>
      </c>
      <c r="AM565" s="6">
        <v>12.218185527892269</v>
      </c>
      <c r="AN565" s="6">
        <v>29.541286114417243</v>
      </c>
      <c r="AO565" s="6">
        <v>37.17762610268999</v>
      </c>
      <c r="AP565" s="6">
        <v>6.13306953181603</v>
      </c>
      <c r="AQ565" s="6">
        <v>4.794836269897254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0</v>
      </c>
      <c r="BA565" s="6">
        <v>0</v>
      </c>
      <c r="BB565" s="6">
        <v>0</v>
      </c>
      <c r="BC565" s="6"/>
      <c r="BD565" s="3"/>
      <c r="BE565" s="3"/>
      <c r="BF565" s="7">
        <v>2088.7322774362456</v>
      </c>
    </row>
    <row x14ac:dyDescent="0.25" r="566" customHeight="1" ht="12.75">
      <c r="A566" s="5" t="s">
        <v>419</v>
      </c>
      <c r="B566" s="3" t="s">
        <v>855</v>
      </c>
      <c r="C566" s="3" t="s">
        <v>869</v>
      </c>
      <c r="D566" s="3"/>
      <c r="E566" s="3"/>
      <c r="F566" s="6">
        <f>100*SUM(AM566:AO566)/AL566</f>
      </c>
      <c r="G566" s="6">
        <f>100*SUM(AP566)/AL566</f>
      </c>
      <c r="H566" s="6">
        <f>100*SUM(AQ566)/AL566</f>
      </c>
      <c r="I566" s="6">
        <f>100*SUM(AR566:BC566)/AL566</f>
      </c>
      <c r="J566" s="3"/>
      <c r="K566" s="23">
        <v>18.093468</v>
      </c>
      <c r="L566" s="6">
        <v>1.37</v>
      </c>
      <c r="M566" s="6">
        <v>3.92</v>
      </c>
      <c r="N566" s="7">
        <v>72.774</v>
      </c>
      <c r="O566" s="6">
        <v>0.34</v>
      </c>
      <c r="P566" s="6"/>
      <c r="Q566" s="7"/>
      <c r="R566" s="6"/>
      <c r="S566" s="6"/>
      <c r="T566" s="6"/>
      <c r="U566" s="5"/>
      <c r="V566" s="6"/>
      <c r="W566" s="6"/>
      <c r="X566" s="6"/>
      <c r="Y566" s="15"/>
      <c r="Z566" s="6"/>
      <c r="AA566" s="6"/>
      <c r="AB566" s="5"/>
      <c r="AC566" s="3"/>
      <c r="AD566" s="6">
        <v>0.24788051160000005</v>
      </c>
      <c r="AE566" s="6">
        <v>0.7092639456000001</v>
      </c>
      <c r="AF566" s="7">
        <v>1316.734040232</v>
      </c>
      <c r="AG566" s="6">
        <v>0.061517791200000005</v>
      </c>
      <c r="AH566" s="7">
        <v>0</v>
      </c>
      <c r="AI566" s="15">
        <v>1.0186622484</v>
      </c>
      <c r="AJ566" s="6">
        <v>5.63</v>
      </c>
      <c r="AK566" s="3"/>
      <c r="AL566" s="6">
        <v>179.24007840000002</v>
      </c>
      <c r="AM566" s="6">
        <v>25.974597199999998</v>
      </c>
      <c r="AN566" s="6">
        <v>85.1240152</v>
      </c>
      <c r="AO566" s="6">
        <v>44.53020000000001</v>
      </c>
      <c r="AP566" s="6">
        <v>23.611266</v>
      </c>
      <c r="AQ566" s="6">
        <v>0</v>
      </c>
      <c r="AR566" s="6">
        <v>0</v>
      </c>
      <c r="AS566" s="6">
        <v>0</v>
      </c>
      <c r="AT566" s="6">
        <v>0</v>
      </c>
      <c r="AU566" s="6">
        <v>0</v>
      </c>
      <c r="AV566" s="6">
        <v>0</v>
      </c>
      <c r="AW566" s="6">
        <v>0</v>
      </c>
      <c r="AX566" s="6">
        <v>0</v>
      </c>
      <c r="AY566" s="6">
        <v>0</v>
      </c>
      <c r="AZ566" s="6">
        <v>0</v>
      </c>
      <c r="BA566" s="6">
        <v>0</v>
      </c>
      <c r="BB566" s="6">
        <v>0</v>
      </c>
      <c r="BC566" s="6"/>
      <c r="BD566" s="3"/>
      <c r="BE566" s="3"/>
      <c r="BF566" s="7">
        <v>3243.0746228478915</v>
      </c>
    </row>
    <row x14ac:dyDescent="0.25" r="567" customHeight="1" ht="12.75">
      <c r="A567" s="5" t="s">
        <v>764</v>
      </c>
      <c r="B567" s="3" t="s">
        <v>855</v>
      </c>
      <c r="C567" s="3" t="s">
        <v>869</v>
      </c>
      <c r="D567" s="3"/>
      <c r="E567" s="3"/>
      <c r="F567" s="6">
        <f>100*SUM(AM567:AO567)/AL567</f>
      </c>
      <c r="G567" s="6">
        <f>100*SUM(AP567)/AL567</f>
      </c>
      <c r="H567" s="6">
        <f>100*SUM(AQ567)/AL567</f>
      </c>
      <c r="I567" s="6">
        <f>100*SUM(AR567:BC567)/AL567</f>
      </c>
      <c r="J567" s="3"/>
      <c r="K567" s="6">
        <v>4.445</v>
      </c>
      <c r="L567" s="6">
        <v>0.8147199100112485</v>
      </c>
      <c r="M567" s="6">
        <v>1.6047064116985377</v>
      </c>
      <c r="N567" s="7">
        <v>92.21230596175478</v>
      </c>
      <c r="O567" s="6">
        <v>0.26320359955005623</v>
      </c>
      <c r="P567" s="6"/>
      <c r="Q567" s="7"/>
      <c r="R567" s="6"/>
      <c r="S567" s="6"/>
      <c r="T567" s="6"/>
      <c r="U567" s="5"/>
      <c r="V567" s="6"/>
      <c r="W567" s="6"/>
      <c r="X567" s="6"/>
      <c r="Y567" s="15"/>
      <c r="Z567" s="6"/>
      <c r="AA567" s="6"/>
      <c r="AB567" s="5"/>
      <c r="AC567" s="3"/>
      <c r="AD567" s="6">
        <v>0.036214300000000005</v>
      </c>
      <c r="AE567" s="6">
        <v>0.07132920000000001</v>
      </c>
      <c r="AF567" s="7">
        <v>409.88370000000003</v>
      </c>
      <c r="AG567" s="6">
        <v>0.0116994</v>
      </c>
      <c r="AH567" s="7">
        <v>0</v>
      </c>
      <c r="AI567" s="15">
        <v>0.11924290000000001</v>
      </c>
      <c r="AJ567" s="6">
        <v>2.6826299212598426</v>
      </c>
      <c r="AK567" s="3"/>
      <c r="AL567" s="6">
        <v>124.99601902213334</v>
      </c>
      <c r="AM567" s="6">
        <v>15.446731017052866</v>
      </c>
      <c r="AN567" s="6">
        <v>34.84669718902137</v>
      </c>
      <c r="AO567" s="6">
        <v>56.424443165665394</v>
      </c>
      <c r="AP567" s="6">
        <v>18.2781476503937</v>
      </c>
      <c r="AQ567" s="6">
        <v>0</v>
      </c>
      <c r="AR567" s="6">
        <v>0</v>
      </c>
      <c r="AS567" s="6">
        <v>0</v>
      </c>
      <c r="AT567" s="6">
        <v>0</v>
      </c>
      <c r="AU567" s="6">
        <v>0</v>
      </c>
      <c r="AV567" s="6">
        <v>0</v>
      </c>
      <c r="AW567" s="6">
        <v>0</v>
      </c>
      <c r="AX567" s="6">
        <v>0</v>
      </c>
      <c r="AY567" s="6">
        <v>0</v>
      </c>
      <c r="AZ567" s="6">
        <v>0</v>
      </c>
      <c r="BA567" s="6">
        <v>0</v>
      </c>
      <c r="BB567" s="6">
        <v>0</v>
      </c>
      <c r="BC567" s="6"/>
      <c r="BD567" s="3"/>
      <c r="BE567" s="3"/>
      <c r="BF567" s="7">
        <v>555.6073045533827</v>
      </c>
    </row>
    <row x14ac:dyDescent="0.25" r="568" customHeight="1" ht="12.75">
      <c r="A568" s="5" t="s">
        <v>242</v>
      </c>
      <c r="B568" s="3" t="s">
        <v>855</v>
      </c>
      <c r="C568" s="3" t="s">
        <v>869</v>
      </c>
      <c r="D568" s="3"/>
      <c r="E568" s="3"/>
      <c r="F568" s="6">
        <f>100*SUM(AM568:AO568)/AL568</f>
      </c>
      <c r="G568" s="6">
        <f>100*SUM(AP568)/AL568</f>
      </c>
      <c r="H568" s="6">
        <f>100*SUM(AQ568)/AL568</f>
      </c>
      <c r="I568" s="6">
        <f>100*SUM(AR568:BC568)/AL568</f>
      </c>
      <c r="J568" s="3"/>
      <c r="K568" s="6">
        <v>49.4</v>
      </c>
      <c r="L568" s="6">
        <v>0.4</v>
      </c>
      <c r="M568" s="6">
        <v>4.1</v>
      </c>
      <c r="N568" s="6">
        <v>23.9</v>
      </c>
      <c r="O568" s="6"/>
      <c r="P568" s="6">
        <v>0.5</v>
      </c>
      <c r="Q568" s="7"/>
      <c r="R568" s="6"/>
      <c r="S568" s="6"/>
      <c r="T568" s="6"/>
      <c r="U568" s="5"/>
      <c r="V568" s="6"/>
      <c r="W568" s="6"/>
      <c r="X568" s="6"/>
      <c r="Y568" s="15"/>
      <c r="Z568" s="6"/>
      <c r="AA568" s="6"/>
      <c r="AB568" s="5"/>
      <c r="AC568" s="3"/>
      <c r="AD568" s="6">
        <v>0.19760000000000003</v>
      </c>
      <c r="AE568" s="6">
        <v>2.0253999999999994</v>
      </c>
      <c r="AF568" s="7">
        <v>1180.6599999999999</v>
      </c>
      <c r="AG568" s="6">
        <v>0</v>
      </c>
      <c r="AH568" s="7">
        <v>24.7</v>
      </c>
      <c r="AI568" s="15">
        <v>2.2229999999999994</v>
      </c>
      <c r="AJ568" s="6">
        <v>4.5</v>
      </c>
      <c r="AK568" s="3"/>
      <c r="AL568" s="6">
        <v>131.658942266881</v>
      </c>
      <c r="AM568" s="6">
        <v>7.583824</v>
      </c>
      <c r="AN568" s="6">
        <v>89.03277099999998</v>
      </c>
      <c r="AO568" s="6">
        <v>14.624340836012863</v>
      </c>
      <c r="AP568" s="6">
        <v>0</v>
      </c>
      <c r="AQ568" s="6">
        <v>20.418006430868168</v>
      </c>
      <c r="AR568" s="6">
        <v>0</v>
      </c>
      <c r="AS568" s="6">
        <v>0</v>
      </c>
      <c r="AT568" s="6">
        <v>0</v>
      </c>
      <c r="AU568" s="6">
        <v>0</v>
      </c>
      <c r="AV568" s="6">
        <v>0</v>
      </c>
      <c r="AW568" s="6">
        <v>0</v>
      </c>
      <c r="AX568" s="6">
        <v>0</v>
      </c>
      <c r="AY568" s="6">
        <v>0</v>
      </c>
      <c r="AZ568" s="6">
        <v>0</v>
      </c>
      <c r="BA568" s="6">
        <v>0</v>
      </c>
      <c r="BB568" s="6">
        <v>0</v>
      </c>
      <c r="BC568" s="6"/>
      <c r="BD568" s="3"/>
      <c r="BE568" s="3"/>
      <c r="BF568" s="7">
        <v>6503.951747983921</v>
      </c>
    </row>
    <row x14ac:dyDescent="0.25" r="569" customHeight="1" ht="12.75">
      <c r="A569" s="5" t="s">
        <v>335</v>
      </c>
      <c r="B569" s="3" t="s">
        <v>855</v>
      </c>
      <c r="C569" s="3" t="s">
        <v>869</v>
      </c>
      <c r="D569" s="3"/>
      <c r="E569" s="3"/>
      <c r="F569" s="6">
        <f>100*SUM(AM569:AO569)/AL569</f>
      </c>
      <c r="G569" s="6">
        <f>100*SUM(AP569)/AL569</f>
      </c>
      <c r="H569" s="6">
        <f>100*SUM(AQ569)/AL569</f>
      </c>
      <c r="I569" s="6">
        <f>100*SUM(AR569:BC569)/AL569</f>
      </c>
      <c r="J569" s="3"/>
      <c r="K569" s="6">
        <v>29.938</v>
      </c>
      <c r="L569" s="6">
        <v>0.48</v>
      </c>
      <c r="M569" s="6">
        <v>4.21</v>
      </c>
      <c r="N569" s="6">
        <v>26.48</v>
      </c>
      <c r="O569" s="6">
        <v>0.17</v>
      </c>
      <c r="P569" s="6">
        <v>0.25</v>
      </c>
      <c r="Q569" s="7"/>
      <c r="R569" s="6"/>
      <c r="S569" s="6"/>
      <c r="T569" s="6"/>
      <c r="U569" s="5"/>
      <c r="V569" s="6"/>
      <c r="W569" s="6"/>
      <c r="X569" s="6"/>
      <c r="Y569" s="15"/>
      <c r="Z569" s="6"/>
      <c r="AA569" s="6"/>
      <c r="AB569" s="5"/>
      <c r="AC569" s="3"/>
      <c r="AD569" s="6">
        <v>0.14370239999999998</v>
      </c>
      <c r="AE569" s="6">
        <v>1.2603898</v>
      </c>
      <c r="AF569" s="7">
        <v>792.75824</v>
      </c>
      <c r="AG569" s="6">
        <v>0.0508946</v>
      </c>
      <c r="AH569" s="7">
        <v>7.4845</v>
      </c>
      <c r="AI569" s="15">
        <v>1.4549868</v>
      </c>
      <c r="AJ569" s="6">
        <v>4.859999999999999</v>
      </c>
      <c r="AK569" s="3"/>
      <c r="AL569" s="6">
        <v>138.739715485209</v>
      </c>
      <c r="AM569" s="6">
        <v>9.100588799999999</v>
      </c>
      <c r="AN569" s="6">
        <v>91.42145509999999</v>
      </c>
      <c r="AO569" s="6">
        <v>16.203035369774923</v>
      </c>
      <c r="AP569" s="6">
        <v>11.805633</v>
      </c>
      <c r="AQ569" s="6">
        <v>10.209003215434084</v>
      </c>
      <c r="AR569" s="6">
        <v>0</v>
      </c>
      <c r="AS569" s="6">
        <v>0</v>
      </c>
      <c r="AT569" s="6">
        <v>0</v>
      </c>
      <c r="AU569" s="6">
        <v>0</v>
      </c>
      <c r="AV569" s="6">
        <v>0</v>
      </c>
      <c r="AW569" s="6">
        <v>0</v>
      </c>
      <c r="AX569" s="6">
        <v>0</v>
      </c>
      <c r="AY569" s="6">
        <v>0</v>
      </c>
      <c r="AZ569" s="6">
        <v>0</v>
      </c>
      <c r="BA569" s="6">
        <v>0</v>
      </c>
      <c r="BB569" s="6">
        <v>0</v>
      </c>
      <c r="BC569" s="6"/>
      <c r="BD569" s="3"/>
      <c r="BE569" s="3"/>
      <c r="BF569" s="7">
        <v>4153.589602196186</v>
      </c>
    </row>
    <row x14ac:dyDescent="0.25" r="570" customHeight="1" ht="12.75">
      <c r="A570" s="5" t="s">
        <v>812</v>
      </c>
      <c r="B570" s="3" t="s">
        <v>855</v>
      </c>
      <c r="C570" s="3" t="s">
        <v>869</v>
      </c>
      <c r="D570" s="3"/>
      <c r="E570" s="3"/>
      <c r="F570" s="6">
        <f>100*SUM(AM570:AO570)/AL570</f>
      </c>
      <c r="G570" s="6">
        <f>100*SUM(AP570)/AL570</f>
      </c>
      <c r="H570" s="6">
        <f>100*SUM(AQ570)/AL570</f>
      </c>
      <c r="I570" s="6">
        <f>100*SUM(AR570:BC570)/AL570</f>
      </c>
      <c r="J570" s="3"/>
      <c r="K570" s="23">
        <v>3.1304010000000004</v>
      </c>
      <c r="L570" s="6">
        <v>1.2571781378807376</v>
      </c>
      <c r="M570" s="6">
        <v>0.5637470502980289</v>
      </c>
      <c r="N570" s="7">
        <v>95.44283617338483</v>
      </c>
      <c r="O570" s="6">
        <v>0.17848237015002227</v>
      </c>
      <c r="P570" s="6"/>
      <c r="Q570" s="7"/>
      <c r="R570" s="6"/>
      <c r="S570" s="6"/>
      <c r="T570" s="6">
        <v>0.21094990066767802</v>
      </c>
      <c r="U570" s="7">
        <v>5.745757332686771</v>
      </c>
      <c r="V570" s="7"/>
      <c r="W570" s="6"/>
      <c r="X570" s="6"/>
      <c r="Y570" s="15"/>
      <c r="Z570" s="6"/>
      <c r="AA570" s="6"/>
      <c r="AB570" s="5"/>
      <c r="AC570" s="3"/>
      <c r="AD570" s="6">
        <v>0.039354717</v>
      </c>
      <c r="AE570" s="6">
        <v>0.017647543300000002</v>
      </c>
      <c r="AF570" s="7">
        <v>298.7743498000001</v>
      </c>
      <c r="AG570" s="6">
        <v>0.0055872139</v>
      </c>
      <c r="AH570" s="7">
        <v>0</v>
      </c>
      <c r="AI570" s="15">
        <v>0.0625894742</v>
      </c>
      <c r="AJ570" s="6">
        <v>1.9994075583287887</v>
      </c>
      <c r="AK570" s="3"/>
      <c r="AL570" s="6">
        <v>113.16381256090527</v>
      </c>
      <c r="AM570" s="6">
        <v>23.83554433583812</v>
      </c>
      <c r="AN570" s="6">
        <v>12.241941958807288</v>
      </c>
      <c r="AO570" s="6">
        <v>58.40119525336056</v>
      </c>
      <c r="AP570" s="6">
        <v>12.39469034683128</v>
      </c>
      <c r="AQ570" s="6">
        <v>0</v>
      </c>
      <c r="AR570" s="6">
        <v>0</v>
      </c>
      <c r="AS570" s="6">
        <v>0</v>
      </c>
      <c r="AT570" s="6">
        <v>0</v>
      </c>
      <c r="AU570" s="6">
        <v>2.0673090265432443</v>
      </c>
      <c r="AV570" s="6">
        <v>4.223131639524777</v>
      </c>
      <c r="AW570" s="6">
        <v>0</v>
      </c>
      <c r="AX570" s="6">
        <v>0</v>
      </c>
      <c r="AY570" s="6">
        <v>0</v>
      </c>
      <c r="AZ570" s="6">
        <v>0</v>
      </c>
      <c r="BA570" s="6">
        <v>0</v>
      </c>
      <c r="BB570" s="6">
        <v>0</v>
      </c>
      <c r="BC570" s="6"/>
      <c r="BD570" s="3"/>
      <c r="BE570" s="3"/>
      <c r="BF570" s="7">
        <v>354.24811200447044</v>
      </c>
    </row>
    <row x14ac:dyDescent="0.25" r="571" customHeight="1" ht="12.75">
      <c r="A571" s="5" t="s">
        <v>269</v>
      </c>
      <c r="B571" s="3" t="s">
        <v>855</v>
      </c>
      <c r="C571" s="3" t="s">
        <v>869</v>
      </c>
      <c r="D571" s="3"/>
      <c r="E571" s="3"/>
      <c r="F571" s="6">
        <f>100*SUM(AM571:AO571)/AL571</f>
      </c>
      <c r="G571" s="6">
        <f>100*SUM(AP571)/AL571</f>
      </c>
      <c r="H571" s="6">
        <f>100*SUM(AQ571)/AL571</f>
      </c>
      <c r="I571" s="6">
        <f>100*SUM(AR571:BC571)/AL571</f>
      </c>
      <c r="J571" s="3"/>
      <c r="K571" s="6">
        <v>40.299</v>
      </c>
      <c r="L571" s="6">
        <v>0.9009335219236211</v>
      </c>
      <c r="M571" s="6">
        <v>2.294209037445098</v>
      </c>
      <c r="N571" s="7">
        <v>129.75034169582372</v>
      </c>
      <c r="O571" s="6">
        <v>0.43978634705575825</v>
      </c>
      <c r="P571" s="6"/>
      <c r="Q571" s="7"/>
      <c r="R571" s="6"/>
      <c r="S571" s="6"/>
      <c r="T571" s="6"/>
      <c r="U571" s="5"/>
      <c r="V571" s="6"/>
      <c r="W571" s="6"/>
      <c r="X571" s="6"/>
      <c r="Y571" s="15"/>
      <c r="Z571" s="6"/>
      <c r="AA571" s="6"/>
      <c r="AB571" s="5"/>
      <c r="AC571" s="3"/>
      <c r="AD571" s="6">
        <v>0.36306720000000003</v>
      </c>
      <c r="AE571" s="6">
        <v>0.9245433000000002</v>
      </c>
      <c r="AF571" s="7">
        <v>5228.80902</v>
      </c>
      <c r="AG571" s="6">
        <v>0.1772295</v>
      </c>
      <c r="AH571" s="7">
        <v>0</v>
      </c>
      <c r="AI571" s="15">
        <v>1.4648400000000001</v>
      </c>
      <c r="AJ571" s="6">
        <v>3.634928906424477</v>
      </c>
      <c r="AK571" s="3"/>
      <c r="AL571" s="6">
        <v>176.83554111086715</v>
      </c>
      <c r="AM571" s="6">
        <v>17.081303164922208</v>
      </c>
      <c r="AN571" s="6">
        <v>49.819460452921916</v>
      </c>
      <c r="AO571" s="6">
        <v>79.3938586003706</v>
      </c>
      <c r="AP571" s="6">
        <v>30.540918892652424</v>
      </c>
      <c r="AQ571" s="6">
        <v>0</v>
      </c>
      <c r="AR571" s="6">
        <v>0</v>
      </c>
      <c r="AS571" s="6">
        <v>0</v>
      </c>
      <c r="AT571" s="6">
        <v>0</v>
      </c>
      <c r="AU571" s="6">
        <v>0</v>
      </c>
      <c r="AV571" s="6">
        <v>0</v>
      </c>
      <c r="AW571" s="6">
        <v>0</v>
      </c>
      <c r="AX571" s="6">
        <v>0</v>
      </c>
      <c r="AY571" s="6">
        <v>0</v>
      </c>
      <c r="AZ571" s="6">
        <v>0</v>
      </c>
      <c r="BA571" s="6">
        <v>0</v>
      </c>
      <c r="BB571" s="6">
        <v>0</v>
      </c>
      <c r="BC571" s="6"/>
      <c r="BD571" s="3"/>
      <c r="BE571" s="3"/>
      <c r="BF571" s="7">
        <v>7126.295471226836</v>
      </c>
    </row>
    <row x14ac:dyDescent="0.25" r="572" customHeight="1" ht="12.75">
      <c r="A572" s="5" t="s">
        <v>616</v>
      </c>
      <c r="B572" s="3" t="s">
        <v>855</v>
      </c>
      <c r="C572" s="3" t="s">
        <v>869</v>
      </c>
      <c r="D572" s="3"/>
      <c r="E572" s="3"/>
      <c r="F572" s="6">
        <f>100*SUM(AM572:AO572)/AL572</f>
      </c>
      <c r="G572" s="6">
        <f>100*SUM(AP572)/AL572</f>
      </c>
      <c r="H572" s="6">
        <f>100*SUM(AQ572)/AL572</f>
      </c>
      <c r="I572" s="6">
        <f>100*SUM(AR572:BC572)/AL572</f>
      </c>
      <c r="J572" s="3"/>
      <c r="K572" s="6">
        <v>1.93</v>
      </c>
      <c r="L572" s="6">
        <v>0.3</v>
      </c>
      <c r="M572" s="6">
        <v>5.4</v>
      </c>
      <c r="N572" s="5">
        <v>21</v>
      </c>
      <c r="O572" s="6">
        <v>0.6</v>
      </c>
      <c r="P572" s="6">
        <v>0.1</v>
      </c>
      <c r="Q572" s="7"/>
      <c r="R572" s="6"/>
      <c r="S572" s="6"/>
      <c r="T572" s="6"/>
      <c r="U572" s="5"/>
      <c r="V572" s="6"/>
      <c r="W572" s="6"/>
      <c r="X572" s="6"/>
      <c r="Y572" s="15"/>
      <c r="Z572" s="6"/>
      <c r="AA572" s="6"/>
      <c r="AB572" s="5"/>
      <c r="AC572" s="3"/>
      <c r="AD572" s="6">
        <v>0.00579</v>
      </c>
      <c r="AE572" s="6">
        <v>0.10422000000000001</v>
      </c>
      <c r="AF572" s="7">
        <v>40.53</v>
      </c>
      <c r="AG572" s="6">
        <v>0.01158</v>
      </c>
      <c r="AH572" s="7">
        <v>0.193</v>
      </c>
      <c r="AI572" s="15">
        <v>0.12159</v>
      </c>
      <c r="AJ572" s="6">
        <v>6.3</v>
      </c>
      <c r="AK572" s="3"/>
      <c r="AL572" s="6">
        <v>181.55092251446945</v>
      </c>
      <c r="AM572" s="6">
        <v>5.687868</v>
      </c>
      <c r="AN572" s="6">
        <v>117.262674</v>
      </c>
      <c r="AO572" s="6">
        <v>12.84983922829582</v>
      </c>
      <c r="AP572" s="6">
        <v>41.66694</v>
      </c>
      <c r="AQ572" s="6">
        <v>4.083601286173634</v>
      </c>
      <c r="AR572" s="6">
        <v>0</v>
      </c>
      <c r="AS572" s="6">
        <v>0</v>
      </c>
      <c r="AT572" s="6">
        <v>0</v>
      </c>
      <c r="AU572" s="6">
        <v>0</v>
      </c>
      <c r="AV572" s="6">
        <v>0</v>
      </c>
      <c r="AW572" s="6">
        <v>0</v>
      </c>
      <c r="AX572" s="6">
        <v>0</v>
      </c>
      <c r="AY572" s="6">
        <v>0</v>
      </c>
      <c r="AZ572" s="6">
        <v>0</v>
      </c>
      <c r="BA572" s="6">
        <v>0</v>
      </c>
      <c r="BB572" s="6">
        <v>0</v>
      </c>
      <c r="BC572" s="6"/>
      <c r="BD572" s="3"/>
      <c r="BE572" s="3"/>
      <c r="BF572" s="7">
        <v>350.39328045292604</v>
      </c>
    </row>
    <row x14ac:dyDescent="0.25" r="573" customHeight="1" ht="12.75">
      <c r="A573" s="5" t="s">
        <v>462</v>
      </c>
      <c r="B573" s="3" t="s">
        <v>855</v>
      </c>
      <c r="C573" s="3" t="s">
        <v>869</v>
      </c>
      <c r="D573" s="3"/>
      <c r="E573" s="3"/>
      <c r="F573" s="6">
        <f>100*SUM(AM573:AO573)/AL573</f>
      </c>
      <c r="G573" s="6">
        <f>100*SUM(AP573)/AL573</f>
      </c>
      <c r="H573" s="6">
        <f>100*SUM(AQ573)/AL573</f>
      </c>
      <c r="I573" s="6">
        <f>100*SUM(AR573:BC573)/AL573</f>
      </c>
      <c r="J573" s="3"/>
      <c r="K573" s="6">
        <v>13.3</v>
      </c>
      <c r="L573" s="6">
        <v>0.2</v>
      </c>
      <c r="M573" s="6">
        <v>5.9</v>
      </c>
      <c r="N573" s="5">
        <v>14</v>
      </c>
      <c r="O573" s="6"/>
      <c r="P573" s="6"/>
      <c r="Q573" s="7"/>
      <c r="R573" s="6"/>
      <c r="S573" s="6"/>
      <c r="T573" s="6"/>
      <c r="U573" s="5">
        <v>68</v>
      </c>
      <c r="V573" s="6"/>
      <c r="W573" s="6"/>
      <c r="X573" s="6"/>
      <c r="Y573" s="15"/>
      <c r="Z573" s="6"/>
      <c r="AA573" s="6"/>
      <c r="AB573" s="5"/>
      <c r="AC573" s="3"/>
      <c r="AD573" s="6">
        <v>0.026600000000000002</v>
      </c>
      <c r="AE573" s="6">
        <v>0.7847000000000002</v>
      </c>
      <c r="AF573" s="7">
        <v>186.20000000000002</v>
      </c>
      <c r="AG573" s="6">
        <v>0</v>
      </c>
      <c r="AH573" s="7">
        <v>0</v>
      </c>
      <c r="AI573" s="15">
        <v>0.8113000000000001</v>
      </c>
      <c r="AJ573" s="6">
        <v>6.1000000000000005</v>
      </c>
      <c r="AK573" s="3"/>
      <c r="AL573" s="6">
        <v>190.45880048553053</v>
      </c>
      <c r="AM573" s="6">
        <v>3.791912</v>
      </c>
      <c r="AN573" s="6">
        <v>128.120329</v>
      </c>
      <c r="AO573" s="6">
        <v>8.566559485530547</v>
      </c>
      <c r="AP573" s="6">
        <v>0</v>
      </c>
      <c r="AQ573" s="6">
        <v>0</v>
      </c>
      <c r="AR573" s="6">
        <v>0</v>
      </c>
      <c r="AS573" s="6">
        <v>0</v>
      </c>
      <c r="AT573" s="6">
        <v>0</v>
      </c>
      <c r="AU573" s="6">
        <v>0</v>
      </c>
      <c r="AV573" s="6">
        <v>49.98</v>
      </c>
      <c r="AW573" s="6">
        <v>0</v>
      </c>
      <c r="AX573" s="6">
        <v>0</v>
      </c>
      <c r="AY573" s="6">
        <v>0</v>
      </c>
      <c r="AZ573" s="6">
        <v>0</v>
      </c>
      <c r="BA573" s="6">
        <v>0</v>
      </c>
      <c r="BB573" s="6">
        <v>0</v>
      </c>
      <c r="BC573" s="6"/>
      <c r="BD573" s="3"/>
      <c r="BE573" s="3"/>
      <c r="BF573" s="7">
        <v>2533.1020464575563</v>
      </c>
    </row>
    <row x14ac:dyDescent="0.25" r="574" customHeight="1" ht="12.75">
      <c r="A574" s="5" t="s">
        <v>639</v>
      </c>
      <c r="B574" s="3" t="s">
        <v>855</v>
      </c>
      <c r="C574" s="3" t="s">
        <v>869</v>
      </c>
      <c r="D574" s="3"/>
      <c r="E574" s="3"/>
      <c r="F574" s="6">
        <f>100*SUM(AM574:AO574)/AL574</f>
      </c>
      <c r="G574" s="6">
        <f>100*SUM(AP574)/AL574</f>
      </c>
      <c r="H574" s="6">
        <f>100*SUM(AQ574)/AL574</f>
      </c>
      <c r="I574" s="6">
        <f>100*SUM(AR574:BC574)/AL574</f>
      </c>
      <c r="J574" s="3"/>
      <c r="K574" s="6">
        <v>3.11</v>
      </c>
      <c r="L574" s="6">
        <v>1.1618971061093248</v>
      </c>
      <c r="M574" s="6">
        <v>3.960900321543409</v>
      </c>
      <c r="N574" s="7">
        <v>71.70913183279742</v>
      </c>
      <c r="O574" s="6">
        <v>0.8431511254019294</v>
      </c>
      <c r="P574" s="6"/>
      <c r="Q574" s="7"/>
      <c r="R574" s="6"/>
      <c r="S574" s="6"/>
      <c r="T574" s="6"/>
      <c r="U574" s="5"/>
      <c r="V574" s="6"/>
      <c r="W574" s="6"/>
      <c r="X574" s="6"/>
      <c r="Y574" s="15"/>
      <c r="Z574" s="6"/>
      <c r="AA574" s="6"/>
      <c r="AB574" s="5"/>
      <c r="AC574" s="3"/>
      <c r="AD574" s="6">
        <v>0.036135</v>
      </c>
      <c r="AE574" s="6">
        <v>0.123184</v>
      </c>
      <c r="AF574" s="7">
        <v>223.01539999999997</v>
      </c>
      <c r="AG574" s="6">
        <v>0.026222000000000002</v>
      </c>
      <c r="AH574" s="7">
        <v>0</v>
      </c>
      <c r="AI574" s="15">
        <v>0.18554099999999998</v>
      </c>
      <c r="AJ574" s="6">
        <v>5.965948553054663</v>
      </c>
      <c r="AK574" s="3"/>
      <c r="AL574" s="6">
        <v>210.47239209704617</v>
      </c>
      <c r="AM574" s="6">
        <v>22.02905789710611</v>
      </c>
      <c r="AN574" s="6">
        <v>86.01217836141481</v>
      </c>
      <c r="AO574" s="6">
        <v>43.878610250100806</v>
      </c>
      <c r="AP574" s="6">
        <v>58.55254558842445</v>
      </c>
      <c r="AQ574" s="6">
        <v>0</v>
      </c>
      <c r="AR574" s="6">
        <v>0</v>
      </c>
      <c r="AS574" s="6">
        <v>0</v>
      </c>
      <c r="AT574" s="6">
        <v>0</v>
      </c>
      <c r="AU574" s="6">
        <v>0</v>
      </c>
      <c r="AV574" s="6">
        <v>0</v>
      </c>
      <c r="AW574" s="6">
        <v>0</v>
      </c>
      <c r="AX574" s="6">
        <v>0</v>
      </c>
      <c r="AY574" s="6">
        <v>0</v>
      </c>
      <c r="AZ574" s="6">
        <v>0</v>
      </c>
      <c r="BA574" s="6">
        <v>0</v>
      </c>
      <c r="BB574" s="6">
        <v>0</v>
      </c>
      <c r="BC574" s="6"/>
      <c r="BD574" s="3"/>
      <c r="BE574" s="3"/>
      <c r="BF574" s="7">
        <v>654.5691394218136</v>
      </c>
    </row>
    <row x14ac:dyDescent="0.25" r="575" customHeight="1" ht="12.75">
      <c r="A575" s="5" t="s">
        <v>497</v>
      </c>
      <c r="B575" s="3" t="s">
        <v>855</v>
      </c>
      <c r="C575" s="3" t="s">
        <v>1016</v>
      </c>
      <c r="D575" s="3" t="s">
        <v>1017</v>
      </c>
      <c r="E575" s="3"/>
      <c r="F575" s="6">
        <f>100*SUM(AM575:AO575)/AL575</f>
      </c>
      <c r="G575" s="6">
        <f>100*SUM(AP575)/AL575</f>
      </c>
      <c r="H575" s="6">
        <f>100*SUM(AQ575)/AL575</f>
      </c>
      <c r="I575" s="6">
        <f>100*SUM(AR575:BC575)/AL575</f>
      </c>
      <c r="J575" s="3"/>
      <c r="K575" s="6">
        <v>63.97</v>
      </c>
      <c r="L575" s="6">
        <v>0.21</v>
      </c>
      <c r="M575" s="6">
        <v>0.64</v>
      </c>
      <c r="N575" s="6">
        <v>23.63</v>
      </c>
      <c r="O575" s="6">
        <v>0.12</v>
      </c>
      <c r="P575" s="6"/>
      <c r="Q575" s="7"/>
      <c r="R575" s="6"/>
      <c r="S575" s="6"/>
      <c r="T575" s="23">
        <v>0.02245</v>
      </c>
      <c r="U575" s="6">
        <v>5.07</v>
      </c>
      <c r="V575" s="6"/>
      <c r="W575" s="6"/>
      <c r="X575" s="6"/>
      <c r="Y575" s="15"/>
      <c r="Z575" s="6"/>
      <c r="AA575" s="6"/>
      <c r="AB575" s="15">
        <v>0.011609</v>
      </c>
      <c r="AC575" s="3" t="s">
        <v>932</v>
      </c>
      <c r="AD575" s="6">
        <v>0.134337</v>
      </c>
      <c r="AE575" s="6">
        <v>0.40940800000000005</v>
      </c>
      <c r="AF575" s="7">
        <v>1511.6110999999999</v>
      </c>
      <c r="AG575" s="6">
        <v>0.076764</v>
      </c>
      <c r="AH575" s="7">
        <v>0</v>
      </c>
      <c r="AI575" s="15">
        <v>0.620509</v>
      </c>
      <c r="AJ575" s="6">
        <v>0.97</v>
      </c>
      <c r="AK575" s="3"/>
      <c r="AL575" s="6">
        <v>44.84349721736335</v>
      </c>
      <c r="AM575" s="6">
        <v>3.9815075999999996</v>
      </c>
      <c r="AN575" s="6">
        <v>13.897798400000001</v>
      </c>
      <c r="AO575" s="6">
        <v>14.459128617363346</v>
      </c>
      <c r="AP575" s="6">
        <v>8.333388</v>
      </c>
      <c r="AQ575" s="6">
        <v>0</v>
      </c>
      <c r="AR575" s="6">
        <v>0</v>
      </c>
      <c r="AS575" s="6">
        <v>0</v>
      </c>
      <c r="AT575" s="6">
        <v>0</v>
      </c>
      <c r="AU575" s="6">
        <v>0.22001</v>
      </c>
      <c r="AV575" s="6">
        <v>3.7264500000000003</v>
      </c>
      <c r="AW575" s="6">
        <v>0</v>
      </c>
      <c r="AX575" s="6">
        <v>0</v>
      </c>
      <c r="AY575" s="6">
        <v>0</v>
      </c>
      <c r="AZ575" s="6">
        <v>0</v>
      </c>
      <c r="BA575" s="6">
        <v>0</v>
      </c>
      <c r="BB575" s="6">
        <v>0</v>
      </c>
      <c r="BC575" s="6">
        <v>0.2252146</v>
      </c>
      <c r="BD575" s="3" t="s">
        <v>933</v>
      </c>
      <c r="BE575" s="3"/>
      <c r="BF575" s="7">
        <v>2868.6385169947334</v>
      </c>
    </row>
    <row x14ac:dyDescent="0.25" r="576" customHeight="1" ht="12.75">
      <c r="A576" s="5" t="s">
        <v>713</v>
      </c>
      <c r="B576" s="3" t="s">
        <v>855</v>
      </c>
      <c r="C576" s="3" t="s">
        <v>869</v>
      </c>
      <c r="D576" s="3"/>
      <c r="E576" s="3"/>
      <c r="F576" s="6">
        <f>100*SUM(AM576:AO576)/AL576</f>
      </c>
      <c r="G576" s="6">
        <f>100*SUM(AP576)/AL576</f>
      </c>
      <c r="H576" s="6">
        <f>100*SUM(AQ576)/AL576</f>
      </c>
      <c r="I576" s="6">
        <f>100*SUM(AR576:BC576)/AL576</f>
      </c>
      <c r="J576" s="3"/>
      <c r="K576" s="6">
        <v>1.59</v>
      </c>
      <c r="L576" s="6">
        <v>0.1</v>
      </c>
      <c r="M576" s="6">
        <v>4.5</v>
      </c>
      <c r="N576" s="5">
        <v>11</v>
      </c>
      <c r="O576" s="6">
        <v>0.6</v>
      </c>
      <c r="P576" s="6"/>
      <c r="Q576" s="7"/>
      <c r="R576" s="6"/>
      <c r="S576" s="6"/>
      <c r="T576" s="6"/>
      <c r="U576" s="5"/>
      <c r="V576" s="6"/>
      <c r="W576" s="6"/>
      <c r="X576" s="6"/>
      <c r="Y576" s="15"/>
      <c r="Z576" s="6"/>
      <c r="AA576" s="6"/>
      <c r="AB576" s="5"/>
      <c r="AC576" s="3"/>
      <c r="AD576" s="6">
        <v>0.0015900000000000003</v>
      </c>
      <c r="AE576" s="6">
        <v>0.07155</v>
      </c>
      <c r="AF576" s="7">
        <v>17.490000000000002</v>
      </c>
      <c r="AG576" s="6">
        <v>0.00954</v>
      </c>
      <c r="AH576" s="7">
        <v>0</v>
      </c>
      <c r="AI576" s="15">
        <v>0.08268</v>
      </c>
      <c r="AJ576" s="6">
        <v>5.199999999999999</v>
      </c>
      <c r="AK576" s="3"/>
      <c r="AL576" s="6">
        <v>148.01265916720257</v>
      </c>
      <c r="AM576" s="6">
        <v>1.895956</v>
      </c>
      <c r="AN576" s="6">
        <v>97.71889499999999</v>
      </c>
      <c r="AO576" s="6">
        <v>6.730868167202573</v>
      </c>
      <c r="AP576" s="6">
        <v>41.66694</v>
      </c>
      <c r="AQ576" s="6">
        <v>0</v>
      </c>
      <c r="AR576" s="6">
        <v>0</v>
      </c>
      <c r="AS576" s="6">
        <v>0</v>
      </c>
      <c r="AT576" s="6">
        <v>0</v>
      </c>
      <c r="AU576" s="6">
        <v>0</v>
      </c>
      <c r="AV576" s="6">
        <v>0</v>
      </c>
      <c r="AW576" s="6">
        <v>0</v>
      </c>
      <c r="AX576" s="6">
        <v>0</v>
      </c>
      <c r="AY576" s="6">
        <v>0</v>
      </c>
      <c r="AZ576" s="6">
        <v>0</v>
      </c>
      <c r="BA576" s="6">
        <v>0</v>
      </c>
      <c r="BB576" s="6">
        <v>0</v>
      </c>
      <c r="BC576" s="6"/>
      <c r="BD576" s="3"/>
      <c r="BE576" s="3"/>
      <c r="BF576" s="7">
        <v>235.3401280758521</v>
      </c>
    </row>
    <row x14ac:dyDescent="0.25" r="577" customHeight="1" ht="12.75">
      <c r="A577" s="5" t="s">
        <v>380</v>
      </c>
      <c r="B577" s="3" t="s">
        <v>855</v>
      </c>
      <c r="C577" s="3" t="s">
        <v>869</v>
      </c>
      <c r="D577" s="3"/>
      <c r="E577" s="3"/>
      <c r="F577" s="6">
        <f>100*SUM(AM577:AO577)/AL577</f>
      </c>
      <c r="G577" s="6">
        <f>100*SUM(AP577)/AL577</f>
      </c>
      <c r="H577" s="6">
        <f>100*SUM(AQ577)/AL577</f>
      </c>
      <c r="I577" s="6">
        <f>100*SUM(AR577:BC577)/AL577</f>
      </c>
      <c r="J577" s="3"/>
      <c r="K577" s="23">
        <v>9.633233</v>
      </c>
      <c r="L577" s="6">
        <v>0.3896732280844863</v>
      </c>
      <c r="M577" s="6">
        <v>7.799577327777704</v>
      </c>
      <c r="N577" s="7">
        <v>35.04896578334605</v>
      </c>
      <c r="O577" s="6">
        <v>1.083120443572786</v>
      </c>
      <c r="P577" s="6">
        <v>0.16660194350121085</v>
      </c>
      <c r="Q577" s="7"/>
      <c r="R577" s="6"/>
      <c r="S577" s="6"/>
      <c r="T577" s="6"/>
      <c r="U577" s="5"/>
      <c r="V577" s="23">
        <v>0.009161273435619467</v>
      </c>
      <c r="W577" s="6"/>
      <c r="X577" s="6"/>
      <c r="Y577" s="15"/>
      <c r="Z577" s="6"/>
      <c r="AA577" s="6"/>
      <c r="AB577" s="5"/>
      <c r="AC577" s="3"/>
      <c r="AD577" s="6">
        <v>0.03753813</v>
      </c>
      <c r="AE577" s="6">
        <v>0.751351457</v>
      </c>
      <c r="AF577" s="7">
        <v>337.63485380000003</v>
      </c>
      <c r="AG577" s="6">
        <v>0.10433951600000001</v>
      </c>
      <c r="AH577" s="7">
        <v>1.60491534</v>
      </c>
      <c r="AI577" s="15">
        <v>0.8932291029999999</v>
      </c>
      <c r="AJ577" s="6">
        <v>9.272370999434976</v>
      </c>
      <c r="AK577" s="3"/>
      <c r="AL577" s="6">
        <v>282.68956577853527</v>
      </c>
      <c r="AM577" s="6">
        <v>7.388032948261503</v>
      </c>
      <c r="AN577" s="6">
        <v>169.37023954166446</v>
      </c>
      <c r="AO577" s="6">
        <v>21.446360734954194</v>
      </c>
      <c r="AP577" s="6">
        <v>75.21719089186776</v>
      </c>
      <c r="AQ577" s="6">
        <v>6.803359107605717</v>
      </c>
      <c r="AR577" s="6">
        <v>0</v>
      </c>
      <c r="AS577" s="6">
        <v>0</v>
      </c>
      <c r="AT577" s="6">
        <v>0</v>
      </c>
      <c r="AU577" s="6">
        <v>0</v>
      </c>
      <c r="AV577" s="6">
        <v>0</v>
      </c>
      <c r="AW577" s="6">
        <v>2.4643825541816367</v>
      </c>
      <c r="AX577" s="6">
        <v>0</v>
      </c>
      <c r="AY577" s="6">
        <v>0</v>
      </c>
      <c r="AZ577" s="6">
        <v>0</v>
      </c>
      <c r="BA577" s="6">
        <v>0</v>
      </c>
      <c r="BB577" s="6">
        <v>0</v>
      </c>
      <c r="BC577" s="6"/>
      <c r="BD577" s="3"/>
      <c r="BE577" s="3"/>
      <c r="BF577" s="7">
        <v>2723.2144538134567</v>
      </c>
    </row>
    <row x14ac:dyDescent="0.25" r="578" customHeight="1" ht="12.75">
      <c r="A578" s="5" t="s">
        <v>669</v>
      </c>
      <c r="B578" s="3" t="s">
        <v>855</v>
      </c>
      <c r="C578" s="3" t="s">
        <v>869</v>
      </c>
      <c r="D578" s="3"/>
      <c r="E578" s="3"/>
      <c r="F578" s="6">
        <f>100*SUM(AM578:AO578)/AL578</f>
      </c>
      <c r="G578" s="6">
        <f>100*SUM(AP578)/AL578</f>
      </c>
      <c r="H578" s="6">
        <f>100*SUM(AQ578)/AL578</f>
      </c>
      <c r="I578" s="6">
        <f>100*SUM(AR578:BC578)/AL578</f>
      </c>
      <c r="J578" s="3"/>
      <c r="K578" s="23">
        <v>3.832</v>
      </c>
      <c r="L578" s="6">
        <v>0.19697286012526097</v>
      </c>
      <c r="M578" s="6">
        <v>4.800156576200418</v>
      </c>
      <c r="N578" s="31">
        <v>19.008350730688935</v>
      </c>
      <c r="O578" s="6">
        <v>0.7568893528183716</v>
      </c>
      <c r="P578" s="6">
        <v>0.0644572025052192</v>
      </c>
      <c r="Q578" s="7"/>
      <c r="R578" s="6"/>
      <c r="S578" s="6"/>
      <c r="T578" s="6"/>
      <c r="U578" s="5"/>
      <c r="V578" s="6"/>
      <c r="W578" s="6"/>
      <c r="X578" s="6"/>
      <c r="Y578" s="15"/>
      <c r="Z578" s="6"/>
      <c r="AA578" s="6"/>
      <c r="AB578" s="5"/>
      <c r="AC578" s="3"/>
      <c r="AD578" s="6">
        <v>0.007548</v>
      </c>
      <c r="AE578" s="6">
        <v>0.18394200000000002</v>
      </c>
      <c r="AF578" s="7">
        <v>72.84</v>
      </c>
      <c r="AG578" s="6">
        <v>0.029004</v>
      </c>
      <c r="AH578" s="7">
        <v>0.247</v>
      </c>
      <c r="AI578" s="15">
        <v>0.22049400000000002</v>
      </c>
      <c r="AJ578" s="6">
        <v>5.754018789144052</v>
      </c>
      <c r="AK578" s="3"/>
      <c r="AL578" s="6">
        <v>174.79684223273804</v>
      </c>
      <c r="AM578" s="6">
        <v>3.734518759916493</v>
      </c>
      <c r="AN578" s="6">
        <v>104.23688810073071</v>
      </c>
      <c r="AO578" s="6">
        <v>11.63115480401963</v>
      </c>
      <c r="AP578" s="6">
        <v>52.56210541753653</v>
      </c>
      <c r="AQ578" s="6">
        <v>2.632175150534675</v>
      </c>
      <c r="AR578" s="6">
        <v>0</v>
      </c>
      <c r="AS578" s="6">
        <v>0</v>
      </c>
      <c r="AT578" s="6">
        <v>0</v>
      </c>
      <c r="AU578" s="6">
        <v>0</v>
      </c>
      <c r="AV578" s="6">
        <v>0</v>
      </c>
      <c r="AW578" s="6">
        <v>0</v>
      </c>
      <c r="AX578" s="6">
        <v>0</v>
      </c>
      <c r="AY578" s="6">
        <v>0</v>
      </c>
      <c r="AZ578" s="6">
        <v>0</v>
      </c>
      <c r="BA578" s="6">
        <v>0</v>
      </c>
      <c r="BB578" s="6">
        <v>0</v>
      </c>
      <c r="BC578" s="6"/>
      <c r="BD578" s="3"/>
      <c r="BE578" s="3"/>
      <c r="BF578" s="7">
        <v>669.8214994358522</v>
      </c>
    </row>
    <row x14ac:dyDescent="0.25" r="579" customHeight="1" ht="12.75">
      <c r="A579" s="5" t="s">
        <v>54</v>
      </c>
      <c r="B579" s="3" t="s">
        <v>855</v>
      </c>
      <c r="C579" s="3" t="s">
        <v>869</v>
      </c>
      <c r="D579" s="3"/>
      <c r="E579" s="3"/>
      <c r="F579" s="6">
        <f>100*SUM(AM579:AO579)/AL579</f>
      </c>
      <c r="G579" s="6">
        <f>100*SUM(AP579)/AL579</f>
      </c>
      <c r="H579" s="6">
        <f>100*SUM(AQ579)/AL579</f>
      </c>
      <c r="I579" s="6">
        <f>100*SUM(AR579:BC579)/AL579</f>
      </c>
      <c r="J579" s="3"/>
      <c r="K579" s="6">
        <v>851.37</v>
      </c>
      <c r="L579" s="6">
        <v>0.3042597225648073</v>
      </c>
      <c r="M579" s="6">
        <v>0.8263523497421802</v>
      </c>
      <c r="N579" s="7">
        <v>30.65408811679998</v>
      </c>
      <c r="O579" s="6"/>
      <c r="P579" s="6">
        <v>0.4833944113605131</v>
      </c>
      <c r="Q579" s="7"/>
      <c r="R579" s="6"/>
      <c r="S579" s="6"/>
      <c r="T579" s="6"/>
      <c r="U579" s="5"/>
      <c r="V579" s="6"/>
      <c r="W579" s="6"/>
      <c r="X579" s="6"/>
      <c r="Y579" s="15"/>
      <c r="Z579" s="6"/>
      <c r="AA579" s="6"/>
      <c r="AB579" s="5"/>
      <c r="AC579" s="3"/>
      <c r="AD579" s="6">
        <v>2.590376</v>
      </c>
      <c r="AE579" s="6">
        <v>7.035315999999999</v>
      </c>
      <c r="AF579" s="7">
        <v>26097.970999999998</v>
      </c>
      <c r="AG579" s="6">
        <v>0</v>
      </c>
      <c r="AH579" s="7">
        <v>411.5475</v>
      </c>
      <c r="AI579" s="15">
        <v>9.625691999999999</v>
      </c>
      <c r="AJ579" s="6">
        <v>1.1306120723069875</v>
      </c>
      <c r="AK579" s="3"/>
      <c r="AL579" s="6">
        <v>62.2101761181302</v>
      </c>
      <c r="AM579" s="6">
        <v>5.768630465550818</v>
      </c>
      <c r="AN579" s="6">
        <v>17.94449744387986</v>
      </c>
      <c r="AO579" s="6">
        <v>18.75714780909015</v>
      </c>
      <c r="AP579" s="6">
        <v>0</v>
      </c>
      <c r="AQ579" s="6">
        <v>19.739900399609375</v>
      </c>
      <c r="AR579" s="6">
        <v>0</v>
      </c>
      <c r="AS579" s="6">
        <v>0</v>
      </c>
      <c r="AT579" s="6">
        <v>0</v>
      </c>
      <c r="AU579" s="6">
        <v>0</v>
      </c>
      <c r="AV579" s="6">
        <v>0</v>
      </c>
      <c r="AW579" s="6">
        <v>0</v>
      </c>
      <c r="AX579" s="6">
        <v>0</v>
      </c>
      <c r="AY579" s="6">
        <v>0</v>
      </c>
      <c r="AZ579" s="6">
        <v>0</v>
      </c>
      <c r="BA579" s="6">
        <v>0</v>
      </c>
      <c r="BB579" s="6">
        <v>0</v>
      </c>
      <c r="BC579" s="6"/>
      <c r="BD579" s="3"/>
      <c r="BE579" s="3"/>
      <c r="BF579" s="7">
        <v>52963.87764169251</v>
      </c>
    </row>
    <row x14ac:dyDescent="0.25" r="580" customHeight="1" ht="12.75">
      <c r="A580" s="5" t="s">
        <v>245</v>
      </c>
      <c r="B580" s="3" t="s">
        <v>855</v>
      </c>
      <c r="C580" s="3" t="s">
        <v>869</v>
      </c>
      <c r="D580" s="3"/>
      <c r="E580" s="3"/>
      <c r="F580" s="6">
        <f>100*SUM(AM580:AO580)/AL580</f>
      </c>
      <c r="G580" s="6">
        <f>100*SUM(AP580)/AL580</f>
      </c>
      <c r="H580" s="6">
        <f>100*SUM(AQ580)/AL580</f>
      </c>
      <c r="I580" s="6">
        <f>100*SUM(AR580:BC580)/AL580</f>
      </c>
      <c r="J580" s="3"/>
      <c r="K580" s="23">
        <v>0.923475</v>
      </c>
      <c r="L580" s="6">
        <v>7.38</v>
      </c>
      <c r="M580" s="6">
        <v>2.85</v>
      </c>
      <c r="N580" s="5"/>
      <c r="O580" s="6">
        <v>1.36</v>
      </c>
      <c r="P580" s="6"/>
      <c r="Q580" s="7"/>
      <c r="R580" s="6"/>
      <c r="S580" s="6"/>
      <c r="T580" s="6"/>
      <c r="U580" s="5"/>
      <c r="V580" s="6"/>
      <c r="W580" s="6"/>
      <c r="X580" s="6"/>
      <c r="Y580" s="15"/>
      <c r="Z580" s="6"/>
      <c r="AA580" s="6"/>
      <c r="AB580" s="5"/>
      <c r="AC580" s="3"/>
      <c r="AD580" s="6">
        <v>0.068152455</v>
      </c>
      <c r="AE580" s="6">
        <v>0.026319037500000003</v>
      </c>
      <c r="AF580" s="7">
        <v>0</v>
      </c>
      <c r="AG580" s="6">
        <v>0.012559260000000001</v>
      </c>
      <c r="AH580" s="7">
        <v>0</v>
      </c>
      <c r="AI580" s="15">
        <v>0.1070307525</v>
      </c>
      <c r="AJ580" s="6">
        <v>11.59</v>
      </c>
      <c r="AK580" s="3"/>
      <c r="AL580" s="6">
        <v>296.2552503</v>
      </c>
      <c r="AM580" s="6">
        <v>139.9215528</v>
      </c>
      <c r="AN580" s="6">
        <v>61.8886335</v>
      </c>
      <c r="AO580" s="6">
        <v>0</v>
      </c>
      <c r="AP580" s="6">
        <v>94.445064</v>
      </c>
      <c r="AQ580" s="6">
        <v>0</v>
      </c>
      <c r="AR580" s="6">
        <v>0</v>
      </c>
      <c r="AS580" s="6">
        <v>0</v>
      </c>
      <c r="AT580" s="6">
        <v>0</v>
      </c>
      <c r="AU580" s="6">
        <v>0</v>
      </c>
      <c r="AV580" s="6">
        <v>0</v>
      </c>
      <c r="AW580" s="6">
        <v>0</v>
      </c>
      <c r="AX580" s="6">
        <v>0</v>
      </c>
      <c r="AY580" s="6">
        <v>0</v>
      </c>
      <c r="AZ580" s="6">
        <v>0</v>
      </c>
      <c r="BA580" s="6">
        <v>0</v>
      </c>
      <c r="BB580" s="6">
        <v>0</v>
      </c>
      <c r="BC580" s="6"/>
      <c r="BD580" s="3"/>
      <c r="BE580" s="3"/>
      <c r="BF580" s="7">
        <v>273.5843172707925</v>
      </c>
    </row>
    <row x14ac:dyDescent="0.25" r="581" customHeight="1" ht="12.75">
      <c r="A581" s="5" t="s">
        <v>337</v>
      </c>
      <c r="B581" s="3" t="s">
        <v>855</v>
      </c>
      <c r="C581" s="3" t="s">
        <v>869</v>
      </c>
      <c r="D581" s="3"/>
      <c r="E581" s="3"/>
      <c r="F581" s="6">
        <f>100*SUM(AM581:AO581)/AL581</f>
      </c>
      <c r="G581" s="6">
        <f>100*SUM(AP581)/AL581</f>
      </c>
      <c r="H581" s="6">
        <f>100*SUM(AQ581)/AL581</f>
      </c>
      <c r="I581" s="6">
        <f>100*SUM(AR581:BC581)/AL581</f>
      </c>
      <c r="J581" s="3"/>
      <c r="K581" s="5">
        <v>36</v>
      </c>
      <c r="L581" s="6"/>
      <c r="M581" s="6">
        <v>3.3</v>
      </c>
      <c r="N581" s="5">
        <v>29</v>
      </c>
      <c r="O581" s="6">
        <v>0.69</v>
      </c>
      <c r="P581" s="6"/>
      <c r="Q581" s="7"/>
      <c r="R581" s="6"/>
      <c r="S581" s="6"/>
      <c r="T581" s="6"/>
      <c r="U581" s="5"/>
      <c r="V581" s="6"/>
      <c r="W581" s="6"/>
      <c r="X581" s="6"/>
      <c r="Y581" s="15"/>
      <c r="Z581" s="6"/>
      <c r="AA581" s="6"/>
      <c r="AB581" s="5"/>
      <c r="AC581" s="3"/>
      <c r="AD581" s="6">
        <v>0</v>
      </c>
      <c r="AE581" s="6">
        <v>1.188</v>
      </c>
      <c r="AF581" s="7">
        <v>1044</v>
      </c>
      <c r="AG581" s="6">
        <v>0.24839999999999995</v>
      </c>
      <c r="AH581" s="7">
        <v>0</v>
      </c>
      <c r="AI581" s="15">
        <v>1.4364</v>
      </c>
      <c r="AJ581" s="6">
        <v>3.9899999999999998</v>
      </c>
      <c r="AK581" s="3"/>
      <c r="AL581" s="6">
        <v>137.32252007717042</v>
      </c>
      <c r="AM581" s="6">
        <v>0</v>
      </c>
      <c r="AN581" s="6">
        <v>71.660523</v>
      </c>
      <c r="AO581" s="6">
        <v>17.74501607717042</v>
      </c>
      <c r="AP581" s="6">
        <v>47.916981</v>
      </c>
      <c r="AQ581" s="6">
        <v>0</v>
      </c>
      <c r="AR581" s="6">
        <v>0</v>
      </c>
      <c r="AS581" s="6">
        <v>0</v>
      </c>
      <c r="AT581" s="6">
        <v>0</v>
      </c>
      <c r="AU581" s="6">
        <v>0</v>
      </c>
      <c r="AV581" s="6">
        <v>0</v>
      </c>
      <c r="AW581" s="6">
        <v>0</v>
      </c>
      <c r="AX581" s="6">
        <v>0</v>
      </c>
      <c r="AY581" s="6">
        <v>0</v>
      </c>
      <c r="AZ581" s="6">
        <v>0</v>
      </c>
      <c r="BA581" s="6">
        <v>0</v>
      </c>
      <c r="BB581" s="6">
        <v>0</v>
      </c>
      <c r="BC581" s="6"/>
      <c r="BD581" s="3"/>
      <c r="BE581" s="3"/>
      <c r="BF581" s="7">
        <v>4943.610722778135</v>
      </c>
    </row>
    <row x14ac:dyDescent="0.25" r="582" customHeight="1" ht="12.75">
      <c r="A582" s="5" t="s">
        <v>394</v>
      </c>
      <c r="B582" s="3" t="s">
        <v>855</v>
      </c>
      <c r="C582" s="3" t="s">
        <v>869</v>
      </c>
      <c r="D582" s="3"/>
      <c r="E582" s="3"/>
      <c r="F582" s="6">
        <f>100*SUM(AM582:AO582)/AL582</f>
      </c>
      <c r="G582" s="6">
        <f>100*SUM(AP582)/AL582</f>
      </c>
      <c r="H582" s="6">
        <f>100*SUM(AQ582)/AL582</f>
      </c>
      <c r="I582" s="6">
        <f>100*SUM(AR582:BC582)/AL582</f>
      </c>
      <c r="J582" s="3"/>
      <c r="K582" s="23">
        <v>6.509</v>
      </c>
      <c r="L582" s="6">
        <v>2.5263880780457826</v>
      </c>
      <c r="M582" s="6">
        <v>3.333780918727915</v>
      </c>
      <c r="N582" s="7">
        <v>121.12945152865262</v>
      </c>
      <c r="O582" s="6">
        <v>0.9896143800891074</v>
      </c>
      <c r="P582" s="6">
        <v>0.9746827469657399</v>
      </c>
      <c r="Q582" s="7"/>
      <c r="R582" s="6"/>
      <c r="S582" s="6"/>
      <c r="T582" s="6"/>
      <c r="U582" s="5"/>
      <c r="V582" s="6"/>
      <c r="W582" s="6"/>
      <c r="X582" s="6"/>
      <c r="Y582" s="15"/>
      <c r="Z582" s="6"/>
      <c r="AA582" s="6"/>
      <c r="AB582" s="5"/>
      <c r="AC582" s="3"/>
      <c r="AD582" s="6">
        <v>0.1644426</v>
      </c>
      <c r="AE582" s="6">
        <v>0.21699580000000002</v>
      </c>
      <c r="AF582" s="7">
        <v>788.4316</v>
      </c>
      <c r="AG582" s="6">
        <v>0.06441400000000001</v>
      </c>
      <c r="AH582" s="7">
        <v>6.344210000000001</v>
      </c>
      <c r="AI582" s="15">
        <v>0.44585240000000004</v>
      </c>
      <c r="AJ582" s="6">
        <v>6.849783376862805</v>
      </c>
      <c r="AK582" s="3"/>
      <c r="AL582" s="6">
        <v>302.93788218130294</v>
      </c>
      <c r="AM582" s="6">
        <v>47.899206348993694</v>
      </c>
      <c r="AN582" s="6">
        <v>72.39408612226148</v>
      </c>
      <c r="AO582" s="6">
        <v>74.11876085499227</v>
      </c>
      <c r="AP582" s="6">
        <v>68.72367166385006</v>
      </c>
      <c r="AQ582" s="6">
        <v>39.80215719120545</v>
      </c>
      <c r="AR582" s="6">
        <v>0</v>
      </c>
      <c r="AS582" s="6">
        <v>0</v>
      </c>
      <c r="AT582" s="6">
        <v>0</v>
      </c>
      <c r="AU582" s="6">
        <v>0</v>
      </c>
      <c r="AV582" s="6">
        <v>0</v>
      </c>
      <c r="AW582" s="6">
        <v>0</v>
      </c>
      <c r="AX582" s="6">
        <v>0</v>
      </c>
      <c r="AY582" s="6">
        <v>0</v>
      </c>
      <c r="AZ582" s="6">
        <v>0</v>
      </c>
      <c r="BA582" s="6">
        <v>0</v>
      </c>
      <c r="BB582" s="6">
        <v>0</v>
      </c>
      <c r="BC582" s="6"/>
      <c r="BD582" s="3"/>
      <c r="BE582" s="3"/>
      <c r="BF582" s="7">
        <v>1971.822675118101</v>
      </c>
    </row>
    <row x14ac:dyDescent="0.25" r="583" customHeight="1" ht="12.75">
      <c r="A583" s="5" t="s">
        <v>593</v>
      </c>
      <c r="B583" s="3" t="s">
        <v>855</v>
      </c>
      <c r="C583" s="3" t="s">
        <v>869</v>
      </c>
      <c r="D583" s="3"/>
      <c r="E583" s="3"/>
      <c r="F583" s="6">
        <f>100*SUM(AM583:AO583)/AL583</f>
      </c>
      <c r="G583" s="6">
        <f>100*SUM(AP583)/AL583</f>
      </c>
      <c r="H583" s="6">
        <f>100*SUM(AQ583)/AL583</f>
      </c>
      <c r="I583" s="6">
        <f>100*SUM(AR583:BC583)/AL583</f>
      </c>
      <c r="J583" s="3"/>
      <c r="K583" s="23">
        <v>0.209338</v>
      </c>
      <c r="L583" s="6">
        <v>1.3221077874060132</v>
      </c>
      <c r="M583" s="6">
        <v>1.1132319024735118</v>
      </c>
      <c r="N583" s="7">
        <v>161.00705079823064</v>
      </c>
      <c r="O583" s="6"/>
      <c r="P583" s="6">
        <v>2.1011007079460007</v>
      </c>
      <c r="Q583" s="7"/>
      <c r="R583" s="6"/>
      <c r="S583" s="6"/>
      <c r="T583" s="6"/>
      <c r="U583" s="5"/>
      <c r="V583" s="6"/>
      <c r="W583" s="6"/>
      <c r="X583" s="6"/>
      <c r="Y583" s="15"/>
      <c r="Z583" s="6"/>
      <c r="AA583" s="6"/>
      <c r="AB583" s="5"/>
      <c r="AC583" s="3"/>
      <c r="AD583" s="6">
        <v>0.002767674</v>
      </c>
      <c r="AE583" s="6">
        <v>0.0023304174</v>
      </c>
      <c r="AF583" s="7">
        <v>33.704894</v>
      </c>
      <c r="AG583" s="6">
        <v>0</v>
      </c>
      <c r="AH583" s="7">
        <v>0.4398402199999999</v>
      </c>
      <c r="AI583" s="15">
        <v>0.0050980914</v>
      </c>
      <c r="AJ583" s="6">
        <v>2.435339689879525</v>
      </c>
      <c r="AK583" s="3"/>
      <c r="AL583" s="6">
        <v>233.56108176601418</v>
      </c>
      <c r="AM583" s="6">
        <v>25.066581921791553</v>
      </c>
      <c r="AN583" s="6">
        <v>24.174175864102075</v>
      </c>
      <c r="AO583" s="6">
        <v>98.51974844663438</v>
      </c>
      <c r="AP583" s="6">
        <v>0</v>
      </c>
      <c r="AQ583" s="6">
        <v>85.8005755334862</v>
      </c>
      <c r="AR583" s="6">
        <v>0</v>
      </c>
      <c r="AS583" s="6">
        <v>0</v>
      </c>
      <c r="AT583" s="6">
        <v>0</v>
      </c>
      <c r="AU583" s="6">
        <v>0</v>
      </c>
      <c r="AV583" s="6">
        <v>0</v>
      </c>
      <c r="AW583" s="6">
        <v>0</v>
      </c>
      <c r="AX583" s="6">
        <v>0</v>
      </c>
      <c r="AY583" s="6">
        <v>0</v>
      </c>
      <c r="AZ583" s="6">
        <v>0</v>
      </c>
      <c r="BA583" s="6">
        <v>0</v>
      </c>
      <c r="BB583" s="6">
        <v>0</v>
      </c>
      <c r="BC583" s="6"/>
      <c r="BD583" s="3"/>
      <c r="BE583" s="3"/>
      <c r="BF583" s="7">
        <v>48.89320973473388</v>
      </c>
    </row>
    <row x14ac:dyDescent="0.25" r="584" customHeight="1" ht="12.75">
      <c r="A584" s="5" t="s">
        <v>381</v>
      </c>
      <c r="B584" s="3" t="s">
        <v>855</v>
      </c>
      <c r="C584" s="3" t="s">
        <v>869</v>
      </c>
      <c r="D584" s="3"/>
      <c r="E584" s="3"/>
      <c r="F584" s="6">
        <f>100*SUM(AM584:AO584)/AL584</f>
      </c>
      <c r="G584" s="6">
        <f>100*SUM(AP584)/AL584</f>
      </c>
      <c r="H584" s="6">
        <f>100*SUM(AQ584)/AL584</f>
      </c>
      <c r="I584" s="6">
        <f>100*SUM(AR584:BC584)/AL584</f>
      </c>
      <c r="J584" s="3"/>
      <c r="K584" s="6">
        <v>2.138</v>
      </c>
      <c r="L584" s="6">
        <v>1.188821328344247</v>
      </c>
      <c r="M584" s="6">
        <v>1.2481197380729656</v>
      </c>
      <c r="N584" s="31">
        <v>194.42048643592145</v>
      </c>
      <c r="O584" s="6"/>
      <c r="P584" s="6">
        <v>3.4810196445275956</v>
      </c>
      <c r="Q584" s="7"/>
      <c r="R584" s="6"/>
      <c r="S584" s="6"/>
      <c r="T584" s="6"/>
      <c r="U584" s="5"/>
      <c r="V584" s="6"/>
      <c r="W584" s="6"/>
      <c r="X584" s="6"/>
      <c r="Y584" s="15"/>
      <c r="Z584" s="6"/>
      <c r="AA584" s="6"/>
      <c r="AB584" s="5"/>
      <c r="AC584" s="3"/>
      <c r="AD584" s="6">
        <v>0.025417000000000002</v>
      </c>
      <c r="AE584" s="6">
        <v>0.0266848</v>
      </c>
      <c r="AF584" s="7">
        <v>415.67100000000005</v>
      </c>
      <c r="AG584" s="6">
        <v>0</v>
      </c>
      <c r="AH584" s="7">
        <v>7.442419999999999</v>
      </c>
      <c r="AI584" s="15">
        <v>0.052101800000000004</v>
      </c>
      <c r="AJ584" s="6">
        <v>2.4369410664172126</v>
      </c>
      <c r="AK584" s="3"/>
      <c r="AL584" s="6">
        <v>310.75913232778896</v>
      </c>
      <c r="AM584" s="6">
        <v>22.53952930402245</v>
      </c>
      <c r="AN584" s="6">
        <v>27.103307029373248</v>
      </c>
      <c r="AO584" s="6">
        <v>118.96533301850756</v>
      </c>
      <c r="AP584" s="6">
        <v>0</v>
      </c>
      <c r="AQ584" s="6">
        <v>142.15096297588573</v>
      </c>
      <c r="AR584" s="6">
        <v>0</v>
      </c>
      <c r="AS584" s="6">
        <v>0</v>
      </c>
      <c r="AT584" s="6">
        <v>0</v>
      </c>
      <c r="AU584" s="6">
        <v>0</v>
      </c>
      <c r="AV584" s="6">
        <v>0</v>
      </c>
      <c r="AW584" s="6">
        <v>0</v>
      </c>
      <c r="AX584" s="6">
        <v>0</v>
      </c>
      <c r="AY584" s="6">
        <v>0</v>
      </c>
      <c r="AZ584" s="6">
        <v>0</v>
      </c>
      <c r="BA584" s="6">
        <v>0</v>
      </c>
      <c r="BB584" s="6">
        <v>0</v>
      </c>
      <c r="BC584" s="6"/>
      <c r="BD584" s="3"/>
      <c r="BE584" s="3"/>
      <c r="BF584" s="7">
        <v>664.4030249168128</v>
      </c>
    </row>
    <row x14ac:dyDescent="0.25" r="585" customHeight="1" ht="12.75">
      <c r="A585" s="5" t="s">
        <v>257</v>
      </c>
      <c r="B585" s="3" t="s">
        <v>855</v>
      </c>
      <c r="C585" s="3" t="s">
        <v>869</v>
      </c>
      <c r="D585" s="3"/>
      <c r="E585" s="3"/>
      <c r="F585" s="6">
        <f>100*SUM(AM585:AO585)/AL585</f>
      </c>
      <c r="G585" s="6">
        <f>100*SUM(AP585)/AL585</f>
      </c>
      <c r="H585" s="6">
        <f>100*SUM(AQ585)/AL585</f>
      </c>
      <c r="I585" s="6">
        <f>100*SUM(AR585:BC585)/AL585</f>
      </c>
      <c r="J585" s="3"/>
      <c r="K585" s="6">
        <v>212.2</v>
      </c>
      <c r="L585" s="6">
        <v>0.06429783223374176</v>
      </c>
      <c r="M585" s="6">
        <v>0.4857021677662583</v>
      </c>
      <c r="N585" s="7">
        <v>12.428934967012253</v>
      </c>
      <c r="O585" s="6"/>
      <c r="P585" s="7">
        <v>0.4000000000000001</v>
      </c>
      <c r="Q585" s="7"/>
      <c r="R585" s="6"/>
      <c r="S585" s="6"/>
      <c r="T585" s="6"/>
      <c r="U585" s="5"/>
      <c r="V585" s="6"/>
      <c r="W585" s="6"/>
      <c r="X585" s="6"/>
      <c r="Y585" s="15"/>
      <c r="Z585" s="6"/>
      <c r="AA585" s="6"/>
      <c r="AB585" s="5"/>
      <c r="AC585" s="3"/>
      <c r="AD585" s="6">
        <v>0.13644</v>
      </c>
      <c r="AE585" s="6">
        <v>1.0306600000000001</v>
      </c>
      <c r="AF585" s="7">
        <v>2637.42</v>
      </c>
      <c r="AG585" s="6">
        <v>0</v>
      </c>
      <c r="AH585" s="7">
        <v>84.88000000000001</v>
      </c>
      <c r="AI585" s="15">
        <v>1.1671</v>
      </c>
      <c r="AJ585" s="6">
        <v>0.55</v>
      </c>
      <c r="AK585" s="3"/>
      <c r="AL585" s="6">
        <v>35.7058662318522</v>
      </c>
      <c r="AM585" s="6">
        <v>1.2190586081055608</v>
      </c>
      <c r="AN585" s="6">
        <v>10.547173140716305</v>
      </c>
      <c r="AO585" s="6">
        <v>7.605229338335795</v>
      </c>
      <c r="AP585" s="6">
        <v>0</v>
      </c>
      <c r="AQ585" s="6">
        <v>16.33440514469454</v>
      </c>
      <c r="AR585" s="6">
        <v>0</v>
      </c>
      <c r="AS585" s="6">
        <v>0</v>
      </c>
      <c r="AT585" s="6">
        <v>0</v>
      </c>
      <c r="AU585" s="6">
        <v>0</v>
      </c>
      <c r="AV585" s="6">
        <v>0</v>
      </c>
      <c r="AW585" s="6">
        <v>0</v>
      </c>
      <c r="AX585" s="6">
        <v>0</v>
      </c>
      <c r="AY585" s="6">
        <v>0</v>
      </c>
      <c r="AZ585" s="6">
        <v>0</v>
      </c>
      <c r="BA585" s="6">
        <v>0</v>
      </c>
      <c r="BB585" s="6">
        <v>0</v>
      </c>
      <c r="BC585" s="6"/>
      <c r="BD585" s="3"/>
      <c r="BE585" s="3"/>
      <c r="BF585" s="7">
        <v>7576.784814399036</v>
      </c>
    </row>
    <row x14ac:dyDescent="0.25" r="586" customHeight="1" ht="12.75">
      <c r="A586" s="5" t="s">
        <v>177</v>
      </c>
      <c r="B586" s="3" t="s">
        <v>855</v>
      </c>
      <c r="C586" s="3" t="s">
        <v>869</v>
      </c>
      <c r="D586" s="3"/>
      <c r="E586" s="3"/>
      <c r="F586" s="6">
        <f>100*SUM(AM586:AO586)/AL586</f>
      </c>
      <c r="G586" s="6">
        <f>100*SUM(AP586)/AL586</f>
      </c>
      <c r="H586" s="6">
        <f>100*SUM(AQ586)/AL586</f>
      </c>
      <c r="I586" s="6">
        <f>100*SUM(AR586:BC586)/AL586</f>
      </c>
      <c r="J586" s="3"/>
      <c r="K586" s="6">
        <v>5.718999999999999</v>
      </c>
      <c r="L586" s="6">
        <v>1.642107011715335</v>
      </c>
      <c r="M586" s="6">
        <v>3.010610246546599</v>
      </c>
      <c r="N586" s="7">
        <v>217.70066794894214</v>
      </c>
      <c r="O586" s="6">
        <v>0.4712659555866411</v>
      </c>
      <c r="P586" s="6">
        <v>4.953310019234133</v>
      </c>
      <c r="Q586" s="7"/>
      <c r="R586" s="6"/>
      <c r="S586" s="6"/>
      <c r="T586" s="6"/>
      <c r="U586" s="5"/>
      <c r="V586" s="6"/>
      <c r="W586" s="6"/>
      <c r="X586" s="6"/>
      <c r="Y586" s="15"/>
      <c r="Z586" s="6"/>
      <c r="AA586" s="6"/>
      <c r="AB586" s="5"/>
      <c r="AC586" s="3"/>
      <c r="AD586" s="6">
        <v>0.0939121</v>
      </c>
      <c r="AE586" s="6">
        <v>0.1721768</v>
      </c>
      <c r="AF586" s="7">
        <v>1245.03012</v>
      </c>
      <c r="AG586" s="6">
        <v>0.026951700000000002</v>
      </c>
      <c r="AH586" s="7">
        <v>28.32798</v>
      </c>
      <c r="AI586" s="15">
        <v>0.2930406</v>
      </c>
      <c r="AJ586" s="6">
        <v>5.123983213848574</v>
      </c>
      <c r="AK586" s="3"/>
      <c r="AL586" s="6">
        <v>464.72081873672937</v>
      </c>
      <c r="AM586" s="6">
        <v>31.133626415037593</v>
      </c>
      <c r="AN586" s="6">
        <v>65.37633479293582</v>
      </c>
      <c r="AO586" s="6">
        <v>133.21040871602474</v>
      </c>
      <c r="AP586" s="6">
        <v>32.72701715911873</v>
      </c>
      <c r="AQ586" s="6">
        <v>202.27343165361248</v>
      </c>
      <c r="AR586" s="6">
        <v>0</v>
      </c>
      <c r="AS586" s="6">
        <v>0</v>
      </c>
      <c r="AT586" s="6">
        <v>0</v>
      </c>
      <c r="AU586" s="6">
        <v>0</v>
      </c>
      <c r="AV586" s="6">
        <v>0</v>
      </c>
      <c r="AW586" s="6">
        <v>0</v>
      </c>
      <c r="AX586" s="6">
        <v>0</v>
      </c>
      <c r="AY586" s="6">
        <v>0</v>
      </c>
      <c r="AZ586" s="6">
        <v>0</v>
      </c>
      <c r="BA586" s="6">
        <v>0</v>
      </c>
      <c r="BB586" s="6">
        <v>0</v>
      </c>
      <c r="BC586" s="6"/>
      <c r="BD586" s="3"/>
      <c r="BE586" s="3"/>
      <c r="BF586" s="7">
        <v>2657.738362355355</v>
      </c>
    </row>
    <row x14ac:dyDescent="0.25" r="587" customHeight="1" ht="12.75">
      <c r="A587" s="5" t="s">
        <v>68</v>
      </c>
      <c r="B587" s="3" t="s">
        <v>855</v>
      </c>
      <c r="C587" s="3" t="s">
        <v>869</v>
      </c>
      <c r="D587" s="3"/>
      <c r="E587" s="3"/>
      <c r="F587" s="6">
        <f>100*SUM(AM587:AO587)/AL587</f>
      </c>
      <c r="G587" s="6">
        <f>100*SUM(AP587)/AL587</f>
      </c>
      <c r="H587" s="6">
        <f>100*SUM(AQ587)/AL587</f>
      </c>
      <c r="I587" s="6">
        <f>100*SUM(AR587:BC587)/AL587</f>
      </c>
      <c r="J587" s="3"/>
      <c r="K587" s="6">
        <v>20.918</v>
      </c>
      <c r="L587" s="7">
        <v>4.284601778372694</v>
      </c>
      <c r="M587" s="7">
        <v>5.510894923032795</v>
      </c>
      <c r="N587" s="31">
        <v>127.41399751410269</v>
      </c>
      <c r="O587" s="6"/>
      <c r="P587" s="6">
        <v>8.35623195334162</v>
      </c>
      <c r="Q587" s="7"/>
      <c r="R587" s="6"/>
      <c r="S587" s="6"/>
      <c r="T587" s="6"/>
      <c r="U587" s="5"/>
      <c r="V587" s="6"/>
      <c r="W587" s="6"/>
      <c r="X587" s="6"/>
      <c r="Y587" s="15"/>
      <c r="Z587" s="6"/>
      <c r="AA587" s="6"/>
      <c r="AB587" s="5"/>
      <c r="AC587" s="3"/>
      <c r="AD587" s="6">
        <v>0.8962530000000001</v>
      </c>
      <c r="AE587" s="6">
        <v>1.152769</v>
      </c>
      <c r="AF587" s="7">
        <v>2665.246</v>
      </c>
      <c r="AG587" s="6">
        <v>0</v>
      </c>
      <c r="AH587" s="7">
        <v>174.79566</v>
      </c>
      <c r="AI587" s="15">
        <v>2.049022</v>
      </c>
      <c r="AJ587" s="6">
        <v>9.795496701405488</v>
      </c>
      <c r="AK587" s="3"/>
      <c r="AL587" s="6">
        <v>620.1044080032577</v>
      </c>
      <c r="AM587" s="6">
        <v>81.23416449316379</v>
      </c>
      <c r="AN587" s="6">
        <v>119.67079163108328</v>
      </c>
      <c r="AO587" s="6">
        <v>77.96425635670015</v>
      </c>
      <c r="AP587" s="6">
        <v>0</v>
      </c>
      <c r="AQ587" s="6">
        <v>341.2351955223105</v>
      </c>
      <c r="AR587" s="6">
        <v>0</v>
      </c>
      <c r="AS587" s="6">
        <v>0</v>
      </c>
      <c r="AT587" s="6">
        <v>0</v>
      </c>
      <c r="AU587" s="6">
        <v>0</v>
      </c>
      <c r="AV587" s="6">
        <v>0</v>
      </c>
      <c r="AW587" s="6">
        <v>0</v>
      </c>
      <c r="AX587" s="6">
        <v>0</v>
      </c>
      <c r="AY587" s="6">
        <v>0</v>
      </c>
      <c r="AZ587" s="6">
        <v>0</v>
      </c>
      <c r="BA587" s="6">
        <v>0</v>
      </c>
      <c r="BB587" s="6">
        <v>0</v>
      </c>
      <c r="BC587" s="6"/>
      <c r="BD587" s="3"/>
      <c r="BE587" s="3"/>
      <c r="BF587" s="7">
        <v>12971.344006612144</v>
      </c>
    </row>
    <row x14ac:dyDescent="0.25" r="588" customHeight="1" ht="12.75">
      <c r="A588" s="5" t="s">
        <v>852</v>
      </c>
      <c r="B588" s="3" t="s">
        <v>855</v>
      </c>
      <c r="C588" s="3" t="s">
        <v>869</v>
      </c>
      <c r="D588" s="3"/>
      <c r="E588" s="3"/>
      <c r="F588" s="6">
        <f>100*SUM(AM588:AO588)/AL588</f>
      </c>
      <c r="G588" s="6">
        <f>100*SUM(AP588)/AL588</f>
      </c>
      <c r="H588" s="6">
        <f>100*SUM(AQ588)/AL588</f>
      </c>
      <c r="I588" s="6">
        <f>100*SUM(AR588:BC588)/AL588</f>
      </c>
      <c r="J588" s="3"/>
      <c r="K588" s="23">
        <v>1.2469160000000001</v>
      </c>
      <c r="L588" s="6"/>
      <c r="M588" s="6">
        <v>0.15666859275203782</v>
      </c>
      <c r="N588" s="7">
        <v>13.489342746423977</v>
      </c>
      <c r="O588" s="6"/>
      <c r="P588" s="6">
        <v>0.503490133256771</v>
      </c>
      <c r="Q588" s="7"/>
      <c r="R588" s="6"/>
      <c r="S588" s="6"/>
      <c r="T588" s="6"/>
      <c r="U588" s="5"/>
      <c r="V588" s="6"/>
      <c r="W588" s="6"/>
      <c r="X588" s="6"/>
      <c r="Y588" s="15"/>
      <c r="Z588" s="6"/>
      <c r="AA588" s="6"/>
      <c r="AB588" s="5"/>
      <c r="AC588" s="3"/>
      <c r="AD588" s="6">
        <v>0</v>
      </c>
      <c r="AE588" s="6">
        <v>0.00195352575</v>
      </c>
      <c r="AF588" s="7">
        <v>16.8200773</v>
      </c>
      <c r="AG588" s="6">
        <v>0</v>
      </c>
      <c r="AH588" s="7">
        <v>0.6278099030000001</v>
      </c>
      <c r="AI588" s="15">
        <v>0.00195352575</v>
      </c>
      <c r="AJ588" s="6">
        <v>0.15666859275203782</v>
      </c>
      <c r="AK588" s="3"/>
      <c r="AL588" s="6">
        <v>32.21672640615874</v>
      </c>
      <c r="AM588" s="6">
        <v>0</v>
      </c>
      <c r="AN588" s="6">
        <v>3.4021070588742544</v>
      </c>
      <c r="AO588" s="6">
        <v>8.254089789853644</v>
      </c>
      <c r="AP588" s="6">
        <v>0</v>
      </c>
      <c r="AQ588" s="6">
        <v>20.560529557430844</v>
      </c>
      <c r="AR588" s="6">
        <v>0</v>
      </c>
      <c r="AS588" s="6">
        <v>0</v>
      </c>
      <c r="AT588" s="6">
        <v>0</v>
      </c>
      <c r="AU588" s="6">
        <v>0</v>
      </c>
      <c r="AV588" s="6">
        <v>0</v>
      </c>
      <c r="AW588" s="6">
        <v>0</v>
      </c>
      <c r="AX588" s="6">
        <v>0</v>
      </c>
      <c r="AY588" s="6">
        <v>0</v>
      </c>
      <c r="AZ588" s="6">
        <v>0</v>
      </c>
      <c r="BA588" s="6">
        <v>0</v>
      </c>
      <c r="BB588" s="6">
        <v>0</v>
      </c>
      <c r="BC588" s="6"/>
      <c r="BD588" s="3"/>
      <c r="BE588" s="3"/>
      <c r="BF588" s="7">
        <v>40.17155162346184</v>
      </c>
    </row>
    <row x14ac:dyDescent="0.25" r="589" customHeight="1" ht="12.75">
      <c r="A589" s="5" t="s">
        <v>759</v>
      </c>
      <c r="B589" s="3" t="s">
        <v>855</v>
      </c>
      <c r="C589" s="3" t="s">
        <v>1018</v>
      </c>
      <c r="D589" s="3"/>
      <c r="E589" s="3"/>
      <c r="F589" s="6">
        <f>100*SUM(AM589:AO589)/AL589</f>
      </c>
      <c r="G589" s="6">
        <f>100*SUM(AP589)/AL589</f>
      </c>
      <c r="H589" s="6">
        <f>100*SUM(AQ589)/AL589</f>
      </c>
      <c r="I589" s="6">
        <f>100*SUM(AR589:BC589)/AL589</f>
      </c>
      <c r="J589" s="3"/>
      <c r="K589" s="6">
        <v>80.36</v>
      </c>
      <c r="L589" s="6"/>
      <c r="M589" s="23">
        <v>0.12005226480836236</v>
      </c>
      <c r="N589" s="5"/>
      <c r="O589" s="23">
        <v>0.05142670482827277</v>
      </c>
      <c r="P589" s="6"/>
      <c r="Q589" s="7"/>
      <c r="R589" s="6"/>
      <c r="S589" s="6"/>
      <c r="T589" s="23">
        <v>0.10314659034345446</v>
      </c>
      <c r="U589" s="5"/>
      <c r="V589" s="6"/>
      <c r="W589" s="6"/>
      <c r="X589" s="6"/>
      <c r="Y589" s="15"/>
      <c r="Z589" s="6"/>
      <c r="AA589" s="6"/>
      <c r="AB589" s="5"/>
      <c r="AC589" s="3"/>
      <c r="AD589" s="6">
        <v>0</v>
      </c>
      <c r="AE589" s="6">
        <v>0.09647399999999999</v>
      </c>
      <c r="AF589" s="7">
        <v>0</v>
      </c>
      <c r="AG589" s="6">
        <v>0.0413265</v>
      </c>
      <c r="AH589" s="7">
        <v>0</v>
      </c>
      <c r="AI589" s="15">
        <v>0.1378005</v>
      </c>
      <c r="AJ589" s="6">
        <v>0.17147896963663511</v>
      </c>
      <c r="AK589" s="3"/>
      <c r="AL589" s="6">
        <v>7.189131106010453</v>
      </c>
      <c r="AM589" s="6">
        <v>0</v>
      </c>
      <c r="AN589" s="6">
        <v>2.606972146515679</v>
      </c>
      <c r="AO589" s="6">
        <v>0</v>
      </c>
      <c r="AP589" s="6">
        <v>3.5713223741289197</v>
      </c>
      <c r="AQ589" s="6">
        <v>0</v>
      </c>
      <c r="AR589" s="6">
        <v>0</v>
      </c>
      <c r="AS589" s="6">
        <v>0</v>
      </c>
      <c r="AT589" s="6">
        <v>0</v>
      </c>
      <c r="AU589" s="6">
        <v>1.0108365853658536</v>
      </c>
      <c r="AV589" s="6">
        <v>0</v>
      </c>
      <c r="AW589" s="6">
        <v>0</v>
      </c>
      <c r="AX589" s="6">
        <v>0</v>
      </c>
      <c r="AY589" s="6">
        <v>0</v>
      </c>
      <c r="AZ589" s="6">
        <v>0</v>
      </c>
      <c r="BA589" s="6">
        <v>0</v>
      </c>
      <c r="BB589" s="6">
        <v>0</v>
      </c>
      <c r="BC589" s="6"/>
      <c r="BD589" s="3"/>
      <c r="BE589" s="3"/>
      <c r="BF589" s="7">
        <v>577.718575679</v>
      </c>
    </row>
    <row x14ac:dyDescent="0.25" r="590" customHeight="1" ht="12.75">
      <c r="A590" s="5" t="s">
        <v>390</v>
      </c>
      <c r="B590" s="3" t="s">
        <v>855</v>
      </c>
      <c r="C590" s="3" t="s">
        <v>1019</v>
      </c>
      <c r="D590" s="3"/>
      <c r="E590" s="3"/>
      <c r="F590" s="6">
        <f>100*SUM(AM590:AO590)/AL590</f>
      </c>
      <c r="G590" s="6">
        <f>100*SUM(AP590)/AL590</f>
      </c>
      <c r="H590" s="6">
        <f>100*SUM(AQ590)/AL590</f>
      </c>
      <c r="I590" s="6">
        <f>100*SUM(AR590:BC590)/AL590</f>
      </c>
      <c r="J590" s="3"/>
      <c r="K590" s="23">
        <v>7.390939</v>
      </c>
      <c r="L590" s="6">
        <v>2.2</v>
      </c>
      <c r="M590" s="6">
        <v>1.1</v>
      </c>
      <c r="N590" s="6">
        <v>66.5</v>
      </c>
      <c r="O590" s="6"/>
      <c r="P590" s="7">
        <v>4.8581083</v>
      </c>
      <c r="Q590" s="7"/>
      <c r="R590" s="6"/>
      <c r="S590" s="6"/>
      <c r="T590" s="6"/>
      <c r="U590" s="5"/>
      <c r="V590" s="6"/>
      <c r="W590" s="6"/>
      <c r="X590" s="6"/>
      <c r="Y590" s="15"/>
      <c r="Z590" s="6"/>
      <c r="AA590" s="6"/>
      <c r="AB590" s="5"/>
      <c r="AC590" s="3"/>
      <c r="AD590" s="6">
        <v>0.16260065800000004</v>
      </c>
      <c r="AE590" s="6">
        <v>0.08130032900000002</v>
      </c>
      <c r="AF590" s="7">
        <v>491.49744350000003</v>
      </c>
      <c r="AG590" s="6">
        <v>0</v>
      </c>
      <c r="AH590" s="7">
        <v>35.9059821006937</v>
      </c>
      <c r="AI590" s="15">
        <v>0.24390098700000007</v>
      </c>
      <c r="AJ590" s="6">
        <v>3.3000000000000003</v>
      </c>
      <c r="AK590" s="3"/>
      <c r="AL590" s="6">
        <v>304.6748035787781</v>
      </c>
      <c r="AM590" s="6">
        <v>41.711032</v>
      </c>
      <c r="AN590" s="6">
        <v>23.886841</v>
      </c>
      <c r="AO590" s="6">
        <v>40.691157556270106</v>
      </c>
      <c r="AP590" s="6">
        <v>0</v>
      </c>
      <c r="AQ590" s="6">
        <v>198.385773022508</v>
      </c>
      <c r="AR590" s="6">
        <v>0</v>
      </c>
      <c r="AS590" s="6">
        <v>0</v>
      </c>
      <c r="AT590" s="6">
        <v>0</v>
      </c>
      <c r="AU590" s="6">
        <v>0</v>
      </c>
      <c r="AV590" s="6">
        <v>0</v>
      </c>
      <c r="AW590" s="6">
        <v>0</v>
      </c>
      <c r="AX590" s="6">
        <v>0</v>
      </c>
      <c r="AY590" s="6">
        <v>0</v>
      </c>
      <c r="AZ590" s="6">
        <v>0</v>
      </c>
      <c r="BA590" s="6">
        <v>0</v>
      </c>
      <c r="BB590" s="6">
        <v>0</v>
      </c>
      <c r="BC590" s="6"/>
      <c r="BD590" s="3"/>
      <c r="BE590" s="3"/>
      <c r="BF590" s="7">
        <v>2251.8328880877307</v>
      </c>
    </row>
    <row x14ac:dyDescent="0.25" r="591" customHeight="1" ht="12.75">
      <c r="A591" s="5" t="s">
        <v>233</v>
      </c>
      <c r="B591" s="3" t="s">
        <v>855</v>
      </c>
      <c r="C591" s="3" t="s">
        <v>869</v>
      </c>
      <c r="D591" s="3"/>
      <c r="E591" s="3"/>
      <c r="F591" s="6">
        <f>100*SUM(AM591:AO591)/AL591</f>
      </c>
      <c r="G591" s="6">
        <f>100*SUM(AP591)/AL591</f>
      </c>
      <c r="H591" s="6">
        <f>100*SUM(AQ591)/AL591</f>
      </c>
      <c r="I591" s="6">
        <f>100*SUM(AR591:BC591)/AL591</f>
      </c>
      <c r="J591" s="3"/>
      <c r="K591" s="6">
        <v>71.113</v>
      </c>
      <c r="L591" s="6"/>
      <c r="M591" s="6">
        <v>1.8791723032356953</v>
      </c>
      <c r="N591" s="5"/>
      <c r="O591" s="6">
        <v>0.2090285883031232</v>
      </c>
      <c r="P591" s="6"/>
      <c r="Q591" s="7"/>
      <c r="R591" s="6"/>
      <c r="S591" s="6"/>
      <c r="T591" s="6"/>
      <c r="U591" s="31">
        <v>22.923656715368498</v>
      </c>
      <c r="V591" s="6"/>
      <c r="W591" s="31">
        <v>42.344718968402404</v>
      </c>
      <c r="X591" s="6"/>
      <c r="Y591" s="15"/>
      <c r="Z591" s="6"/>
      <c r="AA591" s="6"/>
      <c r="AB591" s="5"/>
      <c r="AC591" s="3"/>
      <c r="AD591" s="6">
        <v>0</v>
      </c>
      <c r="AE591" s="6">
        <v>1.3363357999999999</v>
      </c>
      <c r="AF591" s="7">
        <v>0</v>
      </c>
      <c r="AG591" s="6">
        <v>0.14864650000000001</v>
      </c>
      <c r="AH591" s="7">
        <v>0</v>
      </c>
      <c r="AI591" s="15">
        <v>1.4849823</v>
      </c>
      <c r="AJ591" s="6">
        <v>2.0882008915388184</v>
      </c>
      <c r="AK591" s="3"/>
      <c r="AL591" s="6">
        <v>114.93983236391097</v>
      </c>
      <c r="AM591" s="6">
        <v>0</v>
      </c>
      <c r="AN591" s="6">
        <v>40.80680910817713</v>
      </c>
      <c r="AO591" s="6">
        <v>0</v>
      </c>
      <c r="AP591" s="6">
        <v>14.515969411851561</v>
      </c>
      <c r="AQ591" s="6">
        <v>0</v>
      </c>
      <c r="AR591" s="6">
        <v>0</v>
      </c>
      <c r="AS591" s="6">
        <v>0</v>
      </c>
      <c r="AT591" s="6">
        <v>0</v>
      </c>
      <c r="AU591" s="6">
        <v>0</v>
      </c>
      <c r="AV591" s="6">
        <v>16.848887685795845</v>
      </c>
      <c r="AW591" s="6">
        <v>0</v>
      </c>
      <c r="AX591" s="6">
        <v>42.76816615808643</v>
      </c>
      <c r="AY591" s="6">
        <v>0</v>
      </c>
      <c r="AZ591" s="6">
        <v>0</v>
      </c>
      <c r="BA591" s="6">
        <v>0</v>
      </c>
      <c r="BB591" s="6">
        <v>0</v>
      </c>
      <c r="BC591" s="6"/>
      <c r="BD591" s="3"/>
      <c r="BE591" s="3"/>
      <c r="BF591" s="7">
        <v>8173.7162988948</v>
      </c>
    </row>
    <row x14ac:dyDescent="0.25" r="592" customHeight="1" ht="12.75">
      <c r="A592" s="5" t="s">
        <v>597</v>
      </c>
      <c r="B592" s="3" t="s">
        <v>855</v>
      </c>
      <c r="C592" s="3" t="s">
        <v>869</v>
      </c>
      <c r="D592" s="3"/>
      <c r="E592" s="3"/>
      <c r="F592" s="6">
        <f>100*SUM(AM592:AO592)/AL592</f>
      </c>
      <c r="G592" s="6">
        <f>100*SUM(AP592)/AL592</f>
      </c>
      <c r="H592" s="6">
        <f>100*SUM(AQ592)/AL592</f>
      </c>
      <c r="I592" s="6">
        <f>100*SUM(AR592:BC592)/AL592</f>
      </c>
      <c r="J592" s="3"/>
      <c r="K592" s="23">
        <v>10.985329</v>
      </c>
      <c r="L592" s="6"/>
      <c r="M592" s="6">
        <v>1.7922796213021934</v>
      </c>
      <c r="N592" s="7">
        <v>18.32279621302193</v>
      </c>
      <c r="O592" s="6">
        <v>1.1460182284936573</v>
      </c>
      <c r="P592" s="6">
        <v>0.8968693035957321</v>
      </c>
      <c r="Q592" s="7"/>
      <c r="R592" s="6"/>
      <c r="S592" s="6"/>
      <c r="T592" s="6"/>
      <c r="U592" s="5"/>
      <c r="V592" s="6"/>
      <c r="W592" s="6"/>
      <c r="X592" s="6"/>
      <c r="Y592" s="15"/>
      <c r="Z592" s="6"/>
      <c r="AA592" s="6"/>
      <c r="AB592" s="5"/>
      <c r="AC592" s="3"/>
      <c r="AD592" s="6">
        <v>0</v>
      </c>
      <c r="AE592" s="6">
        <v>0.19688781300000002</v>
      </c>
      <c r="AF592" s="7">
        <v>201.2819446</v>
      </c>
      <c r="AG592" s="6">
        <v>0.1258938728</v>
      </c>
      <c r="AH592" s="7">
        <v>9.85240437</v>
      </c>
      <c r="AI592" s="15">
        <v>0.3227816858</v>
      </c>
      <c r="AJ592" s="6">
        <v>2.938297849795851</v>
      </c>
      <c r="AK592" s="3"/>
      <c r="AL592" s="6">
        <v>166.34126125468975</v>
      </c>
      <c r="AM592" s="6">
        <v>0</v>
      </c>
      <c r="AN592" s="6">
        <v>38.919907583259736</v>
      </c>
      <c r="AO592" s="6">
        <v>11.211665978579017</v>
      </c>
      <c r="AP592" s="6">
        <v>79.58512127591918</v>
      </c>
      <c r="AQ592" s="6">
        <v>36.62456641693183</v>
      </c>
      <c r="AR592" s="6">
        <v>0</v>
      </c>
      <c r="AS592" s="6">
        <v>0</v>
      </c>
      <c r="AT592" s="6">
        <v>0</v>
      </c>
      <c r="AU592" s="6">
        <v>0</v>
      </c>
      <c r="AV592" s="6">
        <v>0</v>
      </c>
      <c r="AW592" s="6">
        <v>0</v>
      </c>
      <c r="AX592" s="6">
        <v>0</v>
      </c>
      <c r="AY592" s="6">
        <v>0</v>
      </c>
      <c r="AZ592" s="6">
        <v>0</v>
      </c>
      <c r="BA592" s="6">
        <v>0</v>
      </c>
      <c r="BB592" s="6">
        <v>0</v>
      </c>
      <c r="BC592" s="6"/>
      <c r="BD592" s="3"/>
      <c r="BE592" s="3"/>
      <c r="BF592" s="7">
        <v>1827.3134811577197</v>
      </c>
    </row>
    <row x14ac:dyDescent="0.25" r="593" customHeight="1" ht="12.75">
      <c r="A593" s="5" t="s">
        <v>473</v>
      </c>
      <c r="B593" s="3" t="s">
        <v>855</v>
      </c>
      <c r="C593" s="3" t="s">
        <v>869</v>
      </c>
      <c r="D593" s="3"/>
      <c r="E593" s="3"/>
      <c r="F593" s="6">
        <f>100*SUM(AM593:AO593)/AL593</f>
      </c>
      <c r="G593" s="6">
        <f>100*SUM(AP593)/AL593</f>
      </c>
      <c r="H593" s="6">
        <f>100*SUM(AQ593)/AL593</f>
      </c>
      <c r="I593" s="6">
        <f>100*SUM(AR593:BC593)/AL593</f>
      </c>
      <c r="J593" s="3"/>
      <c r="K593" s="6">
        <v>34.658</v>
      </c>
      <c r="L593" s="6"/>
      <c r="M593" s="6">
        <v>0.7510984476888453</v>
      </c>
      <c r="N593" s="7">
        <v>14.942682786081136</v>
      </c>
      <c r="O593" s="6">
        <v>0.7919545270933117</v>
      </c>
      <c r="P593" s="7">
        <v>0.19999999999999998</v>
      </c>
      <c r="Q593" s="7"/>
      <c r="R593" s="6"/>
      <c r="S593" s="6"/>
      <c r="T593" s="6"/>
      <c r="U593" s="5"/>
      <c r="V593" s="6"/>
      <c r="W593" s="6"/>
      <c r="X593" s="6"/>
      <c r="Y593" s="15"/>
      <c r="Z593" s="6"/>
      <c r="AA593" s="6"/>
      <c r="AB593" s="5"/>
      <c r="AC593" s="3"/>
      <c r="AD593" s="6">
        <v>0</v>
      </c>
      <c r="AE593" s="6">
        <v>0.2603157</v>
      </c>
      <c r="AF593" s="7">
        <v>517.8835</v>
      </c>
      <c r="AG593" s="6">
        <v>0.2744756</v>
      </c>
      <c r="AH593" s="7">
        <v>6.9315999999999995</v>
      </c>
      <c r="AI593" s="15">
        <v>0.5347913</v>
      </c>
      <c r="AJ593" s="6">
        <v>1.543052974782157</v>
      </c>
      <c r="AK593" s="3"/>
      <c r="AL593" s="6">
        <v>88.61812549728431</v>
      </c>
      <c r="AM593" s="6">
        <v>0</v>
      </c>
      <c r="AN593" s="6">
        <v>16.310335632082058</v>
      </c>
      <c r="AO593" s="6">
        <v>9.143384354312671</v>
      </c>
      <c r="AP593" s="6">
        <v>54.997202938542316</v>
      </c>
      <c r="AQ593" s="6">
        <v>8.167202572347266</v>
      </c>
      <c r="AR593" s="6">
        <v>0</v>
      </c>
      <c r="AS593" s="6">
        <v>0</v>
      </c>
      <c r="AT593" s="6">
        <v>0</v>
      </c>
      <c r="AU593" s="6">
        <v>0</v>
      </c>
      <c r="AV593" s="6">
        <v>0</v>
      </c>
      <c r="AW593" s="6">
        <v>0</v>
      </c>
      <c r="AX593" s="6">
        <v>0</v>
      </c>
      <c r="AY593" s="6">
        <v>0</v>
      </c>
      <c r="AZ593" s="6">
        <v>0</v>
      </c>
      <c r="BA593" s="6">
        <v>0</v>
      </c>
      <c r="BB593" s="6">
        <v>0</v>
      </c>
      <c r="BC593" s="6"/>
      <c r="BD593" s="3"/>
      <c r="BE593" s="3"/>
      <c r="BF593" s="7">
        <v>3071.32699348488</v>
      </c>
    </row>
    <row x14ac:dyDescent="0.25" r="594" customHeight="1" ht="12.75">
      <c r="A594" s="5" t="s">
        <v>4</v>
      </c>
      <c r="B594" s="3" t="s">
        <v>855</v>
      </c>
      <c r="C594" s="3" t="s">
        <v>869</v>
      </c>
      <c r="D594" s="3" t="s">
        <v>1020</v>
      </c>
      <c r="E594" s="3"/>
      <c r="F594" s="6">
        <f>100*SUM(AM594:AO594)/AL594</f>
      </c>
      <c r="G594" s="6">
        <f>100*SUM(AP594)/AL594</f>
      </c>
      <c r="H594" s="6">
        <f>100*SUM(AQ594)/AL594</f>
      </c>
      <c r="I594" s="6">
        <f>100*SUM(AR594:BC594)/AL594</f>
      </c>
      <c r="J594" s="3"/>
      <c r="K594" s="5">
        <v>2121</v>
      </c>
      <c r="L594" s="6"/>
      <c r="M594" s="6">
        <v>0.6544507307873644</v>
      </c>
      <c r="N594" s="7">
        <v>10.296888260254597</v>
      </c>
      <c r="O594" s="6">
        <v>0.834068835454974</v>
      </c>
      <c r="P594" s="6"/>
      <c r="Q594" s="7"/>
      <c r="R594" s="6"/>
      <c r="S594" s="6"/>
      <c r="T594" s="6"/>
      <c r="U594" s="5"/>
      <c r="V594" s="23">
        <v>0.017445073078736443</v>
      </c>
      <c r="W594" s="6"/>
      <c r="X594" s="6"/>
      <c r="Y594" s="15"/>
      <c r="Z594" s="6"/>
      <c r="AA594" s="6"/>
      <c r="AB594" s="5"/>
      <c r="AC594" s="3"/>
      <c r="AD594" s="6">
        <v>0</v>
      </c>
      <c r="AE594" s="6">
        <v>13.880899999999999</v>
      </c>
      <c r="AF594" s="7">
        <v>21839.7</v>
      </c>
      <c r="AG594" s="6">
        <v>17.6906</v>
      </c>
      <c r="AH594" s="7">
        <v>0</v>
      </c>
      <c r="AI594" s="15">
        <v>31.5715</v>
      </c>
      <c r="AJ594" s="6">
        <v>1.4885195662423385</v>
      </c>
      <c r="AK594" s="3"/>
      <c r="AL594" s="6">
        <v>83.12678815662225</v>
      </c>
      <c r="AM594" s="6">
        <v>0</v>
      </c>
      <c r="AN594" s="6">
        <v>14.211600498774162</v>
      </c>
      <c r="AO594" s="6">
        <v>6.3006361283808685</v>
      </c>
      <c r="AP594" s="6">
        <v>57.92182687128713</v>
      </c>
      <c r="AQ594" s="6">
        <v>0</v>
      </c>
      <c r="AR594" s="6">
        <v>0</v>
      </c>
      <c r="AS594" s="6">
        <v>0</v>
      </c>
      <c r="AT594" s="6">
        <v>0</v>
      </c>
      <c r="AU594" s="6">
        <v>0</v>
      </c>
      <c r="AV594" s="6">
        <v>0</v>
      </c>
      <c r="AW594" s="6">
        <v>4.6927246581801025</v>
      </c>
      <c r="AX594" s="6">
        <v>0</v>
      </c>
      <c r="AY594" s="6">
        <v>0</v>
      </c>
      <c r="AZ594" s="6">
        <v>0</v>
      </c>
      <c r="BA594" s="6">
        <v>0</v>
      </c>
      <c r="BB594" s="6">
        <v>0</v>
      </c>
      <c r="BC594" s="6"/>
      <c r="BD594" s="3"/>
      <c r="BE594" s="3"/>
      <c r="BF594" s="7">
        <v>176311.9176801958</v>
      </c>
    </row>
    <row x14ac:dyDescent="0.25" r="595" customHeight="1" ht="12.75">
      <c r="A595" s="5" t="s">
        <v>783</v>
      </c>
      <c r="B595" s="3" t="s">
        <v>855</v>
      </c>
      <c r="C595" s="3" t="s">
        <v>869</v>
      </c>
      <c r="D595" s="3"/>
      <c r="E595" s="3"/>
      <c r="F595" s="6">
        <f>100*SUM(AM595:AO595)/AL595</f>
      </c>
      <c r="G595" s="6">
        <f>100*SUM(AP595)/AL595</f>
      </c>
      <c r="H595" s="6">
        <f>100*SUM(AQ595)/AL595</f>
      </c>
      <c r="I595" s="6">
        <f>100*SUM(AR595:BC595)/AL595</f>
      </c>
      <c r="J595" s="3"/>
      <c r="K595" s="6">
        <v>11.6</v>
      </c>
      <c r="L595" s="6"/>
      <c r="M595" s="6">
        <v>0.4665217391304347</v>
      </c>
      <c r="N595" s="5"/>
      <c r="O595" s="6"/>
      <c r="P595" s="6"/>
      <c r="Q595" s="7"/>
      <c r="R595" s="6"/>
      <c r="S595" s="6"/>
      <c r="T595" s="6">
        <v>0.37</v>
      </c>
      <c r="U595" s="31">
        <v>28.152173913043477</v>
      </c>
      <c r="V595" s="6"/>
      <c r="W595" s="6"/>
      <c r="X595" s="6"/>
      <c r="Y595" s="15"/>
      <c r="Z595" s="6"/>
      <c r="AA595" s="6"/>
      <c r="AB595" s="31">
        <v>22.52173913043478</v>
      </c>
      <c r="AC595" s="3" t="s">
        <v>995</v>
      </c>
      <c r="AD595" s="6">
        <v>0</v>
      </c>
      <c r="AE595" s="6">
        <v>0.054116521739130424</v>
      </c>
      <c r="AF595" s="7">
        <v>0</v>
      </c>
      <c r="AG595" s="6">
        <v>0</v>
      </c>
      <c r="AH595" s="7">
        <v>0</v>
      </c>
      <c r="AI595" s="15">
        <v>0.054116521739130424</v>
      </c>
      <c r="AJ595" s="6">
        <v>0.4665217391304347</v>
      </c>
      <c r="AK595" s="3"/>
      <c r="AL595" s="6">
        <v>42.60138157826087</v>
      </c>
      <c r="AM595" s="6">
        <v>0</v>
      </c>
      <c r="AN595" s="6">
        <v>10.130664186956519</v>
      </c>
      <c r="AO595" s="6">
        <v>0</v>
      </c>
      <c r="AP595" s="6">
        <v>0</v>
      </c>
      <c r="AQ595" s="6">
        <v>0</v>
      </c>
      <c r="AR595" s="6">
        <v>0</v>
      </c>
      <c r="AS595" s="6">
        <v>0</v>
      </c>
      <c r="AT595" s="6">
        <v>0</v>
      </c>
      <c r="AU595" s="6">
        <v>3.6260000000000003</v>
      </c>
      <c r="AV595" s="6">
        <v>20.691847826086956</v>
      </c>
      <c r="AW595" s="6">
        <v>0</v>
      </c>
      <c r="AX595" s="6">
        <v>0</v>
      </c>
      <c r="AY595" s="6">
        <v>0</v>
      </c>
      <c r="AZ595" s="6">
        <v>0</v>
      </c>
      <c r="BA595" s="6">
        <v>0</v>
      </c>
      <c r="BB595" s="6">
        <v>0</v>
      </c>
      <c r="BC595" s="6">
        <v>8.15286956521739</v>
      </c>
      <c r="BD595" s="3" t="s">
        <v>996</v>
      </c>
      <c r="BE595" s="3"/>
      <c r="BF595" s="7">
        <v>494.1760263078261</v>
      </c>
    </row>
    <row x14ac:dyDescent="0.25" r="596" customHeight="1" ht="12.75">
      <c r="A596" s="5" t="s">
        <v>743</v>
      </c>
      <c r="B596" s="3" t="s">
        <v>855</v>
      </c>
      <c r="C596" s="3" t="s">
        <v>869</v>
      </c>
      <c r="D596" s="3"/>
      <c r="E596" s="3"/>
      <c r="F596" s="6">
        <f>100*SUM(AM596:AO596)/AL596</f>
      </c>
      <c r="G596" s="6">
        <f>100*SUM(AP596)/AL596</f>
      </c>
      <c r="H596" s="6">
        <f>100*SUM(AQ596)/AL596</f>
      </c>
      <c r="I596" s="6">
        <f>100*SUM(AR596:BC596)/AL596</f>
      </c>
      <c r="J596" s="3"/>
      <c r="K596" s="23">
        <v>1.58223</v>
      </c>
      <c r="L596" s="6">
        <v>0.52</v>
      </c>
      <c r="M596" s="6"/>
      <c r="N596" s="6">
        <v>48.05</v>
      </c>
      <c r="O596" s="6">
        <v>1.49</v>
      </c>
      <c r="P596" s="6"/>
      <c r="Q596" s="7"/>
      <c r="R596" s="6"/>
      <c r="S596" s="6"/>
      <c r="T596" s="6"/>
      <c r="U596" s="5"/>
      <c r="V596" s="6"/>
      <c r="W596" s="6"/>
      <c r="X596" s="6"/>
      <c r="Y596" s="15"/>
      <c r="Z596" s="6"/>
      <c r="AA596" s="6"/>
      <c r="AB596" s="6">
        <v>0.12</v>
      </c>
      <c r="AC596" s="3" t="s">
        <v>980</v>
      </c>
      <c r="AD596" s="6">
        <v>0.008227596</v>
      </c>
      <c r="AE596" s="6">
        <v>0</v>
      </c>
      <c r="AF596" s="7">
        <v>76.0261515</v>
      </c>
      <c r="AG596" s="6">
        <v>0.023575227</v>
      </c>
      <c r="AH596" s="7">
        <v>0</v>
      </c>
      <c r="AI596" s="15">
        <v>0.031802823</v>
      </c>
      <c r="AJ596" s="6">
        <v>2.01</v>
      </c>
      <c r="AK596" s="3"/>
      <c r="AL596" s="6">
        <v>172.86600094855302</v>
      </c>
      <c r="AM596" s="6">
        <v>9.8589712</v>
      </c>
      <c r="AN596" s="6">
        <v>0</v>
      </c>
      <c r="AO596" s="6">
        <v>29.401655948553056</v>
      </c>
      <c r="AP596" s="6">
        <v>103.472901</v>
      </c>
      <c r="AQ596" s="6">
        <v>0</v>
      </c>
      <c r="AR596" s="6">
        <v>0</v>
      </c>
      <c r="AS596" s="6">
        <v>0</v>
      </c>
      <c r="AT596" s="6">
        <v>0</v>
      </c>
      <c r="AU596" s="6">
        <v>0</v>
      </c>
      <c r="AV596" s="6">
        <v>0</v>
      </c>
      <c r="AW596" s="6">
        <v>0</v>
      </c>
      <c r="AX596" s="6">
        <v>0</v>
      </c>
      <c r="AY596" s="6">
        <v>0</v>
      </c>
      <c r="AZ596" s="6">
        <v>0</v>
      </c>
      <c r="BA596" s="6">
        <v>0</v>
      </c>
      <c r="BB596" s="6">
        <v>0</v>
      </c>
      <c r="BC596" s="6">
        <v>30.1324728</v>
      </c>
      <c r="BD596" s="3" t="s">
        <v>981</v>
      </c>
      <c r="BE596" s="3"/>
      <c r="BF596" s="7">
        <v>273.51377268082905</v>
      </c>
    </row>
    <row x14ac:dyDescent="0.25" r="597" customHeight="1" ht="12.75">
      <c r="A597" s="5" t="s">
        <v>550</v>
      </c>
      <c r="B597" s="3" t="s">
        <v>855</v>
      </c>
      <c r="C597" s="3" t="s">
        <v>869</v>
      </c>
      <c r="D597" s="3"/>
      <c r="E597" s="3"/>
      <c r="F597" s="6">
        <f>100*SUM(AM597:AO597)/AL597</f>
      </c>
      <c r="G597" s="6">
        <f>100*SUM(AP597)/AL597</f>
      </c>
      <c r="H597" s="6">
        <f>100*SUM(AQ597)/AL597</f>
      </c>
      <c r="I597" s="6">
        <f>100*SUM(AR597:BC597)/AL597</f>
      </c>
      <c r="J597" s="3"/>
      <c r="K597" s="6">
        <v>32.2</v>
      </c>
      <c r="L597" s="6"/>
      <c r="M597" s="6">
        <v>0.74</v>
      </c>
      <c r="N597" s="5"/>
      <c r="O597" s="6"/>
      <c r="P597" s="6"/>
      <c r="Q597" s="7"/>
      <c r="R597" s="6"/>
      <c r="S597" s="6"/>
      <c r="T597" s="6">
        <v>0.35</v>
      </c>
      <c r="U597" s="5">
        <v>71</v>
      </c>
      <c r="V597" s="6"/>
      <c r="W597" s="6"/>
      <c r="X597" s="6"/>
      <c r="Y597" s="15"/>
      <c r="Z597" s="6"/>
      <c r="AA597" s="6"/>
      <c r="AB597" s="5"/>
      <c r="AC597" s="3"/>
      <c r="AD597" s="6">
        <v>0</v>
      </c>
      <c r="AE597" s="6">
        <v>0.23828000000000002</v>
      </c>
      <c r="AF597" s="7">
        <v>0</v>
      </c>
      <c r="AG597" s="6">
        <v>0</v>
      </c>
      <c r="AH597" s="7">
        <v>0</v>
      </c>
      <c r="AI597" s="15">
        <v>0.23828000000000002</v>
      </c>
      <c r="AJ597" s="6">
        <v>0.74</v>
      </c>
      <c r="AK597" s="3"/>
      <c r="AL597" s="6">
        <v>71.6843294</v>
      </c>
      <c r="AM597" s="6">
        <v>0</v>
      </c>
      <c r="AN597" s="6">
        <v>16.0693294</v>
      </c>
      <c r="AO597" s="6">
        <v>0</v>
      </c>
      <c r="AP597" s="6">
        <v>0</v>
      </c>
      <c r="AQ597" s="6">
        <v>0</v>
      </c>
      <c r="AR597" s="6">
        <v>0</v>
      </c>
      <c r="AS597" s="6">
        <v>0</v>
      </c>
      <c r="AT597" s="6">
        <v>0</v>
      </c>
      <c r="AU597" s="6">
        <v>3.4299999999999997</v>
      </c>
      <c r="AV597" s="6">
        <v>52.185</v>
      </c>
      <c r="AW597" s="6">
        <v>0</v>
      </c>
      <c r="AX597" s="6">
        <v>0</v>
      </c>
      <c r="AY597" s="6">
        <v>0</v>
      </c>
      <c r="AZ597" s="6">
        <v>0</v>
      </c>
      <c r="BA597" s="6">
        <v>0</v>
      </c>
      <c r="BB597" s="6">
        <v>0</v>
      </c>
      <c r="BC597" s="6"/>
      <c r="BD597" s="3"/>
      <c r="BE597" s="3"/>
      <c r="BF597" s="7">
        <v>2308.23540668</v>
      </c>
    </row>
    <row x14ac:dyDescent="0.25" r="598" customHeight="1" ht="12.75">
      <c r="A598" s="5" t="s">
        <v>796</v>
      </c>
      <c r="B598" s="3" t="s">
        <v>855</v>
      </c>
      <c r="C598" s="3" t="s">
        <v>869</v>
      </c>
      <c r="D598" s="3"/>
      <c r="E598" s="3"/>
      <c r="F598" s="6">
        <f>100*SUM(AM598:AO598)/AL598</f>
      </c>
      <c r="G598" s="6">
        <f>100*SUM(AP598)/AL598</f>
      </c>
      <c r="H598" s="6">
        <f>100*SUM(AQ598)/AL598</f>
      </c>
      <c r="I598" s="6">
        <f>100*SUM(AR598:BC598)/AL598</f>
      </c>
      <c r="J598" s="3"/>
      <c r="K598" s="6">
        <v>4.9</v>
      </c>
      <c r="L598" s="6"/>
      <c r="M598" s="7">
        <v>0.5967346938775511</v>
      </c>
      <c r="N598" s="7">
        <v>8.26734693877551</v>
      </c>
      <c r="O598" s="7">
        <v>0.3448979591836735</v>
      </c>
      <c r="P598" s="7">
        <v>0.5714285714285714</v>
      </c>
      <c r="Q598" s="7"/>
      <c r="R598" s="6"/>
      <c r="S598" s="6"/>
      <c r="T598" s="6"/>
      <c r="U598" s="5"/>
      <c r="V598" s="6"/>
      <c r="W598" s="6">
        <v>25.4</v>
      </c>
      <c r="X598" s="6"/>
      <c r="Y598" s="15"/>
      <c r="Z598" s="6"/>
      <c r="AA598" s="6"/>
      <c r="AB598" s="5"/>
      <c r="AC598" s="3"/>
      <c r="AD598" s="6">
        <v>0</v>
      </c>
      <c r="AE598" s="6">
        <v>0.029240000000000002</v>
      </c>
      <c r="AF598" s="7">
        <v>40.510000000000005</v>
      </c>
      <c r="AG598" s="6">
        <v>0.016900000000000002</v>
      </c>
      <c r="AH598" s="7">
        <v>2.8000000000000003</v>
      </c>
      <c r="AI598" s="15">
        <v>0.04614</v>
      </c>
      <c r="AJ598" s="6">
        <v>0.9416326530612246</v>
      </c>
      <c r="AK598" s="3"/>
      <c r="AL598" s="6">
        <v>90.95731331047969</v>
      </c>
      <c r="AM598" s="6">
        <v>0</v>
      </c>
      <c r="AN598" s="6">
        <v>12.958278865306124</v>
      </c>
      <c r="AO598" s="6">
        <v>5.05876566703852</v>
      </c>
      <c r="AP598" s="6">
        <v>23.951404285714286</v>
      </c>
      <c r="AQ598" s="6">
        <v>23.33486449242076</v>
      </c>
      <c r="AR598" s="6">
        <v>0</v>
      </c>
      <c r="AS598" s="6">
        <v>0</v>
      </c>
      <c r="AT598" s="6">
        <v>0</v>
      </c>
      <c r="AU598" s="6">
        <v>0</v>
      </c>
      <c r="AV598" s="6">
        <v>0</v>
      </c>
      <c r="AW598" s="6">
        <v>0</v>
      </c>
      <c r="AX598" s="6">
        <v>25.654</v>
      </c>
      <c r="AY598" s="6">
        <v>0</v>
      </c>
      <c r="AZ598" s="6">
        <v>0</v>
      </c>
      <c r="BA598" s="6">
        <v>0</v>
      </c>
      <c r="BB598" s="6">
        <v>0</v>
      </c>
      <c r="BC598" s="6"/>
      <c r="BD598" s="3"/>
      <c r="BE598" s="3"/>
      <c r="BF598" s="7">
        <v>445.69083522135054</v>
      </c>
    </row>
    <row x14ac:dyDescent="0.25" r="599" customHeight="1" ht="12.75">
      <c r="A599" s="5" t="s">
        <v>71</v>
      </c>
      <c r="B599" s="3" t="s">
        <v>855</v>
      </c>
      <c r="C599" s="3" t="s">
        <v>1015</v>
      </c>
      <c r="D599" s="3"/>
      <c r="E599" s="3"/>
      <c r="F599" s="6">
        <f>100*SUM(AM599:AO599)/AL599</f>
      </c>
      <c r="G599" s="6">
        <f>100*SUM(AP599)/AL599</f>
      </c>
      <c r="H599" s="6">
        <f>100*SUM(AQ599)/AL599</f>
      </c>
      <c r="I599" s="6">
        <f>100*SUM(AR599:BC599)/AL599</f>
      </c>
      <c r="J599" s="3"/>
      <c r="K599" s="6">
        <v>424.53</v>
      </c>
      <c r="L599" s="6"/>
      <c r="M599" s="6">
        <v>0.6637825359809671</v>
      </c>
      <c r="N599" s="7"/>
      <c r="O599" s="6">
        <v>0.6545080441900455</v>
      </c>
      <c r="P599" s="6"/>
      <c r="Q599" s="7"/>
      <c r="R599" s="6"/>
      <c r="S599" s="23">
        <v>0.05423293995712906</v>
      </c>
      <c r="T599" s="6"/>
      <c r="U599" s="5"/>
      <c r="V599" s="6"/>
      <c r="W599" s="6"/>
      <c r="X599" s="6"/>
      <c r="Y599" s="15"/>
      <c r="Z599" s="6"/>
      <c r="AA599" s="6"/>
      <c r="AB599" s="6">
        <v>3.116548889359998</v>
      </c>
      <c r="AC599" s="3" t="s">
        <v>1021</v>
      </c>
      <c r="AD599" s="6">
        <v>0</v>
      </c>
      <c r="AE599" s="6">
        <v>2.8179559999999997</v>
      </c>
      <c r="AF599" s="7">
        <v>0</v>
      </c>
      <c r="AG599" s="6">
        <v>2.778583</v>
      </c>
      <c r="AH599" s="7">
        <v>0</v>
      </c>
      <c r="AI599" s="15">
        <v>5.596539</v>
      </c>
      <c r="AJ599" s="6">
        <v>1.3182905801710127</v>
      </c>
      <c r="AK599" s="3"/>
      <c r="AL599" s="6">
        <v>76.72327794242102</v>
      </c>
      <c r="AM599" s="6">
        <v>0</v>
      </c>
      <c r="AN599" s="6">
        <v>14.414243541412855</v>
      </c>
      <c r="AO599" s="6">
        <v>0</v>
      </c>
      <c r="AP599" s="6">
        <v>45.45224567797329</v>
      </c>
      <c r="AQ599" s="6">
        <v>0</v>
      </c>
      <c r="AR599" s="6">
        <v>0</v>
      </c>
      <c r="AS599" s="6">
        <v>0</v>
      </c>
      <c r="AT599" s="6">
        <v>16.73867152012814</v>
      </c>
      <c r="AU599" s="6">
        <v>0</v>
      </c>
      <c r="AV599" s="6">
        <v>0</v>
      </c>
      <c r="AW599" s="6">
        <v>0</v>
      </c>
      <c r="AX599" s="6">
        <v>0</v>
      </c>
      <c r="AY599" s="6">
        <v>0</v>
      </c>
      <c r="AZ599" s="6">
        <v>0</v>
      </c>
      <c r="BA599" s="6">
        <v>0</v>
      </c>
      <c r="BB599" s="6">
        <v>0</v>
      </c>
      <c r="BC599" s="6">
        <v>0.11811720290674392</v>
      </c>
      <c r="BD599" s="3" t="s">
        <v>1022</v>
      </c>
      <c r="BE599" s="3"/>
      <c r="BF599" s="7">
        <v>32571.333184895993</v>
      </c>
    </row>
    <row x14ac:dyDescent="0.25" r="600" customHeight="1" ht="12.75">
      <c r="A600" s="5" t="s">
        <v>184</v>
      </c>
      <c r="B600" s="3" t="s">
        <v>855</v>
      </c>
      <c r="C600" s="3" t="s">
        <v>869</v>
      </c>
      <c r="D600" s="3"/>
      <c r="E600" s="3"/>
      <c r="F600" s="6">
        <f>100*SUM(AM600:AO600)/AL600</f>
      </c>
      <c r="G600" s="6">
        <f>100*SUM(AP600)/AL600</f>
      </c>
      <c r="H600" s="6">
        <f>100*SUM(AQ600)/AL600</f>
      </c>
      <c r="I600" s="6">
        <f>100*SUM(AR600:BC600)/AL600</f>
      </c>
      <c r="J600" s="3"/>
      <c r="K600" s="5">
        <v>78</v>
      </c>
      <c r="L600" s="6">
        <v>0.2472692307692308</v>
      </c>
      <c r="M600" s="6">
        <v>0.5038461538461539</v>
      </c>
      <c r="N600" s="5"/>
      <c r="O600" s="6">
        <v>0.28423076923076923</v>
      </c>
      <c r="P600" s="6"/>
      <c r="Q600" s="7"/>
      <c r="R600" s="6"/>
      <c r="S600" s="6"/>
      <c r="T600" s="6"/>
      <c r="U600" s="5"/>
      <c r="V600" s="6"/>
      <c r="W600" s="6"/>
      <c r="X600" s="6">
        <v>0.32961538461538464</v>
      </c>
      <c r="Y600" s="6"/>
      <c r="Z600" s="6"/>
      <c r="AA600" s="6"/>
      <c r="AB600" s="6"/>
      <c r="AC600" s="3"/>
      <c r="AD600" s="6">
        <v>0.19287</v>
      </c>
      <c r="AE600" s="6">
        <v>0.393</v>
      </c>
      <c r="AF600" s="7">
        <v>0</v>
      </c>
      <c r="AG600" s="6">
        <v>0.2217</v>
      </c>
      <c r="AH600" s="7">
        <v>0</v>
      </c>
      <c r="AI600" s="15">
        <v>0.80757</v>
      </c>
      <c r="AJ600" s="6">
        <v>1.035346153846154</v>
      </c>
      <c r="AK600" s="3"/>
      <c r="AL600" s="6">
        <v>150.73305320153844</v>
      </c>
      <c r="AM600" s="6">
        <v>4.688115816923077</v>
      </c>
      <c r="AN600" s="6">
        <v>10.941175423076924</v>
      </c>
      <c r="AO600" s="6">
        <v>0</v>
      </c>
      <c r="AP600" s="6">
        <v>19.738377346153843</v>
      </c>
      <c r="AQ600" s="6">
        <v>0</v>
      </c>
      <c r="AR600" s="6">
        <v>0</v>
      </c>
      <c r="AS600" s="6">
        <v>0</v>
      </c>
      <c r="AT600" s="6">
        <v>0</v>
      </c>
      <c r="AU600" s="6">
        <v>0</v>
      </c>
      <c r="AV600" s="6">
        <v>0</v>
      </c>
      <c r="AW600" s="6">
        <v>0</v>
      </c>
      <c r="AX600" s="6">
        <v>0</v>
      </c>
      <c r="AY600" s="6">
        <v>115.36538461538461</v>
      </c>
      <c r="AZ600" s="6">
        <v>0</v>
      </c>
      <c r="BA600" s="6">
        <v>0</v>
      </c>
      <c r="BB600" s="6">
        <v>0</v>
      </c>
      <c r="BC600" s="6"/>
      <c r="BD600" s="3"/>
      <c r="BE600" s="3"/>
      <c r="BF600" s="7">
        <v>11757.178149719999</v>
      </c>
    </row>
    <row x14ac:dyDescent="0.25" r="601" customHeight="1" ht="12.75">
      <c r="A601" s="5" t="s">
        <v>647</v>
      </c>
      <c r="B601" s="3" t="s">
        <v>855</v>
      </c>
      <c r="C601" s="3" t="s">
        <v>869</v>
      </c>
      <c r="D601" s="3"/>
      <c r="E601" s="3"/>
      <c r="F601" s="6">
        <f>100*SUM(AM601:AO601)/AL601</f>
      </c>
      <c r="G601" s="6">
        <f>100*SUM(AP601)/AL601</f>
      </c>
      <c r="H601" s="6">
        <f>100*SUM(AQ601)/AL601</f>
      </c>
      <c r="I601" s="6">
        <f>100*SUM(AR601:BC601)/AL601</f>
      </c>
      <c r="J601" s="3"/>
      <c r="K601" s="5">
        <v>20</v>
      </c>
      <c r="L601" s="6"/>
      <c r="M601" s="6">
        <v>0.35</v>
      </c>
      <c r="N601" s="5"/>
      <c r="O601" s="6">
        <v>0.35</v>
      </c>
      <c r="P601" s="6"/>
      <c r="Q601" s="7"/>
      <c r="R601" s="6"/>
      <c r="S601" s="6"/>
      <c r="T601" s="6"/>
      <c r="U601" s="5"/>
      <c r="V601" s="6"/>
      <c r="W601" s="5">
        <v>41</v>
      </c>
      <c r="X601" s="6"/>
      <c r="Y601" s="15"/>
      <c r="Z601" s="6"/>
      <c r="AA601" s="6"/>
      <c r="AB601" s="5"/>
      <c r="AC601" s="3"/>
      <c r="AD601" s="6">
        <v>0</v>
      </c>
      <c r="AE601" s="6">
        <v>0.07</v>
      </c>
      <c r="AF601" s="7">
        <v>0</v>
      </c>
      <c r="AG601" s="6">
        <v>0.07</v>
      </c>
      <c r="AH601" s="7">
        <v>0</v>
      </c>
      <c r="AI601" s="15">
        <v>0.14</v>
      </c>
      <c r="AJ601" s="6">
        <v>0.7</v>
      </c>
      <c r="AK601" s="3"/>
      <c r="AL601" s="6">
        <v>73.31607349999999</v>
      </c>
      <c r="AM601" s="6">
        <v>0</v>
      </c>
      <c r="AN601" s="6">
        <v>7.600358499999999</v>
      </c>
      <c r="AO601" s="6">
        <v>0</v>
      </c>
      <c r="AP601" s="6">
        <v>24.305714999999996</v>
      </c>
      <c r="AQ601" s="6">
        <v>0</v>
      </c>
      <c r="AR601" s="6">
        <v>0</v>
      </c>
      <c r="AS601" s="6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41.41</v>
      </c>
      <c r="AY601" s="6">
        <v>0</v>
      </c>
      <c r="AZ601" s="6">
        <v>0</v>
      </c>
      <c r="BA601" s="6">
        <v>0</v>
      </c>
      <c r="BB601" s="6">
        <v>0</v>
      </c>
      <c r="BC601" s="6"/>
      <c r="BD601" s="3"/>
      <c r="BE601" s="3"/>
      <c r="BF601" s="7">
        <v>1466.3214699999999</v>
      </c>
    </row>
    <row x14ac:dyDescent="0.25" r="602" customHeight="1" ht="12.75">
      <c r="A602" s="5" t="s">
        <v>172</v>
      </c>
      <c r="B602" s="3" t="s">
        <v>855</v>
      </c>
      <c r="C602" s="3" t="s">
        <v>869</v>
      </c>
      <c r="D602" s="3"/>
      <c r="E602" s="3"/>
      <c r="F602" s="6">
        <f>100*SUM(AM602:AO602)/AL602</f>
      </c>
      <c r="G602" s="6">
        <f>100*SUM(AP602)/AL602</f>
      </c>
      <c r="H602" s="6">
        <f>100*SUM(AQ602)/AL602</f>
      </c>
      <c r="I602" s="6">
        <f>100*SUM(AR602:BC602)/AL602</f>
      </c>
      <c r="J602" s="3"/>
      <c r="K602" s="6">
        <v>219.8</v>
      </c>
      <c r="L602" s="6"/>
      <c r="M602" s="6">
        <v>0.08</v>
      </c>
      <c r="N602" s="6">
        <v>3.81</v>
      </c>
      <c r="O602" s="6">
        <v>0.43</v>
      </c>
      <c r="P602" s="6">
        <v>0.61</v>
      </c>
      <c r="Q602" s="7"/>
      <c r="R602" s="6"/>
      <c r="S602" s="6"/>
      <c r="T602" s="6"/>
      <c r="U602" s="5"/>
      <c r="V602" s="6"/>
      <c r="W602" s="6"/>
      <c r="X602" s="6"/>
      <c r="Y602" s="15"/>
      <c r="Z602" s="6"/>
      <c r="AA602" s="6"/>
      <c r="AB602" s="5"/>
      <c r="AC602" s="3"/>
      <c r="AD602" s="6">
        <v>0</v>
      </c>
      <c r="AE602" s="6">
        <v>0.17584</v>
      </c>
      <c r="AF602" s="7">
        <v>837.4380000000001</v>
      </c>
      <c r="AG602" s="6">
        <v>0.9451400000000001</v>
      </c>
      <c r="AH602" s="7">
        <v>134.078</v>
      </c>
      <c r="AI602" s="15">
        <v>1.12098</v>
      </c>
      <c r="AJ602" s="6">
        <v>0.51</v>
      </c>
      <c r="AK602" s="3"/>
      <c r="AL602" s="6">
        <v>58.83982761993569</v>
      </c>
      <c r="AM602" s="6">
        <v>0</v>
      </c>
      <c r="AN602" s="6">
        <v>1.7372248000000001</v>
      </c>
      <c r="AO602" s="6">
        <v>2.331327974276528</v>
      </c>
      <c r="AP602" s="6">
        <v>29.861307</v>
      </c>
      <c r="AQ602" s="6">
        <v>24.909967845659164</v>
      </c>
      <c r="AR602" s="6">
        <v>0</v>
      </c>
      <c r="AS602" s="6">
        <v>0</v>
      </c>
      <c r="AT602" s="6">
        <v>0</v>
      </c>
      <c r="AU602" s="6">
        <v>0</v>
      </c>
      <c r="AV602" s="6">
        <v>0</v>
      </c>
      <c r="AW602" s="6">
        <v>0</v>
      </c>
      <c r="AX602" s="6">
        <v>0</v>
      </c>
      <c r="AY602" s="6">
        <v>0</v>
      </c>
      <c r="AZ602" s="6">
        <v>0</v>
      </c>
      <c r="BA602" s="6">
        <v>0</v>
      </c>
      <c r="BB602" s="6">
        <v>0</v>
      </c>
      <c r="BC602" s="6"/>
      <c r="BD602" s="3"/>
      <c r="BE602" s="3"/>
      <c r="BF602" s="7">
        <v>12932.994110861866</v>
      </c>
    </row>
    <row x14ac:dyDescent="0.25" r="603" customHeight="1" ht="12.75">
      <c r="A603" s="5" t="s">
        <v>197</v>
      </c>
      <c r="B603" s="3" t="s">
        <v>859</v>
      </c>
      <c r="C603" s="3" t="s">
        <v>869</v>
      </c>
      <c r="D603" s="3"/>
      <c r="E603" s="3"/>
      <c r="F603" s="6">
        <f>100*SUM(AM603:AO603)/AL603</f>
      </c>
      <c r="G603" s="6">
        <f>100*SUM(AP603)/AL603</f>
      </c>
      <c r="H603" s="6">
        <f>100*SUM(AQ603)/AL603</f>
      </c>
      <c r="I603" s="6">
        <f>100*SUM(AR603:BC603)/AL603</f>
      </c>
      <c r="J603" s="3"/>
      <c r="K603" s="6">
        <v>22.43</v>
      </c>
      <c r="L603" s="6">
        <v>3.6</v>
      </c>
      <c r="M603" s="6">
        <v>8</v>
      </c>
      <c r="N603" s="5"/>
      <c r="O603" s="6"/>
      <c r="P603" s="6"/>
      <c r="Q603" s="7"/>
      <c r="R603" s="6"/>
      <c r="S603" s="6"/>
      <c r="T603" s="6"/>
      <c r="U603" s="5"/>
      <c r="V603" s="6"/>
      <c r="W603" s="6"/>
      <c r="X603" s="6"/>
      <c r="Y603" s="15"/>
      <c r="Z603" s="6"/>
      <c r="AA603" s="6"/>
      <c r="AB603" s="5"/>
      <c r="AC603" s="3"/>
      <c r="AD603" s="6">
        <v>0.8074800000000001</v>
      </c>
      <c r="AE603" s="6">
        <v>1.7944</v>
      </c>
      <c r="AF603" s="7">
        <v>0</v>
      </c>
      <c r="AG603" s="6">
        <v>0</v>
      </c>
      <c r="AH603" s="7">
        <v>0</v>
      </c>
      <c r="AI603" s="15">
        <v>2.60188</v>
      </c>
      <c r="AJ603" s="6">
        <v>11.6</v>
      </c>
      <c r="AK603" s="3"/>
      <c r="AL603" s="6">
        <v>241.976896</v>
      </c>
      <c r="AM603" s="6">
        <v>68.254416</v>
      </c>
      <c r="AN603" s="6">
        <v>173.72248</v>
      </c>
      <c r="AO603" s="6">
        <v>0</v>
      </c>
      <c r="AP603" s="6">
        <v>0</v>
      </c>
      <c r="AQ603" s="6">
        <v>0</v>
      </c>
      <c r="AR603" s="6">
        <v>0</v>
      </c>
      <c r="AS603" s="6">
        <v>0</v>
      </c>
      <c r="AT603" s="6">
        <v>0</v>
      </c>
      <c r="AU603" s="6">
        <v>0</v>
      </c>
      <c r="AV603" s="6">
        <v>0</v>
      </c>
      <c r="AW603" s="6">
        <v>0</v>
      </c>
      <c r="AX603" s="6">
        <v>0</v>
      </c>
      <c r="AY603" s="6">
        <v>0</v>
      </c>
      <c r="AZ603" s="6">
        <v>0</v>
      </c>
      <c r="BA603" s="6">
        <v>0</v>
      </c>
      <c r="BB603" s="6">
        <v>0</v>
      </c>
      <c r="BC603" s="6"/>
      <c r="BD603" s="3"/>
      <c r="BE603" s="3"/>
      <c r="BF603" s="7">
        <v>5427.54177728</v>
      </c>
    </row>
    <row x14ac:dyDescent="0.25" r="604" customHeight="1" ht="12.75">
      <c r="A604" s="5" t="s">
        <v>218</v>
      </c>
      <c r="B604" s="3" t="s">
        <v>859</v>
      </c>
      <c r="C604" s="3" t="s">
        <v>869</v>
      </c>
      <c r="D604" s="3"/>
      <c r="E604" s="3"/>
      <c r="F604" s="6">
        <f>100*SUM(AM604:AO604)/AL604</f>
      </c>
      <c r="G604" s="6">
        <f>100*SUM(AP604)/AL604</f>
      </c>
      <c r="H604" s="6">
        <f>100*SUM(AQ604)/AL604</f>
      </c>
      <c r="I604" s="6">
        <f>100*SUM(AR604:BC604)/AL604</f>
      </c>
      <c r="J604" s="3"/>
      <c r="K604" s="6">
        <v>77.1</v>
      </c>
      <c r="L604" s="6">
        <v>2.01</v>
      </c>
      <c r="M604" s="6">
        <v>0.6873151750972762</v>
      </c>
      <c r="N604" s="31">
        <v>100.45260700389106</v>
      </c>
      <c r="O604" s="6"/>
      <c r="P604" s="6"/>
      <c r="Q604" s="7"/>
      <c r="R604" s="6"/>
      <c r="S604" s="6"/>
      <c r="T604" s="6"/>
      <c r="U604" s="5"/>
      <c r="V604" s="6"/>
      <c r="W604" s="6"/>
      <c r="X604" s="6"/>
      <c r="Y604" s="15"/>
      <c r="Z604" s="6"/>
      <c r="AA604" s="6"/>
      <c r="AB604" s="5"/>
      <c r="AC604" s="3"/>
      <c r="AD604" s="6">
        <v>1.5497099999999997</v>
      </c>
      <c r="AE604" s="6">
        <v>0.52992</v>
      </c>
      <c r="AF604" s="7">
        <v>7744.896</v>
      </c>
      <c r="AG604" s="6">
        <v>0</v>
      </c>
      <c r="AH604" s="7">
        <v>0</v>
      </c>
      <c r="AI604" s="15">
        <v>2.07963</v>
      </c>
      <c r="AJ604" s="6">
        <v>2.697315175097276</v>
      </c>
      <c r="AK604" s="3"/>
      <c r="AL604" s="6">
        <v>114.50063722175986</v>
      </c>
      <c r="AM604" s="6">
        <v>38.10871559999999</v>
      </c>
      <c r="AN604" s="6">
        <v>14.925262094941633</v>
      </c>
      <c r="AO604" s="6">
        <v>61.46665952681823</v>
      </c>
      <c r="AP604" s="6">
        <v>0</v>
      </c>
      <c r="AQ604" s="6">
        <v>0</v>
      </c>
      <c r="AR604" s="6">
        <v>0</v>
      </c>
      <c r="AS604" s="6">
        <v>0</v>
      </c>
      <c r="AT604" s="6">
        <v>0</v>
      </c>
      <c r="AU604" s="6">
        <v>0</v>
      </c>
      <c r="AV604" s="6">
        <v>0</v>
      </c>
      <c r="AW604" s="6">
        <v>0</v>
      </c>
      <c r="AX604" s="6">
        <v>0</v>
      </c>
      <c r="AY604" s="6">
        <v>0</v>
      </c>
      <c r="AZ604" s="6">
        <v>0</v>
      </c>
      <c r="BA604" s="6">
        <v>0</v>
      </c>
      <c r="BB604" s="6">
        <v>0</v>
      </c>
      <c r="BC604" s="6"/>
      <c r="BD604" s="3"/>
      <c r="BE604" s="3"/>
      <c r="BF604" s="7">
        <v>8827.999129797685</v>
      </c>
    </row>
    <row x14ac:dyDescent="0.25" r="605" customHeight="1" ht="12.75">
      <c r="A605" s="5" t="s">
        <v>454</v>
      </c>
      <c r="B605" s="3" t="s">
        <v>859</v>
      </c>
      <c r="C605" s="3" t="s">
        <v>869</v>
      </c>
      <c r="D605" s="3"/>
      <c r="E605" s="3"/>
      <c r="F605" s="6">
        <f>100*SUM(AM605:AO605)/AL605</f>
      </c>
      <c r="G605" s="6">
        <f>100*SUM(AP605)/AL605</f>
      </c>
      <c r="H605" s="6">
        <f>100*SUM(AQ605)/AL605</f>
      </c>
      <c r="I605" s="6">
        <f>100*SUM(AR605:BC605)/AL605</f>
      </c>
      <c r="J605" s="3"/>
      <c r="K605" s="6">
        <v>7.2</v>
      </c>
      <c r="L605" s="6">
        <v>3.4499999999999997</v>
      </c>
      <c r="M605" s="6">
        <v>4.8</v>
      </c>
      <c r="N605" s="5"/>
      <c r="O605" s="6"/>
      <c r="P605" s="6"/>
      <c r="Q605" s="7"/>
      <c r="R605" s="6"/>
      <c r="S605" s="6"/>
      <c r="T605" s="6"/>
      <c r="U605" s="5"/>
      <c r="V605" s="6"/>
      <c r="W605" s="6"/>
      <c r="X605" s="6"/>
      <c r="Y605" s="15"/>
      <c r="Z605" s="6"/>
      <c r="AA605" s="6"/>
      <c r="AB605" s="5"/>
      <c r="AC605" s="3"/>
      <c r="AD605" s="6">
        <v>0.2484</v>
      </c>
      <c r="AE605" s="6">
        <v>0.3456</v>
      </c>
      <c r="AF605" s="7">
        <v>0</v>
      </c>
      <c r="AG605" s="6">
        <v>0</v>
      </c>
      <c r="AH605" s="7">
        <v>0</v>
      </c>
      <c r="AI605" s="15">
        <v>0.5940000000000001</v>
      </c>
      <c r="AJ605" s="6">
        <v>8.25</v>
      </c>
      <c r="AK605" s="3"/>
      <c r="AL605" s="6">
        <v>169.64396999999997</v>
      </c>
      <c r="AM605" s="6">
        <v>65.41048199999999</v>
      </c>
      <c r="AN605" s="6">
        <v>104.233488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6">
        <v>0</v>
      </c>
      <c r="BA605" s="6">
        <v>0</v>
      </c>
      <c r="BB605" s="6">
        <v>0</v>
      </c>
      <c r="BC605" s="6"/>
      <c r="BD605" s="3"/>
      <c r="BE605" s="3"/>
      <c r="BF605" s="7">
        <v>1221.4365839999998</v>
      </c>
    </row>
    <row x14ac:dyDescent="0.25" r="606" customHeight="1" ht="12.75">
      <c r="A606" s="5" t="s">
        <v>612</v>
      </c>
      <c r="B606" s="3" t="s">
        <v>859</v>
      </c>
      <c r="C606" s="3" t="s">
        <v>869</v>
      </c>
      <c r="D606" s="3"/>
      <c r="E606" s="3"/>
      <c r="F606" s="6">
        <f>100*SUM(AM606:AO606)/AL606</f>
      </c>
      <c r="G606" s="6">
        <f>100*SUM(AP606)/AL606</f>
      </c>
      <c r="H606" s="6">
        <f>100*SUM(AQ606)/AL606</f>
      </c>
      <c r="I606" s="6">
        <f>100*SUM(AR606:BC606)/AL606</f>
      </c>
      <c r="J606" s="3"/>
      <c r="K606" s="5">
        <v>14</v>
      </c>
      <c r="L606" s="6">
        <v>1.79</v>
      </c>
      <c r="M606" s="6">
        <v>1.55</v>
      </c>
      <c r="N606" s="7">
        <v>67.53142857142858</v>
      </c>
      <c r="O606" s="6"/>
      <c r="P606" s="6"/>
      <c r="Q606" s="7"/>
      <c r="R606" s="6"/>
      <c r="S606" s="6"/>
      <c r="T606" s="6"/>
      <c r="U606" s="5"/>
      <c r="V606" s="6"/>
      <c r="W606" s="6"/>
      <c r="X606" s="6"/>
      <c r="Y606" s="15"/>
      <c r="Z606" s="6"/>
      <c r="AA606" s="6"/>
      <c r="AB606" s="5"/>
      <c r="AC606" s="3"/>
      <c r="AD606" s="6">
        <v>0.25060000000000004</v>
      </c>
      <c r="AE606" s="6">
        <v>0.217</v>
      </c>
      <c r="AF606" s="7">
        <v>945.44</v>
      </c>
      <c r="AG606" s="6">
        <v>0</v>
      </c>
      <c r="AH606" s="7">
        <v>0</v>
      </c>
      <c r="AI606" s="15">
        <v>0.4676</v>
      </c>
      <c r="AJ606" s="6">
        <v>3.34</v>
      </c>
      <c r="AK606" s="3"/>
      <c r="AL606" s="6">
        <v>108.91862861428572</v>
      </c>
      <c r="AM606" s="6">
        <v>33.9376124</v>
      </c>
      <c r="AN606" s="6">
        <v>33.6587305</v>
      </c>
      <c r="AO606" s="6">
        <v>41.32228571428573</v>
      </c>
      <c r="AP606" s="6">
        <v>0</v>
      </c>
      <c r="AQ606" s="6">
        <v>0</v>
      </c>
      <c r="AR606" s="6">
        <v>0</v>
      </c>
      <c r="AS606" s="6">
        <v>0</v>
      </c>
      <c r="AT606" s="6">
        <v>0</v>
      </c>
      <c r="AU606" s="6">
        <v>0</v>
      </c>
      <c r="AV606" s="6">
        <v>0</v>
      </c>
      <c r="AW606" s="6">
        <v>0</v>
      </c>
      <c r="AX606" s="6">
        <v>0</v>
      </c>
      <c r="AY606" s="6">
        <v>0</v>
      </c>
      <c r="AZ606" s="6">
        <v>0</v>
      </c>
      <c r="BA606" s="6">
        <v>0</v>
      </c>
      <c r="BB606" s="6">
        <v>0</v>
      </c>
      <c r="BC606" s="6"/>
      <c r="BD606" s="3"/>
      <c r="BE606" s="3"/>
      <c r="BF606" s="7">
        <v>1524.8608006000002</v>
      </c>
    </row>
    <row x14ac:dyDescent="0.25" r="607" customHeight="1" ht="12.75">
      <c r="A607" s="5" t="s">
        <v>227</v>
      </c>
      <c r="B607" s="3" t="s">
        <v>859</v>
      </c>
      <c r="C607" s="3" t="s">
        <v>869</v>
      </c>
      <c r="D607" s="3"/>
      <c r="E607" s="3"/>
      <c r="F607" s="6">
        <f>100*SUM(AM607:AO607)/AL607</f>
      </c>
      <c r="G607" s="6">
        <f>100*SUM(AP607)/AL607</f>
      </c>
      <c r="H607" s="6">
        <f>100*SUM(AQ607)/AL607</f>
      </c>
      <c r="I607" s="6">
        <f>100*SUM(AR607:BC607)/AL607</f>
      </c>
      <c r="J607" s="3"/>
      <c r="K607" s="6">
        <v>1.5</v>
      </c>
      <c r="L607" s="7">
        <v>5.486666666666667</v>
      </c>
      <c r="M607" s="7">
        <v>6.54</v>
      </c>
      <c r="N607" s="31">
        <v>102.53333333333335</v>
      </c>
      <c r="O607" s="6"/>
      <c r="P607" s="6"/>
      <c r="Q607" s="7"/>
      <c r="R607" s="6"/>
      <c r="S607" s="6"/>
      <c r="T607" s="6"/>
      <c r="U607" s="5"/>
      <c r="V607" s="6"/>
      <c r="W607" s="6"/>
      <c r="X607" s="6"/>
      <c r="Y607" s="15"/>
      <c r="Z607" s="6"/>
      <c r="AA607" s="6"/>
      <c r="AB607" s="5"/>
      <c r="AC607" s="3"/>
      <c r="AD607" s="6">
        <v>0.0823</v>
      </c>
      <c r="AE607" s="6">
        <v>0.0981</v>
      </c>
      <c r="AF607" s="7">
        <v>153.8</v>
      </c>
      <c r="AG607" s="6">
        <v>0</v>
      </c>
      <c r="AH607" s="7">
        <v>0</v>
      </c>
      <c r="AI607" s="15">
        <v>0.1804</v>
      </c>
      <c r="AJ607" s="6">
        <v>12.026666666666667</v>
      </c>
      <c r="AK607" s="3"/>
      <c r="AL607" s="6">
        <v>308.7827632130761</v>
      </c>
      <c r="AM607" s="6">
        <v>104.02478586666668</v>
      </c>
      <c r="AN607" s="6">
        <v>142.0181274</v>
      </c>
      <c r="AO607" s="6">
        <v>62.73984994640945</v>
      </c>
      <c r="AP607" s="6">
        <v>0</v>
      </c>
      <c r="AQ607" s="6">
        <v>0</v>
      </c>
      <c r="AR607" s="6">
        <v>0</v>
      </c>
      <c r="AS607" s="6">
        <v>0</v>
      </c>
      <c r="AT607" s="6">
        <v>0</v>
      </c>
      <c r="AU607" s="6">
        <v>0</v>
      </c>
      <c r="AV607" s="6">
        <v>0</v>
      </c>
      <c r="AW607" s="6">
        <v>0</v>
      </c>
      <c r="AX607" s="6">
        <v>0</v>
      </c>
      <c r="AY607" s="6">
        <v>0</v>
      </c>
      <c r="AZ607" s="6">
        <v>0</v>
      </c>
      <c r="BA607" s="6">
        <v>0</v>
      </c>
      <c r="BB607" s="6">
        <v>0</v>
      </c>
      <c r="BC607" s="6"/>
      <c r="BD607" s="3"/>
      <c r="BE607" s="3"/>
      <c r="BF607" s="7">
        <v>463.1741448196142</v>
      </c>
    </row>
    <row x14ac:dyDescent="0.25" r="608" customHeight="1" ht="12.75">
      <c r="A608" s="5" t="s">
        <v>539</v>
      </c>
      <c r="B608" s="3" t="s">
        <v>859</v>
      </c>
      <c r="C608" s="3" t="s">
        <v>869</v>
      </c>
      <c r="D608" s="3"/>
      <c r="E608" s="3"/>
      <c r="F608" s="6">
        <f>100*SUM(AM608:AO608)/AL608</f>
      </c>
      <c r="G608" s="6">
        <f>100*SUM(AP608)/AL608</f>
      </c>
      <c r="H608" s="6">
        <f>100*SUM(AQ608)/AL608</f>
      </c>
      <c r="I608" s="6">
        <f>100*SUM(AR608:BC608)/AL608</f>
      </c>
      <c r="J608" s="3"/>
      <c r="K608" s="23">
        <v>0.9071</v>
      </c>
      <c r="L608" s="6">
        <v>2.23</v>
      </c>
      <c r="M608" s="7">
        <v>3.79</v>
      </c>
      <c r="N608" s="6">
        <v>214.9</v>
      </c>
      <c r="O608" s="6"/>
      <c r="P608" s="6"/>
      <c r="Q608" s="7"/>
      <c r="R608" s="6"/>
      <c r="S608" s="6"/>
      <c r="T608" s="6"/>
      <c r="U608" s="5"/>
      <c r="V608" s="6"/>
      <c r="W608" s="6"/>
      <c r="X608" s="6"/>
      <c r="Y608" s="15"/>
      <c r="Z608" s="6"/>
      <c r="AA608" s="6"/>
      <c r="AB608" s="5"/>
      <c r="AC608" s="3"/>
      <c r="AD608" s="6">
        <v>0.02022833</v>
      </c>
      <c r="AE608" s="6">
        <v>0.03437909</v>
      </c>
      <c r="AF608" s="7">
        <v>194.93579</v>
      </c>
      <c r="AG608" s="6">
        <v>0</v>
      </c>
      <c r="AH608" s="7">
        <v>0</v>
      </c>
      <c r="AI608" s="15">
        <v>0.054607420000000004</v>
      </c>
      <c r="AJ608" s="6">
        <v>6.02</v>
      </c>
      <c r="AK608" s="3"/>
      <c r="AL608" s="6">
        <v>256.0775318028939</v>
      </c>
      <c r="AM608" s="6">
        <v>42.2798188</v>
      </c>
      <c r="AN608" s="6">
        <v>82.3010249</v>
      </c>
      <c r="AO608" s="6">
        <v>131.4966881028939</v>
      </c>
      <c r="AP608" s="6">
        <v>0</v>
      </c>
      <c r="AQ608" s="6">
        <v>0</v>
      </c>
      <c r="AR608" s="6">
        <v>0</v>
      </c>
      <c r="AS608" s="6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0</v>
      </c>
      <c r="BC608" s="6"/>
      <c r="BD608" s="3"/>
      <c r="BE608" s="3"/>
      <c r="BF608" s="7">
        <v>232.28792909840504</v>
      </c>
    </row>
    <row x14ac:dyDescent="0.25" r="609" customHeight="1" ht="12.75">
      <c r="A609" s="5" t="s">
        <v>47</v>
      </c>
      <c r="B609" s="3" t="s">
        <v>859</v>
      </c>
      <c r="C609" s="3" t="s">
        <v>869</v>
      </c>
      <c r="D609" s="3"/>
      <c r="E609" s="3"/>
      <c r="F609" s="6">
        <f>100*SUM(AM609:AO609)/AL609</f>
      </c>
      <c r="G609" s="6">
        <f>100*SUM(AP609)/AL609</f>
      </c>
      <c r="H609" s="6">
        <f>100*SUM(AQ609)/AL609</f>
      </c>
      <c r="I609" s="6">
        <f>100*SUM(AR609:BC609)/AL609</f>
      </c>
      <c r="J609" s="3"/>
      <c r="K609" s="23">
        <v>0.090719</v>
      </c>
      <c r="L609" s="5">
        <v>6</v>
      </c>
      <c r="M609" s="5">
        <v>10</v>
      </c>
      <c r="N609" s="6">
        <v>687.5</v>
      </c>
      <c r="O609" s="6"/>
      <c r="P609" s="6"/>
      <c r="Q609" s="7"/>
      <c r="R609" s="6"/>
      <c r="S609" s="6"/>
      <c r="T609" s="6"/>
      <c r="U609" s="5"/>
      <c r="V609" s="6"/>
      <c r="W609" s="6"/>
      <c r="X609" s="6"/>
      <c r="Y609" s="15"/>
      <c r="Z609" s="6"/>
      <c r="AA609" s="6"/>
      <c r="AB609" s="5"/>
      <c r="AC609" s="3"/>
      <c r="AD609" s="6">
        <v>0.00544314</v>
      </c>
      <c r="AE609" s="6">
        <v>0.009071899999999999</v>
      </c>
      <c r="AF609" s="7">
        <v>62.36931249999999</v>
      </c>
      <c r="AG609" s="6">
        <v>0</v>
      </c>
      <c r="AH609" s="7">
        <v>0</v>
      </c>
      <c r="AI609" s="15">
        <v>0.01451504</v>
      </c>
      <c r="AJ609" s="6">
        <v>16</v>
      </c>
      <c r="AK609" s="3"/>
      <c r="AL609" s="6">
        <v>751.5897204501608</v>
      </c>
      <c r="AM609" s="6">
        <v>113.75735999999999</v>
      </c>
      <c r="AN609" s="6">
        <v>217.1531</v>
      </c>
      <c r="AO609" s="6">
        <v>420.6792604501608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0</v>
      </c>
      <c r="BC609" s="6"/>
      <c r="BD609" s="3"/>
      <c r="BE609" s="3"/>
      <c r="BF609" s="7">
        <v>68.18346784951814</v>
      </c>
    </row>
    <row x14ac:dyDescent="0.25" r="610" customHeight="1" ht="12.75">
      <c r="A610" s="5" t="s">
        <v>231</v>
      </c>
      <c r="B610" s="3" t="s">
        <v>859</v>
      </c>
      <c r="C610" s="3" t="s">
        <v>869</v>
      </c>
      <c r="D610" s="3"/>
      <c r="E610" s="3"/>
      <c r="F610" s="6">
        <f>100*SUM(AM610:AO610)/AL610</f>
      </c>
      <c r="G610" s="6">
        <f>100*SUM(AP610)/AL610</f>
      </c>
      <c r="H610" s="6">
        <f>100*SUM(AQ610)/AL610</f>
      </c>
      <c r="I610" s="6">
        <f>100*SUM(AR610:BC610)/AL610</f>
      </c>
      <c r="J610" s="3"/>
      <c r="K610" s="6">
        <v>0.00742</v>
      </c>
      <c r="L610" s="6">
        <v>6.7</v>
      </c>
      <c r="M610" s="6">
        <v>3.7</v>
      </c>
      <c r="N610" s="5">
        <v>343</v>
      </c>
      <c r="O610" s="6"/>
      <c r="P610" s="6"/>
      <c r="Q610" s="7"/>
      <c r="R610" s="6"/>
      <c r="S610" s="6"/>
      <c r="T610" s="6"/>
      <c r="U610" s="5"/>
      <c r="V610" s="6"/>
      <c r="W610" s="6"/>
      <c r="X610" s="6"/>
      <c r="Y610" s="15"/>
      <c r="Z610" s="6"/>
      <c r="AA610" s="6"/>
      <c r="AB610" s="5"/>
      <c r="AC610" s="3"/>
      <c r="AD610" s="6">
        <v>0.00049714</v>
      </c>
      <c r="AE610" s="6">
        <v>0.00027454000000000004</v>
      </c>
      <c r="AF610" s="7">
        <v>2.5450600000000003</v>
      </c>
      <c r="AG610" s="6">
        <v>0</v>
      </c>
      <c r="AH610" s="7">
        <v>0</v>
      </c>
      <c r="AI610" s="15">
        <v>0.0007716800000000001</v>
      </c>
      <c r="AJ610" s="6">
        <v>10.4</v>
      </c>
      <c r="AK610" s="3"/>
      <c r="AL610" s="6">
        <v>417.2564063954984</v>
      </c>
      <c r="AM610" s="6">
        <v>127.02905200000001</v>
      </c>
      <c r="AN610" s="6">
        <v>80.346647</v>
      </c>
      <c r="AO610" s="6">
        <v>209.8807073954984</v>
      </c>
      <c r="AP610" s="6">
        <v>0</v>
      </c>
      <c r="AQ610" s="6">
        <v>0</v>
      </c>
      <c r="AR610" s="6">
        <v>0</v>
      </c>
      <c r="AS610" s="6">
        <v>0</v>
      </c>
      <c r="AT610" s="6">
        <v>0</v>
      </c>
      <c r="AU610" s="6">
        <v>0</v>
      </c>
      <c r="AV610" s="6">
        <v>0</v>
      </c>
      <c r="AW610" s="6">
        <v>0</v>
      </c>
      <c r="AX610" s="6">
        <v>0</v>
      </c>
      <c r="AY610" s="6">
        <v>0</v>
      </c>
      <c r="AZ610" s="6">
        <v>0</v>
      </c>
      <c r="BA610" s="6">
        <v>0</v>
      </c>
      <c r="BB610" s="6">
        <v>0</v>
      </c>
      <c r="BC610" s="6"/>
      <c r="BD610" s="3"/>
      <c r="BE610" s="3"/>
      <c r="BF610" s="7">
        <v>3.096042535454598</v>
      </c>
    </row>
    <row x14ac:dyDescent="0.25" r="611" customHeight="1" ht="12.75">
      <c r="A611" s="5" t="s">
        <v>298</v>
      </c>
      <c r="B611" s="3" t="s">
        <v>859</v>
      </c>
      <c r="C611" s="3" t="s">
        <v>1023</v>
      </c>
      <c r="D611" s="3"/>
      <c r="E611" s="3"/>
      <c r="F611" s="6">
        <f>100*SUM(AM611:AO611)/AL611</f>
      </c>
      <c r="G611" s="6">
        <f>100*SUM(AP611)/AL611</f>
      </c>
      <c r="H611" s="6">
        <f>100*SUM(AQ611)/AL611</f>
      </c>
      <c r="I611" s="6">
        <f>100*SUM(AR611:BC611)/AL611</f>
      </c>
      <c r="J611" s="3"/>
      <c r="K611" s="23">
        <v>0.327373</v>
      </c>
      <c r="L611" s="6">
        <v>5.64</v>
      </c>
      <c r="M611" s="6">
        <v>4.6</v>
      </c>
      <c r="N611" s="6">
        <v>254.8</v>
      </c>
      <c r="O611" s="6"/>
      <c r="P611" s="6"/>
      <c r="Q611" s="7"/>
      <c r="R611" s="6"/>
      <c r="S611" s="6"/>
      <c r="T611" s="6"/>
      <c r="U611" s="5"/>
      <c r="V611" s="6"/>
      <c r="W611" s="6"/>
      <c r="X611" s="6"/>
      <c r="Y611" s="15"/>
      <c r="Z611" s="6"/>
      <c r="AA611" s="6"/>
      <c r="AB611" s="5"/>
      <c r="AC611" s="3"/>
      <c r="AD611" s="6">
        <v>0.0184638372</v>
      </c>
      <c r="AE611" s="6">
        <v>0.015059158</v>
      </c>
      <c r="AF611" s="7">
        <v>83.41464040000001</v>
      </c>
      <c r="AG611" s="6">
        <v>0</v>
      </c>
      <c r="AH611" s="7">
        <v>0</v>
      </c>
      <c r="AI611" s="15">
        <v>0.0335229952</v>
      </c>
      <c r="AJ611" s="6">
        <v>10.239999999999998</v>
      </c>
      <c r="AK611" s="3"/>
      <c r="AL611" s="6">
        <v>362.733727036656</v>
      </c>
      <c r="AM611" s="6">
        <v>106.93191839999999</v>
      </c>
      <c r="AN611" s="6">
        <v>99.89042599999999</v>
      </c>
      <c r="AO611" s="6">
        <v>155.911382636656</v>
      </c>
      <c r="AP611" s="6">
        <v>0</v>
      </c>
      <c r="AQ611" s="6">
        <v>0</v>
      </c>
      <c r="AR611" s="6">
        <v>0</v>
      </c>
      <c r="AS611" s="6">
        <v>0</v>
      </c>
      <c r="AT611" s="6">
        <v>0</v>
      </c>
      <c r="AU611" s="6">
        <v>0</v>
      </c>
      <c r="AV611" s="6">
        <v>0</v>
      </c>
      <c r="AW611" s="6">
        <v>0</v>
      </c>
      <c r="AX611" s="6">
        <v>0</v>
      </c>
      <c r="AY611" s="6">
        <v>0</v>
      </c>
      <c r="AZ611" s="6">
        <v>0</v>
      </c>
      <c r="BA611" s="6">
        <v>0</v>
      </c>
      <c r="BB611" s="6">
        <v>0</v>
      </c>
      <c r="BC611" s="6"/>
      <c r="BD611" s="3"/>
      <c r="BE611" s="3"/>
      <c r="BF611" s="7">
        <v>118.74922842117118</v>
      </c>
    </row>
    <row x14ac:dyDescent="0.25" r="612" customHeight="1" ht="12.75">
      <c r="A612" s="5" t="s">
        <v>362</v>
      </c>
      <c r="B612" s="3" t="s">
        <v>859</v>
      </c>
      <c r="C612" s="3" t="s">
        <v>1023</v>
      </c>
      <c r="D612" s="3"/>
      <c r="E612" s="3"/>
      <c r="F612" s="6">
        <f>100*SUM(AM612:AO612)/AL612</f>
      </c>
      <c r="G612" s="6">
        <f>100*SUM(AP612)/AL612</f>
      </c>
      <c r="H612" s="6">
        <f>100*SUM(AQ612)/AL612</f>
      </c>
      <c r="I612" s="6">
        <f>100*SUM(AR612:BC612)/AL612</f>
      </c>
      <c r="J612" s="3"/>
      <c r="K612" s="23">
        <v>0.9050629999999998</v>
      </c>
      <c r="L612" s="7">
        <v>6.0933526174421</v>
      </c>
      <c r="M612" s="6">
        <v>3.4857420091198077</v>
      </c>
      <c r="N612" s="31">
        <v>136.54615327330808</v>
      </c>
      <c r="O612" s="6">
        <v>0.03557873871763625</v>
      </c>
      <c r="P612" s="6"/>
      <c r="Q612" s="7"/>
      <c r="R612" s="6"/>
      <c r="S612" s="6"/>
      <c r="T612" s="6"/>
      <c r="U612" s="5"/>
      <c r="V612" s="6"/>
      <c r="W612" s="6"/>
      <c r="X612" s="6"/>
      <c r="Y612" s="15"/>
      <c r="Z612" s="6"/>
      <c r="AA612" s="6"/>
      <c r="AB612" s="5"/>
      <c r="AC612" s="3"/>
      <c r="AD612" s="6">
        <v>0.05514867999999999</v>
      </c>
      <c r="AE612" s="6">
        <v>0.0315481612</v>
      </c>
      <c r="AF612" s="7">
        <v>123.58287112000001</v>
      </c>
      <c r="AG612" s="6">
        <v>0.00032201000000000007</v>
      </c>
      <c r="AH612" s="7">
        <v>0</v>
      </c>
      <c r="AI612" s="15">
        <v>0.08701885119999998</v>
      </c>
      <c r="AJ612" s="6">
        <v>9.614673365279543</v>
      </c>
      <c r="AK612" s="3"/>
      <c r="AL612" s="6">
        <v>277.2442108502799</v>
      </c>
      <c r="AM612" s="6">
        <v>115.52728455155055</v>
      </c>
      <c r="AN612" s="6">
        <v>75.69396830805945</v>
      </c>
      <c r="AO612" s="6">
        <v>83.55219603829752</v>
      </c>
      <c r="AP612" s="6">
        <v>2.4707619523723774</v>
      </c>
      <c r="AQ612" s="6">
        <v>0</v>
      </c>
      <c r="AR612" s="6">
        <v>0</v>
      </c>
      <c r="AS612" s="6">
        <v>0</v>
      </c>
      <c r="AT612" s="6">
        <v>0</v>
      </c>
      <c r="AU612" s="6">
        <v>0</v>
      </c>
      <c r="AV612" s="6">
        <v>0</v>
      </c>
      <c r="AW612" s="6">
        <v>0</v>
      </c>
      <c r="AX612" s="6">
        <v>0</v>
      </c>
      <c r="AY612" s="6">
        <v>0</v>
      </c>
      <c r="AZ612" s="6">
        <v>0</v>
      </c>
      <c r="BA612" s="6">
        <v>0</v>
      </c>
      <c r="BB612" s="6">
        <v>0</v>
      </c>
      <c r="BC612" s="6"/>
      <c r="BD612" s="3"/>
      <c r="BE612" s="3"/>
      <c r="BF612" s="7">
        <v>250.92347720478682</v>
      </c>
    </row>
    <row x14ac:dyDescent="0.25" r="613" customHeight="1" ht="12.75">
      <c r="A613" s="5" t="s">
        <v>406</v>
      </c>
      <c r="B613" s="3" t="s">
        <v>859</v>
      </c>
      <c r="C613" s="3" t="s">
        <v>869</v>
      </c>
      <c r="D613" s="3"/>
      <c r="E613" s="3"/>
      <c r="F613" s="6">
        <f>100*SUM(AM613:AO613)/AL613</f>
      </c>
      <c r="G613" s="6">
        <f>100*SUM(AP613)/AL613</f>
      </c>
      <c r="H613" s="6">
        <f>100*SUM(AQ613)/AL613</f>
      </c>
      <c r="I613" s="6">
        <f>100*SUM(AR613:BC613)/AL613</f>
      </c>
      <c r="J613" s="3"/>
      <c r="K613" s="6">
        <v>14.21</v>
      </c>
      <c r="L613" s="6">
        <v>1.97</v>
      </c>
      <c r="M613" s="6">
        <v>5.53</v>
      </c>
      <c r="N613" s="7">
        <v>32.6530612244898</v>
      </c>
      <c r="O613" s="6"/>
      <c r="P613" s="6"/>
      <c r="Q613" s="7"/>
      <c r="R613" s="6"/>
      <c r="S613" s="6"/>
      <c r="T613" s="6"/>
      <c r="U613" s="5"/>
      <c r="V613" s="23"/>
      <c r="W613" s="6"/>
      <c r="X613" s="6"/>
      <c r="Y613" s="15"/>
      <c r="Z613" s="6"/>
      <c r="AA613" s="6"/>
      <c r="AB613" s="23">
        <v>0.029007741027445463</v>
      </c>
      <c r="AC613" s="3" t="s">
        <v>932</v>
      </c>
      <c r="AD613" s="6">
        <v>0.279937</v>
      </c>
      <c r="AE613" s="6">
        <v>0.7858130000000001</v>
      </c>
      <c r="AF613" s="7">
        <v>464.00000000000006</v>
      </c>
      <c r="AG613" s="6">
        <v>0</v>
      </c>
      <c r="AH613" s="7">
        <v>0</v>
      </c>
      <c r="AI613" s="15">
        <v>1.06575</v>
      </c>
      <c r="AJ613" s="6">
        <v>7.5</v>
      </c>
      <c r="AK613" s="3"/>
      <c r="AL613" s="6">
        <v>177.97906134480834</v>
      </c>
      <c r="AM613" s="6">
        <v>37.350333199999994</v>
      </c>
      <c r="AN613" s="6">
        <v>120.0856643</v>
      </c>
      <c r="AO613" s="6">
        <v>19.98031366887591</v>
      </c>
      <c r="AP613" s="6">
        <v>0</v>
      </c>
      <c r="AQ613" s="6">
        <v>0</v>
      </c>
      <c r="AR613" s="6">
        <v>0</v>
      </c>
      <c r="AS613" s="6">
        <v>0</v>
      </c>
      <c r="AT613" s="6">
        <v>0</v>
      </c>
      <c r="AU613" s="6">
        <v>0</v>
      </c>
      <c r="AV613" s="6">
        <v>0</v>
      </c>
      <c r="AW613" s="6">
        <v>0</v>
      </c>
      <c r="AX613" s="6">
        <v>0</v>
      </c>
      <c r="AY613" s="6">
        <v>0</v>
      </c>
      <c r="AZ613" s="6">
        <v>0</v>
      </c>
      <c r="BA613" s="6">
        <v>0</v>
      </c>
      <c r="BB613" s="6">
        <v>0</v>
      </c>
      <c r="BC613" s="6">
        <v>0.5627501759324419</v>
      </c>
      <c r="BD613" s="3" t="s">
        <v>933</v>
      </c>
      <c r="BE613" s="3"/>
      <c r="BF613" s="7">
        <v>2529.082461709727</v>
      </c>
    </row>
    <row x14ac:dyDescent="0.25" r="614" customHeight="1" ht="12.75">
      <c r="A614" s="5" t="s">
        <v>61</v>
      </c>
      <c r="B614" s="3" t="s">
        <v>859</v>
      </c>
      <c r="C614" s="3" t="s">
        <v>869</v>
      </c>
      <c r="D614" s="3"/>
      <c r="E614" s="3"/>
      <c r="F614" s="6">
        <f>100*SUM(AM614:AO614)/AL614</f>
      </c>
      <c r="G614" s="6">
        <f>100*SUM(AP614)/AL614</f>
      </c>
      <c r="H614" s="6">
        <f>100*SUM(AQ614)/AL614</f>
      </c>
      <c r="I614" s="6">
        <f>100*SUM(AR614:BC614)/AL614</f>
      </c>
      <c r="J614" s="3"/>
      <c r="K614" s="7">
        <v>2</v>
      </c>
      <c r="L614" s="5">
        <v>10</v>
      </c>
      <c r="M614" s="5">
        <v>10</v>
      </c>
      <c r="N614" s="5"/>
      <c r="O614" s="6">
        <v>0.5</v>
      </c>
      <c r="P614" s="6"/>
      <c r="Q614" s="7"/>
      <c r="R614" s="6"/>
      <c r="S614" s="6"/>
      <c r="T614" s="6"/>
      <c r="U614" s="5"/>
      <c r="V614" s="6"/>
      <c r="W614" s="6"/>
      <c r="X614" s="6"/>
      <c r="Y614" s="15"/>
      <c r="Z614" s="6"/>
      <c r="AA614" s="6"/>
      <c r="AB614" s="5"/>
      <c r="AC614" s="3"/>
      <c r="AD614" s="6">
        <v>0.2</v>
      </c>
      <c r="AE614" s="6">
        <v>0.2</v>
      </c>
      <c r="AF614" s="7">
        <v>0</v>
      </c>
      <c r="AG614" s="6">
        <v>0.01</v>
      </c>
      <c r="AH614" s="7">
        <v>0</v>
      </c>
      <c r="AI614" s="15">
        <v>0.41000000000000003</v>
      </c>
      <c r="AJ614" s="6">
        <v>20.5</v>
      </c>
      <c r="AK614" s="3"/>
      <c r="AL614" s="6">
        <v>441.47114999999997</v>
      </c>
      <c r="AM614" s="6">
        <v>189.5956</v>
      </c>
      <c r="AN614" s="6">
        <v>217.1531</v>
      </c>
      <c r="AO614" s="6">
        <v>0</v>
      </c>
      <c r="AP614" s="6">
        <v>34.72245</v>
      </c>
      <c r="AQ614" s="6">
        <v>0</v>
      </c>
      <c r="AR614" s="6">
        <v>0</v>
      </c>
      <c r="AS614" s="6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0</v>
      </c>
      <c r="BA614" s="6">
        <v>0</v>
      </c>
      <c r="BB614" s="6">
        <v>0</v>
      </c>
      <c r="BC614" s="6"/>
      <c r="BD614" s="3"/>
      <c r="BE614" s="3"/>
      <c r="BF614" s="7">
        <v>882.9422999999999</v>
      </c>
    </row>
    <row x14ac:dyDescent="0.25" r="615" customHeight="1" ht="12.75">
      <c r="A615" s="5" t="s">
        <v>84</v>
      </c>
      <c r="B615" s="3" t="s">
        <v>859</v>
      </c>
      <c r="C615" s="3" t="s">
        <v>869</v>
      </c>
      <c r="D615" s="3"/>
      <c r="E615" s="3"/>
      <c r="F615" s="6">
        <f>100*SUM(AM615:AO615)/AL615</f>
      </c>
      <c r="G615" s="6">
        <f>100*SUM(AP615)/AL615</f>
      </c>
      <c r="H615" s="6">
        <f>100*SUM(AQ615)/AL615</f>
      </c>
      <c r="I615" s="6">
        <f>100*SUM(AR615:BC615)/AL615</f>
      </c>
      <c r="J615" s="3"/>
      <c r="K615" s="23">
        <v>0.083906</v>
      </c>
      <c r="L615" s="6">
        <v>3.7</v>
      </c>
      <c r="M615" s="6">
        <v>12.5</v>
      </c>
      <c r="N615" s="6">
        <v>64.4</v>
      </c>
      <c r="O615" s="6">
        <v>1.69</v>
      </c>
      <c r="P615" s="6"/>
      <c r="Q615" s="7"/>
      <c r="R615" s="6"/>
      <c r="S615" s="6"/>
      <c r="T615" s="6"/>
      <c r="U615" s="5"/>
      <c r="V615" s="6"/>
      <c r="W615" s="6"/>
      <c r="X615" s="6"/>
      <c r="Y615" s="15"/>
      <c r="Z615" s="6"/>
      <c r="AA615" s="6"/>
      <c r="AB615" s="5"/>
      <c r="AC615" s="3"/>
      <c r="AD615" s="6">
        <v>0.003104522</v>
      </c>
      <c r="AE615" s="6">
        <v>0.01048825</v>
      </c>
      <c r="AF615" s="7">
        <v>5.4035464</v>
      </c>
      <c r="AG615" s="6">
        <v>0.0014180114</v>
      </c>
      <c r="AH615" s="7">
        <v>0</v>
      </c>
      <c r="AI615" s="15">
        <v>0.0150107834</v>
      </c>
      <c r="AJ615" s="6">
        <v>17.89</v>
      </c>
      <c r="AK615" s="3"/>
      <c r="AL615" s="6">
        <v>498.3598016334405</v>
      </c>
      <c r="AM615" s="6">
        <v>70.150372</v>
      </c>
      <c r="AN615" s="6">
        <v>271.441375</v>
      </c>
      <c r="AO615" s="6">
        <v>39.406173633440524</v>
      </c>
      <c r="AP615" s="6">
        <v>117.36188099999998</v>
      </c>
      <c r="AQ615" s="6">
        <v>0</v>
      </c>
      <c r="AR615" s="6">
        <v>0</v>
      </c>
      <c r="AS615" s="6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0</v>
      </c>
      <c r="AY615" s="6">
        <v>0</v>
      </c>
      <c r="AZ615" s="6">
        <v>0</v>
      </c>
      <c r="BA615" s="6">
        <v>0</v>
      </c>
      <c r="BB615" s="6">
        <v>0</v>
      </c>
      <c r="BC615" s="6"/>
      <c r="BD615" s="3"/>
      <c r="BE615" s="3"/>
      <c r="BF615" s="7">
        <v>41.81537751585545</v>
      </c>
    </row>
    <row x14ac:dyDescent="0.25" r="616" customHeight="1" ht="12.75">
      <c r="A616" s="5" t="s">
        <v>16</v>
      </c>
      <c r="B616" s="3" t="s">
        <v>859</v>
      </c>
      <c r="C616" s="3" t="s">
        <v>869</v>
      </c>
      <c r="D616" s="3"/>
      <c r="E616" s="3"/>
      <c r="F616" s="6">
        <f>100*SUM(AM616:AO616)/AL616</f>
      </c>
      <c r="G616" s="6">
        <f>100*SUM(AP616)/AL616</f>
      </c>
      <c r="H616" s="6">
        <f>100*SUM(AQ616)/AL616</f>
      </c>
      <c r="I616" s="6">
        <f>100*SUM(AR616:BC616)/AL616</f>
      </c>
      <c r="J616" s="3"/>
      <c r="K616" s="6">
        <v>0.068</v>
      </c>
      <c r="L616" s="6">
        <v>0.6</v>
      </c>
      <c r="M616" s="6">
        <v>7.45</v>
      </c>
      <c r="N616" s="6">
        <v>704.2</v>
      </c>
      <c r="O616" s="6">
        <v>6.1</v>
      </c>
      <c r="P616" s="6">
        <v>0.34</v>
      </c>
      <c r="Q616" s="7"/>
      <c r="R616" s="6"/>
      <c r="S616" s="6"/>
      <c r="T616" s="6"/>
      <c r="U616" s="5"/>
      <c r="V616" s="6"/>
      <c r="W616" s="6"/>
      <c r="X616" s="6"/>
      <c r="Y616" s="15"/>
      <c r="Z616" s="6"/>
      <c r="AA616" s="6"/>
      <c r="AB616" s="5"/>
      <c r="AC616" s="3"/>
      <c r="AD616" s="6">
        <v>0.00040800000000000005</v>
      </c>
      <c r="AE616" s="6">
        <v>0.005066</v>
      </c>
      <c r="AF616" s="7">
        <v>47.885600000000004</v>
      </c>
      <c r="AG616" s="6">
        <v>0.004148</v>
      </c>
      <c r="AH616" s="7">
        <v>0.02312</v>
      </c>
      <c r="AI616" s="15">
        <v>0.009622</v>
      </c>
      <c r="AJ616" s="6">
        <v>14.15</v>
      </c>
      <c r="AK616" s="3"/>
      <c r="AL616" s="6">
        <v>1041.5508719951772</v>
      </c>
      <c r="AM616" s="6">
        <v>11.375736</v>
      </c>
      <c r="AN616" s="6">
        <v>161.7790595</v>
      </c>
      <c r="AO616" s="6">
        <v>430.89794212218663</v>
      </c>
      <c r="AP616" s="6">
        <v>423.61388999999997</v>
      </c>
      <c r="AQ616" s="6">
        <v>13.884244372990356</v>
      </c>
      <c r="AR616" s="6">
        <v>0</v>
      </c>
      <c r="AS616" s="6">
        <v>0</v>
      </c>
      <c r="AT616" s="6">
        <v>0</v>
      </c>
      <c r="AU616" s="6">
        <v>0</v>
      </c>
      <c r="AV616" s="6">
        <v>0</v>
      </c>
      <c r="AW616" s="6">
        <v>0</v>
      </c>
      <c r="AX616" s="6">
        <v>0</v>
      </c>
      <c r="AY616" s="6">
        <v>0</v>
      </c>
      <c r="AZ616" s="6">
        <v>0</v>
      </c>
      <c r="BA616" s="6">
        <v>0</v>
      </c>
      <c r="BB616" s="6">
        <v>0</v>
      </c>
      <c r="BC616" s="6"/>
      <c r="BD616" s="3"/>
      <c r="BE616" s="3"/>
      <c r="BF616" s="7">
        <v>70.82545929567206</v>
      </c>
    </row>
    <row x14ac:dyDescent="0.25" r="617" customHeight="1" ht="12.75">
      <c r="A617" s="5" t="s">
        <v>294</v>
      </c>
      <c r="B617" s="3" t="s">
        <v>859</v>
      </c>
      <c r="C617" s="3" t="s">
        <v>869</v>
      </c>
      <c r="D617" s="3"/>
      <c r="E617" s="3"/>
      <c r="F617" s="6">
        <f>100*SUM(AM617:AO617)/AL617</f>
      </c>
      <c r="G617" s="6">
        <f>100*SUM(AP617)/AL617</f>
      </c>
      <c r="H617" s="6">
        <f>100*SUM(AQ617)/AL617</f>
      </c>
      <c r="I617" s="6">
        <f>100*SUM(AR617:BC617)/AL617</f>
      </c>
      <c r="J617" s="3"/>
      <c r="K617" s="6">
        <v>17.842105263157897</v>
      </c>
      <c r="L617" s="7">
        <v>4</v>
      </c>
      <c r="M617" s="6">
        <v>4.3</v>
      </c>
      <c r="N617" s="6">
        <v>13.2</v>
      </c>
      <c r="O617" s="6">
        <v>1.14</v>
      </c>
      <c r="P617" s="6">
        <v>1.93</v>
      </c>
      <c r="Q617" s="7"/>
      <c r="R617" s="6"/>
      <c r="S617" s="6"/>
      <c r="T617" s="6"/>
      <c r="U617" s="5"/>
      <c r="V617" s="6"/>
      <c r="W617" s="6"/>
      <c r="X617" s="6"/>
      <c r="Y617" s="15"/>
      <c r="Z617" s="6"/>
      <c r="AA617" s="6"/>
      <c r="AB617" s="5"/>
      <c r="AC617" s="3"/>
      <c r="AD617" s="6">
        <v>0.7136842105263159</v>
      </c>
      <c r="AE617" s="6">
        <v>0.7672105263157896</v>
      </c>
      <c r="AF617" s="7">
        <v>235.51578947368424</v>
      </c>
      <c r="AG617" s="6">
        <v>0.2034</v>
      </c>
      <c r="AH617" s="7">
        <v>34.43526315789474</v>
      </c>
      <c r="AI617" s="15">
        <v>1.6842947368421055</v>
      </c>
      <c r="AJ617" s="6">
        <v>9.440000000000001</v>
      </c>
      <c r="AK617" s="3"/>
      <c r="AL617" s="6">
        <v>335.2718056237942</v>
      </c>
      <c r="AM617" s="6">
        <v>75.83824</v>
      </c>
      <c r="AN617" s="6">
        <v>93.37583299999999</v>
      </c>
      <c r="AO617" s="6">
        <v>8.077041800643087</v>
      </c>
      <c r="AP617" s="6">
        <v>79.16718599999999</v>
      </c>
      <c r="AQ617" s="6">
        <v>78.81350482315112</v>
      </c>
      <c r="AR617" s="6">
        <v>0</v>
      </c>
      <c r="AS617" s="6">
        <v>0</v>
      </c>
      <c r="AT617" s="6">
        <v>0</v>
      </c>
      <c r="AU617" s="6">
        <v>0</v>
      </c>
      <c r="AV617" s="6">
        <v>0</v>
      </c>
      <c r="AW617" s="6">
        <v>0</v>
      </c>
      <c r="AX617" s="6">
        <v>0</v>
      </c>
      <c r="AY617" s="6">
        <v>0</v>
      </c>
      <c r="AZ617" s="6">
        <v>0</v>
      </c>
      <c r="BA617" s="6">
        <v>0</v>
      </c>
      <c r="BB617" s="6">
        <v>0</v>
      </c>
      <c r="BC617" s="6"/>
      <c r="BD617" s="3"/>
      <c r="BE617" s="3"/>
      <c r="BF617" s="7">
        <v>5981.95484770875</v>
      </c>
    </row>
    <row x14ac:dyDescent="0.25" r="618" customHeight="1" ht="12.75">
      <c r="A618" s="5" t="s">
        <v>675</v>
      </c>
      <c r="B618" s="3" t="s">
        <v>859</v>
      </c>
      <c r="C618" s="3" t="s">
        <v>869</v>
      </c>
      <c r="D618" s="3"/>
      <c r="E618" s="3"/>
      <c r="F618" s="6">
        <f>100*SUM(AM618:AO618)/AL618</f>
      </c>
      <c r="G618" s="6">
        <f>100*SUM(AP618)/AL618</f>
      </c>
      <c r="H618" s="6">
        <f>100*SUM(AQ618)/AL618</f>
      </c>
      <c r="I618" s="6">
        <f>100*SUM(AR618:BC618)/AL618</f>
      </c>
      <c r="J618" s="3"/>
      <c r="K618" s="23">
        <v>0.307234</v>
      </c>
      <c r="L618" s="6"/>
      <c r="M618" s="7">
        <v>2.73020564130272</v>
      </c>
      <c r="N618" s="7">
        <v>54.56092554860464</v>
      </c>
      <c r="O618" s="6"/>
      <c r="P618" s="7">
        <v>2.5929734339298385</v>
      </c>
      <c r="Q618" s="7"/>
      <c r="R618" s="6"/>
      <c r="S618" s="6"/>
      <c r="T618" s="6"/>
      <c r="U618" s="5"/>
      <c r="V618" s="6"/>
      <c r="W618" s="6"/>
      <c r="X618" s="6"/>
      <c r="Y618" s="15"/>
      <c r="Z618" s="6"/>
      <c r="AA618" s="6"/>
      <c r="AB618" s="5"/>
      <c r="AC618" s="3"/>
      <c r="AD618" s="6">
        <v>0</v>
      </c>
      <c r="AE618" s="6">
        <v>0.008388119999999999</v>
      </c>
      <c r="AF618" s="7">
        <v>16.762971399999998</v>
      </c>
      <c r="AG618" s="6">
        <v>0</v>
      </c>
      <c r="AH618" s="7">
        <v>0.7966496000000001</v>
      </c>
      <c r="AI618" s="15">
        <v>0.008388119999999999</v>
      </c>
      <c r="AJ618" s="6">
        <v>2.73020564130272</v>
      </c>
      <c r="AK618" s="3"/>
      <c r="AL618" s="6">
        <v>198.55963081257437</v>
      </c>
      <c r="AM618" s="6">
        <v>0</v>
      </c>
      <c r="AN618" s="6">
        <v>59.28726186463737</v>
      </c>
      <c r="AO618" s="6">
        <v>33.3856724498375</v>
      </c>
      <c r="AP618" s="6">
        <v>0</v>
      </c>
      <c r="AQ618" s="6">
        <v>105.88669649809951</v>
      </c>
      <c r="AR618" s="6">
        <v>0</v>
      </c>
      <c r="AS618" s="6">
        <v>0</v>
      </c>
      <c r="AT618" s="6">
        <v>0</v>
      </c>
      <c r="AU618" s="6">
        <v>0</v>
      </c>
      <c r="AV618" s="6">
        <v>0</v>
      </c>
      <c r="AW618" s="6">
        <v>0</v>
      </c>
      <c r="AX618" s="6">
        <v>0</v>
      </c>
      <c r="AY618" s="6">
        <v>0</v>
      </c>
      <c r="AZ618" s="6">
        <v>0</v>
      </c>
      <c r="BA618" s="6">
        <v>0</v>
      </c>
      <c r="BB618" s="6">
        <v>0</v>
      </c>
      <c r="BC618" s="6"/>
      <c r="BD618" s="3"/>
      <c r="BE618" s="3"/>
      <c r="BF618" s="7">
        <v>61.00426961307048</v>
      </c>
    </row>
    <row x14ac:dyDescent="0.25" r="619" customHeight="1" ht="12.75">
      <c r="A619" s="5" t="s">
        <v>415</v>
      </c>
      <c r="B619" s="3" t="s">
        <v>859</v>
      </c>
      <c r="C619" s="3" t="s">
        <v>869</v>
      </c>
      <c r="D619" s="3"/>
      <c r="E619" s="3"/>
      <c r="F619" s="6">
        <f>100*SUM(AM619:AO619)/AL619</f>
      </c>
      <c r="G619" s="6">
        <f>100*SUM(AP619)/AL619</f>
      </c>
      <c r="H619" s="6">
        <f>100*SUM(AQ619)/AL619</f>
      </c>
      <c r="I619" s="6">
        <f>100*SUM(AR619:BC619)/AL619</f>
      </c>
      <c r="J619" s="3"/>
      <c r="K619" s="7">
        <v>6.71328</v>
      </c>
      <c r="L619" s="6"/>
      <c r="M619" s="5">
        <v>5</v>
      </c>
      <c r="N619" s="31">
        <v>41.13756613756614</v>
      </c>
      <c r="O619" s="6">
        <v>2.2</v>
      </c>
      <c r="P619" s="7">
        <v>0.2056878306878307</v>
      </c>
      <c r="Q619" s="7"/>
      <c r="R619" s="6"/>
      <c r="S619" s="6"/>
      <c r="T619" s="6"/>
      <c r="U619" s="5"/>
      <c r="V619" s="6"/>
      <c r="W619" s="6"/>
      <c r="X619" s="6"/>
      <c r="Y619" s="15"/>
      <c r="Z619" s="6"/>
      <c r="AA619" s="6"/>
      <c r="AB619" s="5"/>
      <c r="AC619" s="3"/>
      <c r="AD619" s="6">
        <v>0</v>
      </c>
      <c r="AE619" s="6">
        <v>0.335664</v>
      </c>
      <c r="AF619" s="7">
        <v>276.168</v>
      </c>
      <c r="AG619" s="6">
        <v>0.14769216000000002</v>
      </c>
      <c r="AH619" s="7">
        <v>1.38084</v>
      </c>
      <c r="AI619" s="15">
        <v>0.48335616000000003</v>
      </c>
      <c r="AJ619" s="6">
        <v>7.2</v>
      </c>
      <c r="AK619" s="3"/>
      <c r="AL619" s="6">
        <v>294.92675857142854</v>
      </c>
      <c r="AM619" s="6">
        <v>0</v>
      </c>
      <c r="AN619" s="6">
        <v>108.57655</v>
      </c>
      <c r="AO619" s="6">
        <v>25.171957671957674</v>
      </c>
      <c r="AP619" s="6">
        <v>152.77878</v>
      </c>
      <c r="AQ619" s="6">
        <v>8.3994708994709</v>
      </c>
      <c r="AR619" s="6">
        <v>0</v>
      </c>
      <c r="AS619" s="6">
        <v>0</v>
      </c>
      <c r="AT619" s="6">
        <v>0</v>
      </c>
      <c r="AU619" s="6">
        <v>0</v>
      </c>
      <c r="AV619" s="6">
        <v>0</v>
      </c>
      <c r="AW619" s="6">
        <v>0</v>
      </c>
      <c r="AX619" s="6">
        <v>0</v>
      </c>
      <c r="AY619" s="6">
        <v>0</v>
      </c>
      <c r="AZ619" s="6">
        <v>0</v>
      </c>
      <c r="BA619" s="6">
        <v>0</v>
      </c>
      <c r="BB619" s="6">
        <v>0</v>
      </c>
      <c r="BC619" s="6"/>
      <c r="BD619" s="3"/>
      <c r="BE619" s="3"/>
      <c r="BF619" s="7">
        <v>1979.9259097824</v>
      </c>
    </row>
    <row x14ac:dyDescent="0.25" r="620" customHeight="1" ht="12.75">
      <c r="A620" s="5" t="s">
        <v>641</v>
      </c>
      <c r="B620" s="3" t="s">
        <v>859</v>
      </c>
      <c r="C620" s="3" t="s">
        <v>869</v>
      </c>
      <c r="D620" s="3"/>
      <c r="E620" s="3"/>
      <c r="F620" s="6">
        <f>100*SUM(AM620:AO620)/AL620</f>
      </c>
      <c r="G620" s="6">
        <f>100*SUM(AP620)/AL620</f>
      </c>
      <c r="H620" s="6">
        <f>100*SUM(AQ620)/AL620</f>
      </c>
      <c r="I620" s="6">
        <f>100*SUM(AR620:BC620)/AL620</f>
      </c>
      <c r="J620" s="3"/>
      <c r="K620" s="23">
        <v>0.317485</v>
      </c>
      <c r="L620" s="6">
        <v>0.1</v>
      </c>
      <c r="M620" s="6">
        <v>2.6</v>
      </c>
      <c r="N620" s="7">
        <v>13.369708994708995</v>
      </c>
      <c r="O620" s="6">
        <v>0.1</v>
      </c>
      <c r="P620" s="6">
        <v>3.496693121693122</v>
      </c>
      <c r="Q620" s="7"/>
      <c r="R620" s="6"/>
      <c r="S620" s="6"/>
      <c r="T620" s="6"/>
      <c r="U620" s="5"/>
      <c r="V620" s="6"/>
      <c r="W620" s="6"/>
      <c r="X620" s="6"/>
      <c r="Y620" s="15"/>
      <c r="Z620" s="6"/>
      <c r="AA620" s="6"/>
      <c r="AB620" s="5"/>
      <c r="AC620" s="3"/>
      <c r="AD620" s="6">
        <v>0.00031748500000000005</v>
      </c>
      <c r="AE620" s="6">
        <v>0.00825461</v>
      </c>
      <c r="AF620" s="7">
        <v>4.244682060185186</v>
      </c>
      <c r="AG620" s="6">
        <v>0.00031748500000000005</v>
      </c>
      <c r="AH620" s="7">
        <v>1.1101476157407408</v>
      </c>
      <c r="AI620" s="15">
        <v>0.00888958</v>
      </c>
      <c r="AJ620" s="6">
        <v>2.8000000000000003</v>
      </c>
      <c r="AK620" s="3"/>
      <c r="AL620" s="6">
        <v>216.27214353439155</v>
      </c>
      <c r="AM620" s="6">
        <v>1.895956</v>
      </c>
      <c r="AN620" s="6">
        <v>56.459806</v>
      </c>
      <c r="AO620" s="6">
        <v>8.180886243386244</v>
      </c>
      <c r="AP620" s="6">
        <v>6.94449</v>
      </c>
      <c r="AQ620" s="6">
        <v>142.7910052910053</v>
      </c>
      <c r="AR620" s="6">
        <v>0</v>
      </c>
      <c r="AS620" s="6">
        <v>0</v>
      </c>
      <c r="AT620" s="6">
        <v>0</v>
      </c>
      <c r="AU620" s="6">
        <v>0</v>
      </c>
      <c r="AV620" s="6">
        <v>0</v>
      </c>
      <c r="AW620" s="6">
        <v>0</v>
      </c>
      <c r="AX620" s="6">
        <v>0</v>
      </c>
      <c r="AY620" s="6">
        <v>0</v>
      </c>
      <c r="AZ620" s="6">
        <v>0</v>
      </c>
      <c r="BA620" s="6">
        <v>0</v>
      </c>
      <c r="BB620" s="6">
        <v>0</v>
      </c>
      <c r="BC620" s="6"/>
      <c r="BD620" s="3"/>
      <c r="BE620" s="3"/>
      <c r="BF620" s="7">
        <v>68.66316149001631</v>
      </c>
    </row>
    <row x14ac:dyDescent="0.25" r="621" customHeight="1" ht="12.75">
      <c r="A621" s="5" t="s">
        <v>649</v>
      </c>
      <c r="B621" s="3" t="s">
        <v>859</v>
      </c>
      <c r="C621" s="3" t="s">
        <v>869</v>
      </c>
      <c r="D621" s="3"/>
      <c r="E621" s="3"/>
      <c r="F621" s="6">
        <f>100*SUM(AM621:AO621)/AL621</f>
      </c>
      <c r="G621" s="6">
        <f>100*SUM(AP621)/AL621</f>
      </c>
      <c r="H621" s="6">
        <f>100*SUM(AQ621)/AL621</f>
      </c>
      <c r="I621" s="6">
        <f>100*SUM(AR621:BC621)/AL621</f>
      </c>
      <c r="J621" s="3"/>
      <c r="K621" s="6">
        <v>27.880000000000003</v>
      </c>
      <c r="L621" s="6"/>
      <c r="M621" s="6">
        <v>0.2315351506456241</v>
      </c>
      <c r="N621" s="6">
        <v>8.94760832137733</v>
      </c>
      <c r="O621" s="6">
        <v>0.42077474892395983</v>
      </c>
      <c r="P621" s="6">
        <v>0.3050321018651363</v>
      </c>
      <c r="Q621" s="7"/>
      <c r="R621" s="6"/>
      <c r="S621" s="6"/>
      <c r="T621" s="6"/>
      <c r="U621" s="5"/>
      <c r="V621" s="6"/>
      <c r="W621" s="6"/>
      <c r="X621" s="6"/>
      <c r="Y621" s="15"/>
      <c r="Z621" s="6"/>
      <c r="AA621" s="6"/>
      <c r="AB621" s="5"/>
      <c r="AC621" s="3"/>
      <c r="AD621" s="6">
        <v>0</v>
      </c>
      <c r="AE621" s="6">
        <v>0.064552</v>
      </c>
      <c r="AF621" s="7">
        <v>249.45932</v>
      </c>
      <c r="AG621" s="6">
        <v>0.11731200000000001</v>
      </c>
      <c r="AH621" s="7">
        <v>8.504295</v>
      </c>
      <c r="AI621" s="15">
        <v>0.18186400000000003</v>
      </c>
      <c r="AJ621" s="6">
        <v>0.652309899569584</v>
      </c>
      <c r="AK621" s="3"/>
      <c r="AL621" s="6">
        <v>52.179828407173595</v>
      </c>
      <c r="AM621" s="6">
        <v>0</v>
      </c>
      <c r="AN621" s="6">
        <v>5.027857572166427</v>
      </c>
      <c r="AO621" s="6">
        <v>5.475015638450502</v>
      </c>
      <c r="AP621" s="6">
        <v>29.220660361549495</v>
      </c>
      <c r="AQ621" s="6">
        <v>12.456294835007172</v>
      </c>
      <c r="AR621" s="6">
        <v>0</v>
      </c>
      <c r="AS621" s="6">
        <v>0</v>
      </c>
      <c r="AT621" s="6">
        <v>0</v>
      </c>
      <c r="AU621" s="6">
        <v>0</v>
      </c>
      <c r="AV621" s="6">
        <v>0</v>
      </c>
      <c r="AW621" s="6">
        <v>0</v>
      </c>
      <c r="AX621" s="6">
        <v>0</v>
      </c>
      <c r="AY621" s="6">
        <v>0</v>
      </c>
      <c r="AZ621" s="6">
        <v>0</v>
      </c>
      <c r="BA621" s="6">
        <v>0</v>
      </c>
      <c r="BB621" s="6">
        <v>0</v>
      </c>
      <c r="BC621" s="6"/>
      <c r="BD621" s="3"/>
      <c r="BE621" s="3"/>
      <c r="BF621" s="7">
        <v>1454.773615992</v>
      </c>
    </row>
    <row x14ac:dyDescent="0.25" r="622" customHeight="1" ht="12.75">
      <c r="A622" s="5" t="s">
        <v>79</v>
      </c>
      <c r="B622" s="3" t="s">
        <v>859</v>
      </c>
      <c r="C622" s="3" t="s">
        <v>869</v>
      </c>
      <c r="D622" s="3"/>
      <c r="E622" s="3"/>
      <c r="F622" s="6">
        <f>100*SUM(AM622:AO622)/AL622</f>
      </c>
      <c r="G622" s="6">
        <f>100*SUM(AP622)/AL622</f>
      </c>
      <c r="H622" s="6">
        <f>100*SUM(AQ622)/AL622</f>
      </c>
      <c r="I622" s="6">
        <f>100*SUM(AR622:BC622)/AL622</f>
      </c>
      <c r="J622" s="3"/>
      <c r="K622" s="5">
        <v>160</v>
      </c>
      <c r="L622" s="6"/>
      <c r="M622" s="6">
        <v>0.08</v>
      </c>
      <c r="N622" s="5"/>
      <c r="O622" s="6">
        <v>0.13</v>
      </c>
      <c r="P622" s="6"/>
      <c r="Q622" s="7"/>
      <c r="R622" s="6"/>
      <c r="S622" s="6">
        <v>0.022</v>
      </c>
      <c r="T622" s="6"/>
      <c r="U622" s="5"/>
      <c r="V622" s="6"/>
      <c r="W622" s="6">
        <v>35.5</v>
      </c>
      <c r="X622" s="6"/>
      <c r="Y622" s="15"/>
      <c r="Z622" s="6"/>
      <c r="AA622" s="6">
        <v>0.38090662678755033</v>
      </c>
      <c r="AB622" s="6">
        <v>0.6</v>
      </c>
      <c r="AC622" s="3" t="s">
        <v>1024</v>
      </c>
      <c r="AD622" s="6">
        <v>0</v>
      </c>
      <c r="AE622" s="6">
        <v>0.128</v>
      </c>
      <c r="AF622" s="7">
        <v>0</v>
      </c>
      <c r="AG622" s="6">
        <v>0.20800000000000002</v>
      </c>
      <c r="AH622" s="7">
        <v>0</v>
      </c>
      <c r="AI622" s="15">
        <v>0.336</v>
      </c>
      <c r="AJ622" s="6">
        <v>0.21000000000000002</v>
      </c>
      <c r="AK622" s="3"/>
      <c r="AL622" s="6">
        <v>169.31554126611832</v>
      </c>
      <c r="AM622" s="6">
        <v>0</v>
      </c>
      <c r="AN622" s="6">
        <v>1.7372248000000001</v>
      </c>
      <c r="AO622" s="6">
        <v>0</v>
      </c>
      <c r="AP622" s="6">
        <v>9.027837</v>
      </c>
      <c r="AQ622" s="6">
        <v>0</v>
      </c>
      <c r="AR622" s="6">
        <v>0</v>
      </c>
      <c r="AS622" s="6">
        <v>0</v>
      </c>
      <c r="AT622" s="6">
        <v>6.790167999999999</v>
      </c>
      <c r="AU622" s="6">
        <v>0</v>
      </c>
      <c r="AV622" s="6">
        <v>0</v>
      </c>
      <c r="AW622" s="6">
        <v>0</v>
      </c>
      <c r="AX622" s="6">
        <v>35.855</v>
      </c>
      <c r="AY622" s="6">
        <v>0</v>
      </c>
      <c r="AZ622" s="6">
        <v>0</v>
      </c>
      <c r="BA622" s="6">
        <v>0</v>
      </c>
      <c r="BB622" s="6">
        <v>48.70531146611833</v>
      </c>
      <c r="BC622" s="6">
        <v>67.2</v>
      </c>
      <c r="BD622" s="3" t="s">
        <v>1025</v>
      </c>
      <c r="BE622" s="3"/>
      <c r="BF622" s="7">
        <v>27090.48660257893</v>
      </c>
    </row>
    <row x14ac:dyDescent="0.25" r="623" customHeight="1" ht="12.75">
      <c r="A623" s="5" t="s">
        <v>344</v>
      </c>
      <c r="B623" s="3" t="s">
        <v>855</v>
      </c>
      <c r="C623" s="3" t="s">
        <v>870</v>
      </c>
      <c r="D623" s="3"/>
      <c r="E623" s="3"/>
      <c r="F623" s="6">
        <f>100*SUM(AM623:AO623)/AL623</f>
      </c>
      <c r="G623" s="6">
        <f>100*SUM(AP623)/AL623</f>
      </c>
      <c r="H623" s="6">
        <f>100*SUM(AQ623)/AL623</f>
      </c>
      <c r="I623" s="6">
        <f>100*SUM(AR623:BC623)/AL623</f>
      </c>
      <c r="J623" s="3"/>
      <c r="K623" s="6">
        <v>12.96</v>
      </c>
      <c r="L623" s="7">
        <v>0.14444444444444443</v>
      </c>
      <c r="M623" s="7">
        <v>9.822222222222221</v>
      </c>
      <c r="N623" s="31">
        <v>56.29629629629628</v>
      </c>
      <c r="O623" s="6"/>
      <c r="P623" s="6"/>
      <c r="Q623" s="7"/>
      <c r="R623" s="6"/>
      <c r="S623" s="6"/>
      <c r="T623" s="6"/>
      <c r="U623" s="5"/>
      <c r="V623" s="6"/>
      <c r="W623" s="6"/>
      <c r="X623" s="6"/>
      <c r="Y623" s="15"/>
      <c r="Z623" s="6"/>
      <c r="AA623" s="6"/>
      <c r="AB623" s="5"/>
      <c r="AC623" s="3"/>
      <c r="AD623" s="6">
        <v>0.01872</v>
      </c>
      <c r="AE623" s="6">
        <v>1.2729599999999999</v>
      </c>
      <c r="AF623" s="7">
        <v>729.5999999999999</v>
      </c>
      <c r="AG623" s="6">
        <v>0</v>
      </c>
      <c r="AH623" s="7">
        <v>0</v>
      </c>
      <c r="AI623" s="15">
        <v>1.29168</v>
      </c>
      <c r="AJ623" s="6">
        <v>9.966666666666665</v>
      </c>
      <c r="AK623" s="3"/>
      <c r="AL623" s="6">
        <v>250.4787443439323</v>
      </c>
      <c r="AM623" s="6">
        <v>2.738603111111111</v>
      </c>
      <c r="AN623" s="6">
        <v>213.29260044444442</v>
      </c>
      <c r="AO623" s="6">
        <v>34.4475407883768</v>
      </c>
      <c r="AP623" s="6">
        <v>0</v>
      </c>
      <c r="AQ623" s="6">
        <v>0</v>
      </c>
      <c r="AR623" s="6">
        <v>0</v>
      </c>
      <c r="AS623" s="6">
        <v>0</v>
      </c>
      <c r="AT623" s="6">
        <v>0</v>
      </c>
      <c r="AU623" s="6">
        <v>0</v>
      </c>
      <c r="AV623" s="6">
        <v>0</v>
      </c>
      <c r="AW623" s="6">
        <v>0</v>
      </c>
      <c r="AX623" s="6">
        <v>0</v>
      </c>
      <c r="AY623" s="6">
        <v>0</v>
      </c>
      <c r="AZ623" s="6">
        <v>0</v>
      </c>
      <c r="BA623" s="6">
        <v>0</v>
      </c>
      <c r="BB623" s="6">
        <v>0</v>
      </c>
      <c r="BC623" s="6"/>
      <c r="BD623" s="3"/>
      <c r="BE623" s="3"/>
      <c r="BF623" s="7">
        <v>3246.204526697363</v>
      </c>
    </row>
    <row x14ac:dyDescent="0.25" r="624" customHeight="1" ht="12.75">
      <c r="A624" s="5" t="s">
        <v>359</v>
      </c>
      <c r="B624" s="3" t="s">
        <v>855</v>
      </c>
      <c r="C624" s="3" t="s">
        <v>870</v>
      </c>
      <c r="D624" s="3" t="s">
        <v>1013</v>
      </c>
      <c r="E624" s="3"/>
      <c r="F624" s="6">
        <f>100*SUM(AM624:AO624)/AL624</f>
      </c>
      <c r="G624" s="6">
        <f>100*SUM(AP624)/AL624</f>
      </c>
      <c r="H624" s="6">
        <f>100*SUM(AQ624)/AL624</f>
      </c>
      <c r="I624" s="6">
        <f>100*SUM(AR624:BC624)/AL624</f>
      </c>
      <c r="J624" s="3"/>
      <c r="K624" s="6">
        <v>7.1</v>
      </c>
      <c r="L624" s="6"/>
      <c r="M624" s="6">
        <v>9.672535211267606</v>
      </c>
      <c r="N624" s="5"/>
      <c r="O624" s="6"/>
      <c r="P624" s="6"/>
      <c r="Q624" s="7"/>
      <c r="R624" s="6"/>
      <c r="S624" s="6"/>
      <c r="T624" s="6"/>
      <c r="U624" s="5"/>
      <c r="V624" s="6"/>
      <c r="W624" s="6"/>
      <c r="X624" s="6"/>
      <c r="Y624" s="15"/>
      <c r="Z624" s="6"/>
      <c r="AA624" s="6"/>
      <c r="AB624" s="5"/>
      <c r="AC624" s="3"/>
      <c r="AD624" s="6">
        <v>0</v>
      </c>
      <c r="AE624" s="6">
        <v>0.68675</v>
      </c>
      <c r="AF624" s="7">
        <v>0</v>
      </c>
      <c r="AG624" s="6">
        <v>0</v>
      </c>
      <c r="AH624" s="7">
        <v>0</v>
      </c>
      <c r="AI624" s="15">
        <v>0.68675</v>
      </c>
      <c r="AJ624" s="6">
        <v>9.672535211267606</v>
      </c>
      <c r="AK624" s="3"/>
      <c r="AL624" s="6">
        <v>210.04210059859156</v>
      </c>
      <c r="AM624" s="6">
        <v>0</v>
      </c>
      <c r="AN624" s="6">
        <v>210.04210059859156</v>
      </c>
      <c r="AO624" s="6">
        <v>0</v>
      </c>
      <c r="AP624" s="6">
        <v>0</v>
      </c>
      <c r="AQ624" s="6">
        <v>0</v>
      </c>
      <c r="AR624" s="6">
        <v>0</v>
      </c>
      <c r="AS624" s="6">
        <v>0</v>
      </c>
      <c r="AT624" s="6">
        <v>0</v>
      </c>
      <c r="AU624" s="6">
        <v>0</v>
      </c>
      <c r="AV624" s="6">
        <v>0</v>
      </c>
      <c r="AW624" s="6">
        <v>0</v>
      </c>
      <c r="AX624" s="6">
        <v>0</v>
      </c>
      <c r="AY624" s="6">
        <v>0</v>
      </c>
      <c r="AZ624" s="6">
        <v>0</v>
      </c>
      <c r="BA624" s="6">
        <v>0</v>
      </c>
      <c r="BB624" s="6">
        <v>0</v>
      </c>
      <c r="BC624" s="6"/>
      <c r="BD624" s="3"/>
      <c r="BE624" s="3"/>
      <c r="BF624" s="7">
        <v>1491.29891425</v>
      </c>
    </row>
    <row x14ac:dyDescent="0.25" r="625" customHeight="1" ht="12.75">
      <c r="A625" s="5" t="s">
        <v>664</v>
      </c>
      <c r="B625" s="3" t="s">
        <v>855</v>
      </c>
      <c r="C625" s="3" t="s">
        <v>870</v>
      </c>
      <c r="D625" s="3"/>
      <c r="E625" s="3"/>
      <c r="F625" s="6">
        <f>100*SUM(AM625:AO625)/AL625</f>
      </c>
      <c r="G625" s="6">
        <f>100*SUM(AP625)/AL625</f>
      </c>
      <c r="H625" s="6">
        <f>100*SUM(AQ625)/AL625</f>
      </c>
      <c r="I625" s="6">
        <f>100*SUM(AR625:BC625)/AL625</f>
      </c>
      <c r="J625" s="3"/>
      <c r="K625" s="6">
        <v>21.540000000000003</v>
      </c>
      <c r="L625" s="6"/>
      <c r="M625" s="6">
        <v>1.6048467966573812</v>
      </c>
      <c r="N625" s="7">
        <v>25.715598885793874</v>
      </c>
      <c r="O625" s="6"/>
      <c r="P625" s="6"/>
      <c r="Q625" s="7"/>
      <c r="R625" s="6"/>
      <c r="S625" s="6"/>
      <c r="T625" s="6"/>
      <c r="U625" s="5"/>
      <c r="V625" s="6"/>
      <c r="W625" s="6"/>
      <c r="X625" s="6"/>
      <c r="Y625" s="15"/>
      <c r="Z625" s="6"/>
      <c r="AA625" s="6"/>
      <c r="AB625" s="5"/>
      <c r="AC625" s="3"/>
      <c r="AD625" s="6">
        <v>0</v>
      </c>
      <c r="AE625" s="6">
        <v>0.345684</v>
      </c>
      <c r="AF625" s="7">
        <v>553.9140000000001</v>
      </c>
      <c r="AG625" s="6">
        <v>0</v>
      </c>
      <c r="AH625" s="7">
        <v>0</v>
      </c>
      <c r="AI625" s="15">
        <v>0.345684</v>
      </c>
      <c r="AJ625" s="6">
        <v>1.6048467966573812</v>
      </c>
      <c r="AK625" s="3"/>
      <c r="AL625" s="6">
        <v>50.58504623200744</v>
      </c>
      <c r="AM625" s="6">
        <v>0</v>
      </c>
      <c r="AN625" s="6">
        <v>34.849745691921996</v>
      </c>
      <c r="AO625" s="6">
        <v>15.735300540085449</v>
      </c>
      <c r="AP625" s="6">
        <v>0</v>
      </c>
      <c r="AQ625" s="6">
        <v>0</v>
      </c>
      <c r="AR625" s="6">
        <v>0</v>
      </c>
      <c r="AS625" s="6">
        <v>0</v>
      </c>
      <c r="AT625" s="6">
        <v>0</v>
      </c>
      <c r="AU625" s="6">
        <v>0</v>
      </c>
      <c r="AV625" s="6">
        <v>0</v>
      </c>
      <c r="AW625" s="6">
        <v>0</v>
      </c>
      <c r="AX625" s="6">
        <v>0</v>
      </c>
      <c r="AY625" s="6">
        <v>0</v>
      </c>
      <c r="AZ625" s="6">
        <v>0</v>
      </c>
      <c r="BA625" s="6">
        <v>0</v>
      </c>
      <c r="BB625" s="6">
        <v>0</v>
      </c>
      <c r="BC625" s="6"/>
      <c r="BD625" s="3"/>
      <c r="BE625" s="3"/>
      <c r="BF625" s="7">
        <v>1089.6018958374405</v>
      </c>
    </row>
    <row x14ac:dyDescent="0.25" r="626" customHeight="1" ht="12.75">
      <c r="A626" s="5" t="s">
        <v>684</v>
      </c>
      <c r="B626" s="3" t="s">
        <v>855</v>
      </c>
      <c r="C626" s="3" t="s">
        <v>870</v>
      </c>
      <c r="D626" s="3"/>
      <c r="E626" s="3"/>
      <c r="F626" s="6">
        <f>100*SUM(AM626:AO626)/AL626</f>
      </c>
      <c r="G626" s="6">
        <f>100*SUM(AP626)/AL626</f>
      </c>
      <c r="H626" s="6">
        <f>100*SUM(AQ626)/AL626</f>
      </c>
      <c r="I626" s="6">
        <f>100*SUM(AR626:BC626)/AL626</f>
      </c>
      <c r="J626" s="3"/>
      <c r="K626" s="23">
        <v>9.0196</v>
      </c>
      <c r="L626" s="6">
        <v>0.5459697769302408</v>
      </c>
      <c r="M626" s="6">
        <v>2.7119395538604816</v>
      </c>
      <c r="N626" s="7">
        <v>18.2268027185241</v>
      </c>
      <c r="O626" s="6"/>
      <c r="P626" s="6"/>
      <c r="Q626" s="7"/>
      <c r="R626" s="6"/>
      <c r="S626" s="6"/>
      <c r="T626" s="6"/>
      <c r="U626" s="5"/>
      <c r="V626" s="6"/>
      <c r="W626" s="6"/>
      <c r="X626" s="6"/>
      <c r="Y626" s="15"/>
      <c r="Z626" s="6"/>
      <c r="AA626" s="6"/>
      <c r="AB626" s="5"/>
      <c r="AC626" s="3"/>
      <c r="AD626" s="6">
        <v>0.04924429000000001</v>
      </c>
      <c r="AE626" s="6">
        <v>0.24460610000000002</v>
      </c>
      <c r="AF626" s="7">
        <v>164.3984698</v>
      </c>
      <c r="AG626" s="6">
        <v>0</v>
      </c>
      <c r="AH626" s="7">
        <v>0</v>
      </c>
      <c r="AI626" s="15">
        <v>0.29385039</v>
      </c>
      <c r="AJ626" s="6">
        <v>3.2579093307907225</v>
      </c>
      <c r="AK626" s="3"/>
      <c r="AL626" s="6">
        <v>80.39488269432803</v>
      </c>
      <c r="AM626" s="6">
        <v>10.351346743895517</v>
      </c>
      <c r="AN626" s="6">
        <v>58.89060811334205</v>
      </c>
      <c r="AO626" s="6">
        <v>11.152927837090473</v>
      </c>
      <c r="AP626" s="6">
        <v>0</v>
      </c>
      <c r="AQ626" s="6">
        <v>0</v>
      </c>
      <c r="AR626" s="6">
        <v>0</v>
      </c>
      <c r="AS626" s="6">
        <v>0</v>
      </c>
      <c r="AT626" s="6">
        <v>0</v>
      </c>
      <c r="AU626" s="6">
        <v>0</v>
      </c>
      <c r="AV626" s="6">
        <v>0</v>
      </c>
      <c r="AW626" s="6">
        <v>0</v>
      </c>
      <c r="AX626" s="6">
        <v>0</v>
      </c>
      <c r="AY626" s="6">
        <v>0</v>
      </c>
      <c r="AZ626" s="6">
        <v>0</v>
      </c>
      <c r="BA626" s="6">
        <v>0</v>
      </c>
      <c r="BB626" s="6">
        <v>0</v>
      </c>
      <c r="BC626" s="6"/>
      <c r="BD626" s="3"/>
      <c r="BE626" s="3"/>
      <c r="BF626" s="7">
        <v>725.1296839497612</v>
      </c>
    </row>
    <row x14ac:dyDescent="0.25" r="627" customHeight="1" ht="12.75">
      <c r="A627" s="5" t="s">
        <v>598</v>
      </c>
      <c r="B627" s="3" t="s">
        <v>855</v>
      </c>
      <c r="C627" s="3" t="s">
        <v>870</v>
      </c>
      <c r="D627" s="3"/>
      <c r="E627" s="3"/>
      <c r="F627" s="6">
        <f>100*SUM(AM627:AO627)/AL627</f>
      </c>
      <c r="G627" s="6">
        <f>100*SUM(AP627)/AL627</f>
      </c>
      <c r="H627" s="6">
        <f>100*SUM(AQ627)/AL627</f>
      </c>
      <c r="I627" s="6">
        <f>100*SUM(AR627:BC627)/AL627</f>
      </c>
      <c r="J627" s="3"/>
      <c r="K627" s="6">
        <v>2.98</v>
      </c>
      <c r="L627" s="6">
        <v>1.588</v>
      </c>
      <c r="M627" s="6">
        <v>4.94</v>
      </c>
      <c r="N627" s="5">
        <v>15</v>
      </c>
      <c r="O627" s="6"/>
      <c r="P627" s="6"/>
      <c r="Q627" s="7"/>
      <c r="R627" s="6"/>
      <c r="S627" s="6"/>
      <c r="T627" s="6"/>
      <c r="U627" s="5"/>
      <c r="V627" s="6"/>
      <c r="W627" s="6"/>
      <c r="X627" s="6"/>
      <c r="Y627" s="15"/>
      <c r="Z627" s="6"/>
      <c r="AA627" s="6"/>
      <c r="AB627" s="5"/>
      <c r="AC627" s="3"/>
      <c r="AD627" s="6">
        <v>0.0473224</v>
      </c>
      <c r="AE627" s="6">
        <v>0.147212</v>
      </c>
      <c r="AF627" s="7">
        <v>44.7</v>
      </c>
      <c r="AG627" s="6">
        <v>0</v>
      </c>
      <c r="AH627" s="7">
        <v>0</v>
      </c>
      <c r="AI627" s="15">
        <v>0.1945344</v>
      </c>
      <c r="AJ627" s="6">
        <v>6.5280000000000005</v>
      </c>
      <c r="AK627" s="3"/>
      <c r="AL627" s="6">
        <v>146.55986927163988</v>
      </c>
      <c r="AM627" s="6">
        <v>30.10778128</v>
      </c>
      <c r="AN627" s="6">
        <v>107.27363140000001</v>
      </c>
      <c r="AO627" s="6">
        <v>9.178456591639874</v>
      </c>
      <c r="AP627" s="6">
        <v>0</v>
      </c>
      <c r="AQ627" s="6">
        <v>0</v>
      </c>
      <c r="AR627" s="6">
        <v>0</v>
      </c>
      <c r="AS627" s="6">
        <v>0</v>
      </c>
      <c r="AT627" s="6">
        <v>0</v>
      </c>
      <c r="AU627" s="6">
        <v>0</v>
      </c>
      <c r="AV627" s="6">
        <v>0</v>
      </c>
      <c r="AW627" s="6">
        <v>0</v>
      </c>
      <c r="AX627" s="6">
        <v>0</v>
      </c>
      <c r="AY627" s="6">
        <v>0</v>
      </c>
      <c r="AZ627" s="6">
        <v>0</v>
      </c>
      <c r="BA627" s="6">
        <v>0</v>
      </c>
      <c r="BB627" s="6">
        <v>0</v>
      </c>
      <c r="BC627" s="6"/>
      <c r="BD627" s="3"/>
      <c r="BE627" s="3"/>
      <c r="BF627" s="7">
        <v>436.74841042948685</v>
      </c>
    </row>
    <row x14ac:dyDescent="0.25" r="628" customHeight="1" ht="12.75">
      <c r="A628" s="5" t="s">
        <v>799</v>
      </c>
      <c r="B628" s="3" t="s">
        <v>855</v>
      </c>
      <c r="C628" s="3" t="s">
        <v>870</v>
      </c>
      <c r="D628" s="3"/>
      <c r="E628" s="3"/>
      <c r="F628" s="6">
        <f>100*SUM(AM628:AO628)/AL628</f>
      </c>
      <c r="G628" s="6">
        <f>100*SUM(AP628)/AL628</f>
      </c>
      <c r="H628" s="6">
        <f>100*SUM(AQ628)/AL628</f>
      </c>
      <c r="I628" s="6">
        <f>100*SUM(AR628:BC628)/AL628</f>
      </c>
      <c r="J628" s="3"/>
      <c r="K628" s="23">
        <v>3.061798</v>
      </c>
      <c r="L628" s="6">
        <v>2.1</v>
      </c>
      <c r="M628" s="6">
        <v>1.48</v>
      </c>
      <c r="N628" s="6">
        <v>45.7</v>
      </c>
      <c r="O628" s="6"/>
      <c r="P628" s="6"/>
      <c r="Q628" s="7"/>
      <c r="R628" s="6"/>
      <c r="S628" s="6"/>
      <c r="T628" s="6"/>
      <c r="U628" s="5"/>
      <c r="V628" s="6"/>
      <c r="W628" s="6"/>
      <c r="X628" s="6"/>
      <c r="Y628" s="15"/>
      <c r="Z628" s="6"/>
      <c r="AA628" s="6"/>
      <c r="AB628" s="5"/>
      <c r="AC628" s="3"/>
      <c r="AD628" s="6">
        <v>0.06429775800000001</v>
      </c>
      <c r="AE628" s="6">
        <v>0.0453146104</v>
      </c>
      <c r="AF628" s="7">
        <v>139.9241686</v>
      </c>
      <c r="AG628" s="6">
        <v>0</v>
      </c>
      <c r="AH628" s="7">
        <v>0</v>
      </c>
      <c r="AI628" s="15">
        <v>0.10961236840000001</v>
      </c>
      <c r="AJ628" s="6">
        <v>3.58</v>
      </c>
      <c r="AK628" s="3"/>
      <c r="AL628" s="6">
        <v>99.91743254919615</v>
      </c>
      <c r="AM628" s="6">
        <v>39.815076</v>
      </c>
      <c r="AN628" s="6">
        <v>32.1386588</v>
      </c>
      <c r="AO628" s="6">
        <v>27.963697749196147</v>
      </c>
      <c r="AP628" s="6">
        <v>0</v>
      </c>
      <c r="AQ628" s="6">
        <v>0</v>
      </c>
      <c r="AR628" s="6">
        <v>0</v>
      </c>
      <c r="AS628" s="6">
        <v>0</v>
      </c>
      <c r="AT628" s="6">
        <v>0</v>
      </c>
      <c r="AU628" s="6">
        <v>0</v>
      </c>
      <c r="AV628" s="6">
        <v>0</v>
      </c>
      <c r="AW628" s="6">
        <v>0</v>
      </c>
      <c r="AX628" s="6">
        <v>0</v>
      </c>
      <c r="AY628" s="6">
        <v>0</v>
      </c>
      <c r="AZ628" s="6">
        <v>0</v>
      </c>
      <c r="BA628" s="6">
        <v>0</v>
      </c>
      <c r="BB628" s="6">
        <v>0</v>
      </c>
      <c r="BC628" s="6"/>
      <c r="BD628" s="3"/>
      <c r="BE628" s="3"/>
      <c r="BF628" s="7">
        <v>305.9269951442637</v>
      </c>
    </row>
    <row x14ac:dyDescent="0.25" r="629" customHeight="1" ht="12.75">
      <c r="A629" s="5" t="s">
        <v>557</v>
      </c>
      <c r="B629" s="3" t="s">
        <v>855</v>
      </c>
      <c r="C629" s="3" t="s">
        <v>870</v>
      </c>
      <c r="D629" s="3"/>
      <c r="E629" s="3"/>
      <c r="F629" s="6">
        <f>100*SUM(AM629:AO629)/AL629</f>
      </c>
      <c r="G629" s="6">
        <f>100*SUM(AP629)/AL629</f>
      </c>
      <c r="H629" s="6">
        <f>100*SUM(AQ629)/AL629</f>
      </c>
      <c r="I629" s="6">
        <f>100*SUM(AR629:BC629)/AL629</f>
      </c>
      <c r="J629" s="3"/>
      <c r="K629" s="6">
        <v>0.574</v>
      </c>
      <c r="L629" s="6">
        <v>5.1</v>
      </c>
      <c r="M629" s="6">
        <v>1.9</v>
      </c>
      <c r="N629" s="7">
        <v>60</v>
      </c>
      <c r="O629" s="6"/>
      <c r="P629" s="6"/>
      <c r="Q629" s="7"/>
      <c r="R629" s="6"/>
      <c r="S629" s="6"/>
      <c r="T629" s="6"/>
      <c r="U629" s="5"/>
      <c r="V629" s="6"/>
      <c r="W629" s="6"/>
      <c r="X629" s="6"/>
      <c r="Y629" s="15"/>
      <c r="Z629" s="6"/>
      <c r="AA629" s="6"/>
      <c r="AB629" s="5"/>
      <c r="AC629" s="3"/>
      <c r="AD629" s="6">
        <v>0.029273999999999994</v>
      </c>
      <c r="AE629" s="6">
        <v>0.010905999999999997</v>
      </c>
      <c r="AF629" s="7">
        <v>34.44</v>
      </c>
      <c r="AG629" s="6">
        <v>0</v>
      </c>
      <c r="AH629" s="7">
        <v>0</v>
      </c>
      <c r="AI629" s="15">
        <v>0.040179999999999993</v>
      </c>
      <c r="AJ629" s="6">
        <v>7</v>
      </c>
      <c r="AK629" s="3"/>
      <c r="AL629" s="6">
        <v>174.66667136655948</v>
      </c>
      <c r="AM629" s="6">
        <v>96.693756</v>
      </c>
      <c r="AN629" s="6">
        <v>41.259088999999996</v>
      </c>
      <c r="AO629" s="6">
        <v>36.713826366559495</v>
      </c>
      <c r="AP629" s="6">
        <v>0</v>
      </c>
      <c r="AQ629" s="6">
        <v>0</v>
      </c>
      <c r="AR629" s="6">
        <v>0</v>
      </c>
      <c r="AS629" s="6">
        <v>0</v>
      </c>
      <c r="AT629" s="6">
        <v>0</v>
      </c>
      <c r="AU629" s="6">
        <v>0</v>
      </c>
      <c r="AV629" s="6">
        <v>0</v>
      </c>
      <c r="AW629" s="6">
        <v>0</v>
      </c>
      <c r="AX629" s="6">
        <v>0</v>
      </c>
      <c r="AY629" s="6">
        <v>0</v>
      </c>
      <c r="AZ629" s="6">
        <v>0</v>
      </c>
      <c r="BA629" s="6">
        <v>0</v>
      </c>
      <c r="BB629" s="6">
        <v>0</v>
      </c>
      <c r="BC629" s="6"/>
      <c r="BD629" s="3"/>
      <c r="BE629" s="3"/>
      <c r="BF629" s="7">
        <v>100.25866936440514</v>
      </c>
    </row>
    <row x14ac:dyDescent="0.25" r="630" customHeight="1" ht="12.75">
      <c r="A630" s="5" t="s">
        <v>680</v>
      </c>
      <c r="B630" s="3" t="s">
        <v>855</v>
      </c>
      <c r="C630" s="3" t="s">
        <v>870</v>
      </c>
      <c r="D630" s="3"/>
      <c r="E630" s="3"/>
      <c r="F630" s="6">
        <f>100*SUM(AM630:AO630)/AL630</f>
      </c>
      <c r="G630" s="6">
        <f>100*SUM(AP630)/AL630</f>
      </c>
      <c r="H630" s="6">
        <f>100*SUM(AQ630)/AL630</f>
      </c>
      <c r="I630" s="6">
        <f>100*SUM(AR630:BC630)/AL630</f>
      </c>
      <c r="J630" s="3"/>
      <c r="K630" s="23">
        <v>0.056719</v>
      </c>
      <c r="L630" s="6">
        <v>1.22</v>
      </c>
      <c r="M630" s="6">
        <v>4.41</v>
      </c>
      <c r="N630" s="6">
        <v>32.7</v>
      </c>
      <c r="O630" s="6"/>
      <c r="P630" s="6"/>
      <c r="Q630" s="7"/>
      <c r="R630" s="6"/>
      <c r="S630" s="6"/>
      <c r="T630" s="6"/>
      <c r="U630" s="5"/>
      <c r="V630" s="6"/>
      <c r="W630" s="6"/>
      <c r="X630" s="6"/>
      <c r="Y630" s="15"/>
      <c r="Z630" s="6"/>
      <c r="AA630" s="6"/>
      <c r="AB630" s="5"/>
      <c r="AC630" s="3"/>
      <c r="AD630" s="6">
        <v>0.0006919717999999999</v>
      </c>
      <c r="AE630" s="6">
        <v>0.0025013079</v>
      </c>
      <c r="AF630" s="7">
        <v>1.8547113000000002</v>
      </c>
      <c r="AG630" s="6">
        <v>0</v>
      </c>
      <c r="AH630" s="7">
        <v>0</v>
      </c>
      <c r="AI630" s="15">
        <v>0.0031932796999999996</v>
      </c>
      <c r="AJ630" s="6">
        <v>5.63</v>
      </c>
      <c r="AK630" s="3"/>
      <c r="AL630" s="6">
        <v>138.9042156697749</v>
      </c>
      <c r="AM630" s="6">
        <v>23.130663199999997</v>
      </c>
      <c r="AN630" s="6">
        <v>95.76451709999999</v>
      </c>
      <c r="AO630" s="6">
        <v>20.009035369774924</v>
      </c>
      <c r="AP630" s="6">
        <v>0</v>
      </c>
      <c r="AQ630" s="6">
        <v>0</v>
      </c>
      <c r="AR630" s="6">
        <v>0</v>
      </c>
      <c r="AS630" s="6">
        <v>0</v>
      </c>
      <c r="AT630" s="6">
        <v>0</v>
      </c>
      <c r="AU630" s="6">
        <v>0</v>
      </c>
      <c r="AV630" s="6">
        <v>0</v>
      </c>
      <c r="AW630" s="6">
        <v>0</v>
      </c>
      <c r="AX630" s="6">
        <v>0</v>
      </c>
      <c r="AY630" s="6">
        <v>0</v>
      </c>
      <c r="AZ630" s="6">
        <v>0</v>
      </c>
      <c r="BA630" s="6">
        <v>0</v>
      </c>
      <c r="BB630" s="6">
        <v>0</v>
      </c>
      <c r="BC630" s="6"/>
      <c r="BD630" s="3"/>
      <c r="BE630" s="3"/>
      <c r="BF630" s="7">
        <v>7.8785082085739635</v>
      </c>
    </row>
    <row x14ac:dyDescent="0.25" r="631" customHeight="1" ht="12.75">
      <c r="A631" s="5" t="s">
        <v>731</v>
      </c>
      <c r="B631" s="3" t="s">
        <v>855</v>
      </c>
      <c r="C631" s="3" t="s">
        <v>870</v>
      </c>
      <c r="D631" s="3"/>
      <c r="E631" s="3"/>
      <c r="F631" s="6">
        <f>100*SUM(AM631:AO631)/AL631</f>
      </c>
      <c r="G631" s="6">
        <f>100*SUM(AP631)/AL631</f>
      </c>
      <c r="H631" s="6">
        <f>100*SUM(AQ631)/AL631</f>
      </c>
      <c r="I631" s="6">
        <f>100*SUM(AR631:BC631)/AL631</f>
      </c>
      <c r="J631" s="3"/>
      <c r="K631" s="6">
        <v>0.2</v>
      </c>
      <c r="L631" s="6"/>
      <c r="M631" s="5">
        <v>5</v>
      </c>
      <c r="N631" s="5"/>
      <c r="O631" s="6"/>
      <c r="P631" s="6"/>
      <c r="Q631" s="7"/>
      <c r="R631" s="6"/>
      <c r="S631" s="6"/>
      <c r="T631" s="6"/>
      <c r="U631" s="5"/>
      <c r="V631" s="6"/>
      <c r="W631" s="6"/>
      <c r="X631" s="6"/>
      <c r="Y631" s="15"/>
      <c r="Z631" s="6"/>
      <c r="AA631" s="6"/>
      <c r="AB631" s="5"/>
      <c r="AC631" s="3"/>
      <c r="AD631" s="6">
        <v>0</v>
      </c>
      <c r="AE631" s="6">
        <v>0.01</v>
      </c>
      <c r="AF631" s="7">
        <v>0</v>
      </c>
      <c r="AG631" s="6">
        <v>0</v>
      </c>
      <c r="AH631" s="7">
        <v>0</v>
      </c>
      <c r="AI631" s="15">
        <v>0.01</v>
      </c>
      <c r="AJ631" s="6">
        <v>5</v>
      </c>
      <c r="AK631" s="3"/>
      <c r="AL631" s="6">
        <v>108.57655</v>
      </c>
      <c r="AM631" s="6">
        <v>0</v>
      </c>
      <c r="AN631" s="6">
        <v>108.57655</v>
      </c>
      <c r="AO631" s="6">
        <v>0</v>
      </c>
      <c r="AP631" s="6">
        <v>0</v>
      </c>
      <c r="AQ631" s="6">
        <v>0</v>
      </c>
      <c r="AR631" s="6">
        <v>0</v>
      </c>
      <c r="AS631" s="6">
        <v>0</v>
      </c>
      <c r="AT631" s="6">
        <v>0</v>
      </c>
      <c r="AU631" s="6">
        <v>0</v>
      </c>
      <c r="AV631" s="6">
        <v>0</v>
      </c>
      <c r="AW631" s="6">
        <v>0</v>
      </c>
      <c r="AX631" s="6">
        <v>0</v>
      </c>
      <c r="AY631" s="6">
        <v>0</v>
      </c>
      <c r="AZ631" s="6">
        <v>0</v>
      </c>
      <c r="BA631" s="6">
        <v>0</v>
      </c>
      <c r="BB631" s="6">
        <v>0</v>
      </c>
      <c r="BC631" s="6"/>
      <c r="BD631" s="3"/>
      <c r="BE631" s="3"/>
      <c r="BF631" s="7">
        <v>21.715310000000002</v>
      </c>
    </row>
    <row x14ac:dyDescent="0.25" r="632" customHeight="1" ht="12.75">
      <c r="A632" s="5" t="s">
        <v>748</v>
      </c>
      <c r="B632" s="3" t="s">
        <v>855</v>
      </c>
      <c r="C632" s="3" t="s">
        <v>870</v>
      </c>
      <c r="D632" s="3"/>
      <c r="E632" s="3"/>
      <c r="F632" s="6">
        <f>100*SUM(AM632:AO632)/AL632</f>
      </c>
      <c r="G632" s="6">
        <f>100*SUM(AP632)/AL632</f>
      </c>
      <c r="H632" s="6">
        <f>100*SUM(AQ632)/AL632</f>
      </c>
      <c r="I632" s="6">
        <f>100*SUM(AR632:BC632)/AL632</f>
      </c>
      <c r="J632" s="3"/>
      <c r="K632" s="6">
        <v>1.13</v>
      </c>
      <c r="L632" s="6">
        <v>3.95</v>
      </c>
      <c r="M632" s="6">
        <v>0.64</v>
      </c>
      <c r="N632" s="5">
        <v>38</v>
      </c>
      <c r="O632" s="6">
        <v>0.01</v>
      </c>
      <c r="P632" s="6"/>
      <c r="Q632" s="7"/>
      <c r="R632" s="6"/>
      <c r="S632" s="6"/>
      <c r="T632" s="6"/>
      <c r="U632" s="5"/>
      <c r="V632" s="6"/>
      <c r="W632" s="6"/>
      <c r="X632" s="6"/>
      <c r="Y632" s="15"/>
      <c r="Z632" s="6"/>
      <c r="AA632" s="6"/>
      <c r="AB632" s="5"/>
      <c r="AC632" s="3"/>
      <c r="AD632" s="6">
        <v>0.044635</v>
      </c>
      <c r="AE632" s="6">
        <v>0.007232</v>
      </c>
      <c r="AF632" s="7">
        <v>42.94</v>
      </c>
      <c r="AG632" s="6">
        <v>0.000113</v>
      </c>
      <c r="AH632" s="7">
        <v>0</v>
      </c>
      <c r="AI632" s="15">
        <v>0.051980000000000005</v>
      </c>
      <c r="AJ632" s="6">
        <v>4.6</v>
      </c>
      <c r="AK632" s="3"/>
      <c r="AL632" s="6">
        <v>112.73459943215434</v>
      </c>
      <c r="AM632" s="6">
        <v>74.89026199999999</v>
      </c>
      <c r="AN632" s="6">
        <v>13.897798400000001</v>
      </c>
      <c r="AO632" s="6">
        <v>23.252090032154346</v>
      </c>
      <c r="AP632" s="6">
        <v>0.694449</v>
      </c>
      <c r="AQ632" s="6">
        <v>0</v>
      </c>
      <c r="AR632" s="6">
        <v>0</v>
      </c>
      <c r="AS632" s="6">
        <v>0</v>
      </c>
      <c r="AT632" s="6">
        <v>0</v>
      </c>
      <c r="AU632" s="6">
        <v>0</v>
      </c>
      <c r="AV632" s="6">
        <v>0</v>
      </c>
      <c r="AW632" s="6">
        <v>0</v>
      </c>
      <c r="AX632" s="6">
        <v>0</v>
      </c>
      <c r="AY632" s="6">
        <v>0</v>
      </c>
      <c r="AZ632" s="6">
        <v>0</v>
      </c>
      <c r="BA632" s="6">
        <v>0</v>
      </c>
      <c r="BB632" s="6">
        <v>0</v>
      </c>
      <c r="BC632" s="6"/>
      <c r="BD632" s="3"/>
      <c r="BE632" s="3"/>
      <c r="BF632" s="7">
        <v>127.39009735833439</v>
      </c>
    </row>
    <row x14ac:dyDescent="0.25" r="633" customHeight="1" ht="12.75">
      <c r="A633" s="5" t="s">
        <v>496</v>
      </c>
      <c r="B633" s="3" t="s">
        <v>855</v>
      </c>
      <c r="C633" s="3" t="s">
        <v>870</v>
      </c>
      <c r="D633" s="3"/>
      <c r="E633" s="3"/>
      <c r="F633" s="6">
        <f>100*SUM(AM633:AO633)/AL633</f>
      </c>
      <c r="G633" s="6">
        <f>100*SUM(AP633)/AL633</f>
      </c>
      <c r="H633" s="6">
        <f>100*SUM(AQ633)/AL633</f>
      </c>
      <c r="I633" s="6">
        <f>100*SUM(AR633:BC633)/AL633</f>
      </c>
      <c r="J633" s="3"/>
      <c r="K633" s="23">
        <v>0.215534</v>
      </c>
      <c r="L633" s="6">
        <v>4.91</v>
      </c>
      <c r="M633" s="6">
        <v>2.2</v>
      </c>
      <c r="N633" s="6">
        <v>193.6</v>
      </c>
      <c r="O633" s="6">
        <v>0.15</v>
      </c>
      <c r="P633" s="6"/>
      <c r="Q633" s="7"/>
      <c r="R633" s="6"/>
      <c r="S633" s="6"/>
      <c r="T633" s="6"/>
      <c r="U633" s="5"/>
      <c r="V633" s="6"/>
      <c r="W633" s="6"/>
      <c r="X633" s="6"/>
      <c r="Y633" s="15"/>
      <c r="Z633" s="6"/>
      <c r="AA633" s="6"/>
      <c r="AB633" s="5"/>
      <c r="AC633" s="3"/>
      <c r="AD633" s="6">
        <v>0.010582719400000001</v>
      </c>
      <c r="AE633" s="6">
        <v>0.0047417480000000005</v>
      </c>
      <c r="AF633" s="7">
        <v>41.727382399999996</v>
      </c>
      <c r="AG633" s="6">
        <v>0.000323301</v>
      </c>
      <c r="AH633" s="7">
        <v>0</v>
      </c>
      <c r="AI633" s="15">
        <v>0.0156477684</v>
      </c>
      <c r="AJ633" s="6">
        <v>7.260000000000001</v>
      </c>
      <c r="AK633" s="3"/>
      <c r="AL633" s="6">
        <v>269.7451363427653</v>
      </c>
      <c r="AM633" s="6">
        <v>93.0914396</v>
      </c>
      <c r="AN633" s="6">
        <v>47.773682</v>
      </c>
      <c r="AO633" s="6">
        <v>118.46327974276528</v>
      </c>
      <c r="AP633" s="6">
        <v>10.416735</v>
      </c>
      <c r="AQ633" s="6">
        <v>0</v>
      </c>
      <c r="AR633" s="6">
        <v>0</v>
      </c>
      <c r="AS633" s="6">
        <v>0</v>
      </c>
      <c r="AT633" s="6">
        <v>0</v>
      </c>
      <c r="AU633" s="6">
        <v>0</v>
      </c>
      <c r="AV633" s="6">
        <v>0</v>
      </c>
      <c r="AW633" s="6">
        <v>0</v>
      </c>
      <c r="AX633" s="6">
        <v>0</v>
      </c>
      <c r="AY633" s="6">
        <v>0</v>
      </c>
      <c r="AZ633" s="6">
        <v>0</v>
      </c>
      <c r="BA633" s="6">
        <v>0</v>
      </c>
      <c r="BB633" s="6">
        <v>0</v>
      </c>
      <c r="BC633" s="6"/>
      <c r="BD633" s="3"/>
      <c r="BE633" s="3"/>
      <c r="BF633" s="7">
        <v>58.13924821650158</v>
      </c>
    </row>
    <row x14ac:dyDescent="0.25" r="634" customHeight="1" ht="12.75">
      <c r="A634" s="5" t="s">
        <v>185</v>
      </c>
      <c r="B634" s="3" t="s">
        <v>855</v>
      </c>
      <c r="C634" s="3" t="s">
        <v>870</v>
      </c>
      <c r="D634" s="3"/>
      <c r="E634" s="3"/>
      <c r="F634" s="6">
        <f>100*SUM(AM634:AO634)/AL634</f>
      </c>
      <c r="G634" s="6">
        <f>100*SUM(AP634)/AL634</f>
      </c>
      <c r="H634" s="6">
        <f>100*SUM(AQ634)/AL634</f>
      </c>
      <c r="I634" s="6">
        <f>100*SUM(AR634:BC634)/AL634</f>
      </c>
      <c r="J634" s="3"/>
      <c r="K634" s="6">
        <v>17.4</v>
      </c>
      <c r="L634" s="7">
        <v>4.93448275862069</v>
      </c>
      <c r="M634" s="7">
        <v>7.7603448275862075</v>
      </c>
      <c r="N634" s="7">
        <v>73.58045977011496</v>
      </c>
      <c r="O634" s="6">
        <v>0.18</v>
      </c>
      <c r="P634" s="6"/>
      <c r="Q634" s="7"/>
      <c r="R634" s="6"/>
      <c r="S634" s="6"/>
      <c r="T634" s="6"/>
      <c r="U634" s="5"/>
      <c r="V634" s="6"/>
      <c r="W634" s="6"/>
      <c r="X634" s="6"/>
      <c r="Y634" s="15"/>
      <c r="Z634" s="6"/>
      <c r="AA634" s="6"/>
      <c r="AB634" s="5"/>
      <c r="AC634" s="3"/>
      <c r="AD634" s="6">
        <v>0.8586</v>
      </c>
      <c r="AE634" s="6">
        <v>1.3503</v>
      </c>
      <c r="AF634" s="7">
        <v>1280.3000000000002</v>
      </c>
      <c r="AG634" s="6">
        <v>0.031319999999999994</v>
      </c>
      <c r="AH634" s="7">
        <v>0</v>
      </c>
      <c r="AI634" s="15">
        <v>2.24022</v>
      </c>
      <c r="AJ634" s="6">
        <v>12.874827586206898</v>
      </c>
      <c r="AK634" s="3"/>
      <c r="AL634" s="6">
        <v>319.5976679684925</v>
      </c>
      <c r="AM634" s="6">
        <v>93.55562193103448</v>
      </c>
      <c r="AN634" s="6">
        <v>168.51829363793104</v>
      </c>
      <c r="AO634" s="6">
        <v>45.02367039952694</v>
      </c>
      <c r="AP634" s="6">
        <v>12.500081999999999</v>
      </c>
      <c r="AQ634" s="6">
        <v>0</v>
      </c>
      <c r="AR634" s="6">
        <v>0</v>
      </c>
      <c r="AS634" s="6">
        <v>0</v>
      </c>
      <c r="AT634" s="6">
        <v>0</v>
      </c>
      <c r="AU634" s="6">
        <v>0</v>
      </c>
      <c r="AV634" s="6">
        <v>0</v>
      </c>
      <c r="AW634" s="6">
        <v>0</v>
      </c>
      <c r="AX634" s="6">
        <v>0</v>
      </c>
      <c r="AY634" s="6">
        <v>0</v>
      </c>
      <c r="AZ634" s="6">
        <v>0</v>
      </c>
      <c r="BA634" s="6">
        <v>0</v>
      </c>
      <c r="BB634" s="6">
        <v>0</v>
      </c>
      <c r="BC634" s="6"/>
      <c r="BD634" s="3"/>
      <c r="BE634" s="3"/>
      <c r="BF634" s="7">
        <v>5560.999422651769</v>
      </c>
    </row>
    <row x14ac:dyDescent="0.25" r="635" customHeight="1" ht="12.75">
      <c r="A635" s="5" t="s">
        <v>677</v>
      </c>
      <c r="B635" s="3" t="s">
        <v>855</v>
      </c>
      <c r="C635" s="3" t="s">
        <v>870</v>
      </c>
      <c r="D635" s="3"/>
      <c r="E635" s="3"/>
      <c r="F635" s="6">
        <f>100*SUM(AM635:AO635)/AL635</f>
      </c>
      <c r="G635" s="6">
        <f>100*SUM(AP635)/AL635</f>
      </c>
      <c r="H635" s="6">
        <f>100*SUM(AQ635)/AL635</f>
      </c>
      <c r="I635" s="6">
        <f>100*SUM(AR635:BC635)/AL635</f>
      </c>
      <c r="J635" s="3"/>
      <c r="K635" s="23">
        <v>10.127143</v>
      </c>
      <c r="L635" s="6"/>
      <c r="M635" s="6">
        <v>3.0299014025969613</v>
      </c>
      <c r="N635" s="7">
        <v>67.25939231923554</v>
      </c>
      <c r="O635" s="6"/>
      <c r="P635" s="6">
        <v>0.138</v>
      </c>
      <c r="Q635" s="7"/>
      <c r="R635" s="6"/>
      <c r="S635" s="6"/>
      <c r="T635" s="6"/>
      <c r="U635" s="5"/>
      <c r="V635" s="6"/>
      <c r="W635" s="6"/>
      <c r="X635" s="6"/>
      <c r="Y635" s="15"/>
      <c r="Z635" s="6"/>
      <c r="AA635" s="6"/>
      <c r="AB635" s="5"/>
      <c r="AC635" s="3"/>
      <c r="AD635" s="6">
        <v>0</v>
      </c>
      <c r="AE635" s="6">
        <v>0.30684244780000003</v>
      </c>
      <c r="AF635" s="7">
        <v>681.14548411</v>
      </c>
      <c r="AG635" s="6">
        <v>0</v>
      </c>
      <c r="AH635" s="7">
        <v>1.3975457340000002</v>
      </c>
      <c r="AI635" s="15">
        <v>0.30684244780000003</v>
      </c>
      <c r="AJ635" s="6">
        <v>3.0299014025969613</v>
      </c>
      <c r="AK635" s="3"/>
      <c r="AL635" s="6">
        <v>112.58644552055941</v>
      </c>
      <c r="AM635" s="6">
        <v>0</v>
      </c>
      <c r="AN635" s="6">
        <v>65.79524822682782</v>
      </c>
      <c r="AO635" s="6">
        <v>41.15582751881198</v>
      </c>
      <c r="AP635" s="6">
        <v>0</v>
      </c>
      <c r="AQ635" s="6">
        <v>5.6353697749196145</v>
      </c>
      <c r="AR635" s="6">
        <v>0</v>
      </c>
      <c r="AS635" s="6">
        <v>0</v>
      </c>
      <c r="AT635" s="6">
        <v>0</v>
      </c>
      <c r="AU635" s="6">
        <v>0</v>
      </c>
      <c r="AV635" s="6">
        <v>0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0</v>
      </c>
      <c r="BC635" s="6"/>
      <c r="BD635" s="3"/>
      <c r="BE635" s="3"/>
      <c r="BF635" s="7">
        <v>1140.1790336484146</v>
      </c>
    </row>
    <row x14ac:dyDescent="0.25" r="636" customHeight="1" ht="12.75">
      <c r="A636" s="5" t="s">
        <v>354</v>
      </c>
      <c r="B636" s="3" t="s">
        <v>855</v>
      </c>
      <c r="C636" s="3" t="s">
        <v>870</v>
      </c>
      <c r="D636" s="3"/>
      <c r="E636" s="3"/>
      <c r="F636" s="6">
        <f>100*SUM(AM636:AO636)/AL636</f>
      </c>
      <c r="G636" s="6">
        <f>100*SUM(AP636)/AL636</f>
      </c>
      <c r="H636" s="6">
        <f>100*SUM(AQ636)/AL636</f>
      </c>
      <c r="I636" s="6">
        <f>100*SUM(AR636:BC636)/AL636</f>
      </c>
      <c r="J636" s="3"/>
      <c r="K636" s="23">
        <v>12.3403</v>
      </c>
      <c r="L636" s="6">
        <v>2.2105883973647322</v>
      </c>
      <c r="M636" s="6">
        <v>7.420729722940287</v>
      </c>
      <c r="N636" s="7">
        <v>25.7215237879144</v>
      </c>
      <c r="O636" s="6">
        <v>0.18059609571890475</v>
      </c>
      <c r="P636" s="6"/>
      <c r="Q636" s="7"/>
      <c r="R636" s="6"/>
      <c r="S636" s="6"/>
      <c r="T636" s="6"/>
      <c r="U636" s="5"/>
      <c r="V636" s="6"/>
      <c r="W636" s="6"/>
      <c r="X636" s="6"/>
      <c r="Y636" s="15"/>
      <c r="Z636" s="6"/>
      <c r="AA636" s="6"/>
      <c r="AB636" s="5"/>
      <c r="AC636" s="3"/>
      <c r="AD636" s="6">
        <v>0.27279324000000005</v>
      </c>
      <c r="AE636" s="6">
        <v>0.9157403100000002</v>
      </c>
      <c r="AF636" s="7">
        <v>317.41132000000005</v>
      </c>
      <c r="AG636" s="6">
        <v>0.022286100000000003</v>
      </c>
      <c r="AH636" s="7">
        <v>0</v>
      </c>
      <c r="AI636" s="15">
        <v>1.2108196500000004</v>
      </c>
      <c r="AJ636" s="6">
        <v>9.811914216023924</v>
      </c>
      <c r="AK636" s="3"/>
      <c r="AL636" s="6">
        <v>231.33563349313962</v>
      </c>
      <c r="AM636" s="6">
        <v>41.91178335514048</v>
      </c>
      <c r="AN636" s="6">
        <v>161.14344635986242</v>
      </c>
      <c r="AO636" s="6">
        <v>15.73892597054698</v>
      </c>
      <c r="AP636" s="6">
        <v>12.541477807589768</v>
      </c>
      <c r="AQ636" s="6">
        <v>0</v>
      </c>
      <c r="AR636" s="6">
        <v>0</v>
      </c>
      <c r="AS636" s="6">
        <v>0</v>
      </c>
      <c r="AT636" s="6">
        <v>0</v>
      </c>
      <c r="AU636" s="6">
        <v>0</v>
      </c>
      <c r="AV636" s="6">
        <v>0</v>
      </c>
      <c r="AW636" s="6">
        <v>0</v>
      </c>
      <c r="AX636" s="6">
        <v>0</v>
      </c>
      <c r="AY636" s="6">
        <v>0</v>
      </c>
      <c r="AZ636" s="6">
        <v>0</v>
      </c>
      <c r="BA636" s="6">
        <v>0</v>
      </c>
      <c r="BB636" s="6">
        <v>0</v>
      </c>
      <c r="BC636" s="6"/>
      <c r="BD636" s="3"/>
      <c r="BE636" s="3"/>
      <c r="BF636" s="7">
        <v>2854.751117995391</v>
      </c>
    </row>
    <row x14ac:dyDescent="0.25" r="637" customHeight="1" ht="12.75">
      <c r="A637" s="5" t="s">
        <v>408</v>
      </c>
      <c r="B637" s="3" t="s">
        <v>855</v>
      </c>
      <c r="C637" s="3" t="s">
        <v>870</v>
      </c>
      <c r="D637" s="3"/>
      <c r="E637" s="3"/>
      <c r="F637" s="6">
        <f>100*SUM(AM637:AO637)/AL637</f>
      </c>
      <c r="G637" s="6">
        <f>100*SUM(AP637)/AL637</f>
      </c>
      <c r="H637" s="6">
        <f>100*SUM(AQ637)/AL637</f>
      </c>
      <c r="I637" s="6">
        <f>100*SUM(AR637:BC637)/AL637</f>
      </c>
      <c r="J637" s="3"/>
      <c r="K637" s="6">
        <v>4.1</v>
      </c>
      <c r="L637" s="6">
        <v>2.0919512195121954</v>
      </c>
      <c r="M637" s="6">
        <v>4.99439024390244</v>
      </c>
      <c r="N637" s="7">
        <v>203.02439024390247</v>
      </c>
      <c r="O637" s="6"/>
      <c r="P637" s="7">
        <v>0.573170731707317</v>
      </c>
      <c r="Q637" s="7"/>
      <c r="R637" s="6"/>
      <c r="S637" s="6"/>
      <c r="T637" s="6"/>
      <c r="U637" s="5"/>
      <c r="V637" s="6"/>
      <c r="W637" s="6"/>
      <c r="X637" s="6"/>
      <c r="Y637" s="15"/>
      <c r="Z637" s="6"/>
      <c r="AA637" s="6"/>
      <c r="AB637" s="5"/>
      <c r="AC637" s="3"/>
      <c r="AD637" s="6">
        <v>0.08577</v>
      </c>
      <c r="AE637" s="6">
        <v>0.20477</v>
      </c>
      <c r="AF637" s="7">
        <v>832.4000000000001</v>
      </c>
      <c r="AG637" s="6">
        <v>0</v>
      </c>
      <c r="AH637" s="7">
        <v>2.3499999999999996</v>
      </c>
      <c r="AI637" s="15">
        <v>0.29054</v>
      </c>
      <c r="AJ637" s="6">
        <v>7.0863414634146356</v>
      </c>
      <c r="AK637" s="3"/>
      <c r="AL637" s="6">
        <v>295.75325130255675</v>
      </c>
      <c r="AM637" s="6">
        <v>39.66247466341464</v>
      </c>
      <c r="AN637" s="6">
        <v>108.4547324073171</v>
      </c>
      <c r="AO637" s="6">
        <v>124.23003685985418</v>
      </c>
      <c r="AP637" s="6">
        <v>0</v>
      </c>
      <c r="AQ637" s="6">
        <v>23.406007371970823</v>
      </c>
      <c r="AR637" s="6">
        <v>0</v>
      </c>
      <c r="AS637" s="6">
        <v>0</v>
      </c>
      <c r="AT637" s="6">
        <v>0</v>
      </c>
      <c r="AU637" s="6">
        <v>0</v>
      </c>
      <c r="AV637" s="6">
        <v>0</v>
      </c>
      <c r="AW637" s="6">
        <v>0</v>
      </c>
      <c r="AX637" s="6">
        <v>0</v>
      </c>
      <c r="AY637" s="6">
        <v>0</v>
      </c>
      <c r="AZ637" s="6">
        <v>0</v>
      </c>
      <c r="BA637" s="6">
        <v>0</v>
      </c>
      <c r="BB637" s="6">
        <v>0</v>
      </c>
      <c r="BC637" s="6"/>
      <c r="BD637" s="3"/>
      <c r="BE637" s="3"/>
      <c r="BF637" s="7">
        <v>1212.5883303404826</v>
      </c>
    </row>
    <row x14ac:dyDescent="0.25" r="638" customHeight="1" ht="12.75">
      <c r="A638" s="5" t="s">
        <v>666</v>
      </c>
      <c r="B638" s="3" t="s">
        <v>855</v>
      </c>
      <c r="C638" s="3" t="s">
        <v>870</v>
      </c>
      <c r="D638" s="3"/>
      <c r="E638" s="3"/>
      <c r="F638" s="6">
        <f>100*SUM(AM638:AO638)/AL638</f>
      </c>
      <c r="G638" s="6">
        <f>100*SUM(AP638)/AL638</f>
      </c>
      <c r="H638" s="6">
        <f>100*SUM(AQ638)/AL638</f>
      </c>
      <c r="I638" s="6">
        <f>100*SUM(AR638:BC638)/AL638</f>
      </c>
      <c r="J638" s="3"/>
      <c r="K638" s="6">
        <v>21.8</v>
      </c>
      <c r="L638" s="6">
        <v>0.44935779816513766</v>
      </c>
      <c r="M638" s="7">
        <v>0.9422018348623854</v>
      </c>
      <c r="N638" s="31">
        <v>47.027522935779814</v>
      </c>
      <c r="O638" s="6"/>
      <c r="P638" s="6">
        <v>0.12449541284403672</v>
      </c>
      <c r="Q638" s="7"/>
      <c r="R638" s="6"/>
      <c r="S638" s="6"/>
      <c r="T638" s="6"/>
      <c r="U638" s="5"/>
      <c r="V638" s="6"/>
      <c r="W638" s="6"/>
      <c r="X638" s="6"/>
      <c r="Y638" s="15"/>
      <c r="Z638" s="6"/>
      <c r="AA638" s="6"/>
      <c r="AB638" s="5"/>
      <c r="AC638" s="3"/>
      <c r="AD638" s="6">
        <v>0.09796</v>
      </c>
      <c r="AE638" s="6">
        <v>0.20540000000000003</v>
      </c>
      <c r="AF638" s="7">
        <v>1025.2</v>
      </c>
      <c r="AG638" s="6">
        <v>0</v>
      </c>
      <c r="AH638" s="7">
        <v>2.7140000000000004</v>
      </c>
      <c r="AI638" s="15">
        <v>0.30336</v>
      </c>
      <c r="AJ638" s="6">
        <v>1.391559633027523</v>
      </c>
      <c r="AK638" s="3"/>
      <c r="AL638" s="6">
        <v>62.83973253440515</v>
      </c>
      <c r="AM638" s="6">
        <v>8.519626135779818</v>
      </c>
      <c r="AN638" s="6">
        <v>20.460204926605506</v>
      </c>
      <c r="AO638" s="6">
        <v>28.776005191893567</v>
      </c>
      <c r="AP638" s="6">
        <v>0</v>
      </c>
      <c r="AQ638" s="6">
        <v>5.083896280126258</v>
      </c>
      <c r="AR638" s="6">
        <v>0</v>
      </c>
      <c r="AS638" s="6">
        <v>0</v>
      </c>
      <c r="AT638" s="6">
        <v>0</v>
      </c>
      <c r="AU638" s="6">
        <v>0</v>
      </c>
      <c r="AV638" s="6">
        <v>0</v>
      </c>
      <c r="AW638" s="6">
        <v>0</v>
      </c>
      <c r="AX638" s="6">
        <v>0</v>
      </c>
      <c r="AY638" s="6">
        <v>0</v>
      </c>
      <c r="AZ638" s="6">
        <v>0</v>
      </c>
      <c r="BA638" s="6">
        <v>0</v>
      </c>
      <c r="BB638" s="6">
        <v>0</v>
      </c>
      <c r="BC638" s="6"/>
      <c r="BD638" s="3"/>
      <c r="BE638" s="3"/>
      <c r="BF638" s="7">
        <v>1369.9061692500322</v>
      </c>
    </row>
    <row x14ac:dyDescent="0.25" r="639" customHeight="1" ht="12.75">
      <c r="A639" s="5" t="s">
        <v>134</v>
      </c>
      <c r="B639" s="3" t="s">
        <v>855</v>
      </c>
      <c r="C639" s="3" t="s">
        <v>870</v>
      </c>
      <c r="D639" s="3"/>
      <c r="E639" s="3"/>
      <c r="F639" s="6">
        <f>100*SUM(AM639:AO639)/AL639</f>
      </c>
      <c r="G639" s="6">
        <f>100*SUM(AP639)/AL639</f>
      </c>
      <c r="H639" s="6">
        <f>100*SUM(AQ639)/AL639</f>
      </c>
      <c r="I639" s="6">
        <f>100*SUM(AR639:BC639)/AL639</f>
      </c>
      <c r="J639" s="3"/>
      <c r="K639" s="6">
        <v>74.39999999999999</v>
      </c>
      <c r="L639" s="7">
        <v>1.7739247311827961</v>
      </c>
      <c r="M639" s="7">
        <v>3.927016129032258</v>
      </c>
      <c r="N639" s="31">
        <v>125.48790322580646</v>
      </c>
      <c r="O639" s="6">
        <v>0.05474462365591399</v>
      </c>
      <c r="P639" s="7">
        <v>0.3736559139784946</v>
      </c>
      <c r="Q639" s="7"/>
      <c r="R639" s="6"/>
      <c r="S639" s="6"/>
      <c r="T639" s="6"/>
      <c r="U639" s="5"/>
      <c r="V639" s="6"/>
      <c r="W639" s="6"/>
      <c r="X639" s="6"/>
      <c r="Y639" s="15"/>
      <c r="Z639" s="6"/>
      <c r="AA639" s="6"/>
      <c r="AB639" s="5"/>
      <c r="AC639" s="3"/>
      <c r="AD639" s="6">
        <v>1.3198</v>
      </c>
      <c r="AE639" s="6">
        <v>2.9216999999999995</v>
      </c>
      <c r="AF639" s="7">
        <v>9336.3</v>
      </c>
      <c r="AG639" s="6">
        <v>0.04073</v>
      </c>
      <c r="AH639" s="7">
        <v>27.799999999999997</v>
      </c>
      <c r="AI639" s="15">
        <v>4.282229999999999</v>
      </c>
      <c r="AJ639" s="6">
        <v>5.755685483870968</v>
      </c>
      <c r="AK639" s="3"/>
      <c r="AL639" s="6">
        <v>214.75524245328978</v>
      </c>
      <c r="AM639" s="6">
        <v>33.6328323763441</v>
      </c>
      <c r="AN639" s="6">
        <v>85.27637261693548</v>
      </c>
      <c r="AO639" s="6">
        <v>76.78568483559798</v>
      </c>
      <c r="AP639" s="6">
        <v>3.8017349153225815</v>
      </c>
      <c r="AQ639" s="6">
        <v>15.25861770908965</v>
      </c>
      <c r="AR639" s="6">
        <v>0</v>
      </c>
      <c r="AS639" s="6">
        <v>0</v>
      </c>
      <c r="AT639" s="6">
        <v>0</v>
      </c>
      <c r="AU639" s="6">
        <v>0</v>
      </c>
      <c r="AV639" s="6">
        <v>0</v>
      </c>
      <c r="AW639" s="6">
        <v>0</v>
      </c>
      <c r="AX639" s="6">
        <v>0</v>
      </c>
      <c r="AY639" s="6">
        <v>0</v>
      </c>
      <c r="AZ639" s="6">
        <v>0</v>
      </c>
      <c r="BA639" s="6">
        <v>0</v>
      </c>
      <c r="BB639" s="6">
        <v>0</v>
      </c>
      <c r="BC639" s="6"/>
      <c r="BD639" s="3"/>
      <c r="BE639" s="3"/>
      <c r="BF639" s="7">
        <v>15977.790038524758</v>
      </c>
    </row>
    <row x14ac:dyDescent="0.25" r="640" customHeight="1" ht="12.75">
      <c r="A640" s="5" t="s">
        <v>373</v>
      </c>
      <c r="B640" s="3" t="s">
        <v>855</v>
      </c>
      <c r="C640" s="3" t="s">
        <v>870</v>
      </c>
      <c r="D640" s="3"/>
      <c r="E640" s="3"/>
      <c r="F640" s="6">
        <f>100*SUM(AM640:AO640)/AL640</f>
      </c>
      <c r="G640" s="6">
        <f>100*SUM(AP640)/AL640</f>
      </c>
      <c r="H640" s="6">
        <f>100*SUM(AQ640)/AL640</f>
      </c>
      <c r="I640" s="6">
        <f>100*SUM(AR640:BC640)/AL640</f>
      </c>
      <c r="J640" s="3"/>
      <c r="K640" s="6">
        <v>29.64</v>
      </c>
      <c r="L640" s="6"/>
      <c r="M640" s="6">
        <v>3.8653036437246966</v>
      </c>
      <c r="N640" s="5"/>
      <c r="O640" s="6">
        <v>0.14959514170040486</v>
      </c>
      <c r="P640" s="6"/>
      <c r="Q640" s="7"/>
      <c r="R640" s="6"/>
      <c r="S640" s="6"/>
      <c r="T640" s="6"/>
      <c r="U640" s="5"/>
      <c r="V640" s="6"/>
      <c r="W640" s="6"/>
      <c r="X640" s="6"/>
      <c r="Y640" s="15"/>
      <c r="Z640" s="6"/>
      <c r="AA640" s="6"/>
      <c r="AB640" s="5"/>
      <c r="AC640" s="3"/>
      <c r="AD640" s="6">
        <v>0</v>
      </c>
      <c r="AE640" s="6">
        <v>1.1456760000000001</v>
      </c>
      <c r="AF640" s="7">
        <v>0</v>
      </c>
      <c r="AG640" s="6">
        <v>0.044340000000000004</v>
      </c>
      <c r="AH640" s="7">
        <v>0</v>
      </c>
      <c r="AI640" s="15">
        <v>1.1900160000000002</v>
      </c>
      <c r="AJ640" s="6">
        <v>4.0148987854251015</v>
      </c>
      <c r="AK640" s="3"/>
      <c r="AL640" s="6">
        <v>94.32488652348178</v>
      </c>
      <c r="AM640" s="6">
        <v>0</v>
      </c>
      <c r="AN640" s="6">
        <v>83.93626686761134</v>
      </c>
      <c r="AO640" s="6">
        <v>0</v>
      </c>
      <c r="AP640" s="6">
        <v>10.388619655870444</v>
      </c>
      <c r="AQ640" s="6">
        <v>0</v>
      </c>
      <c r="AR640" s="6">
        <v>0</v>
      </c>
      <c r="AS640" s="6">
        <v>0</v>
      </c>
      <c r="AT640" s="6">
        <v>0</v>
      </c>
      <c r="AU640" s="6">
        <v>0</v>
      </c>
      <c r="AV640" s="6">
        <v>0</v>
      </c>
      <c r="AW640" s="6">
        <v>0</v>
      </c>
      <c r="AX640" s="6">
        <v>0</v>
      </c>
      <c r="AY640" s="6">
        <v>0</v>
      </c>
      <c r="AZ640" s="6">
        <v>0</v>
      </c>
      <c r="BA640" s="6">
        <v>0</v>
      </c>
      <c r="BB640" s="6">
        <v>0</v>
      </c>
      <c r="BC640" s="6"/>
      <c r="BD640" s="3"/>
      <c r="BE640" s="3"/>
      <c r="BF640" s="7">
        <v>2795.789636556</v>
      </c>
    </row>
    <row x14ac:dyDescent="0.25" r="641" customHeight="1" ht="12.75">
      <c r="A641" s="5" t="s">
        <v>588</v>
      </c>
      <c r="B641" s="3" t="s">
        <v>855</v>
      </c>
      <c r="C641" s="3" t="s">
        <v>870</v>
      </c>
      <c r="D641" s="3"/>
      <c r="E641" s="3"/>
      <c r="F641" s="6">
        <f>100*SUM(AM641:AO641)/AL641</f>
      </c>
      <c r="G641" s="6">
        <f>100*SUM(AP641)/AL641</f>
      </c>
      <c r="H641" s="6">
        <f>100*SUM(AQ641)/AL641</f>
      </c>
      <c r="I641" s="6">
        <f>100*SUM(AR641:BC641)/AL641</f>
      </c>
      <c r="J641" s="3"/>
      <c r="K641" s="6">
        <v>1.8</v>
      </c>
      <c r="L641" s="6">
        <v>1.4</v>
      </c>
      <c r="M641" s="6">
        <v>5.1</v>
      </c>
      <c r="N641" s="5">
        <v>82</v>
      </c>
      <c r="O641" s="6">
        <v>0.2</v>
      </c>
      <c r="P641" s="6">
        <v>0.26</v>
      </c>
      <c r="Q641" s="7"/>
      <c r="R641" s="6"/>
      <c r="S641" s="6"/>
      <c r="T641" s="6"/>
      <c r="U641" s="5"/>
      <c r="V641" s="6"/>
      <c r="W641" s="6"/>
      <c r="X641" s="6"/>
      <c r="Y641" s="15"/>
      <c r="Z641" s="6"/>
      <c r="AA641" s="6"/>
      <c r="AB641" s="5"/>
      <c r="AC641" s="3"/>
      <c r="AD641" s="6">
        <v>0.0252</v>
      </c>
      <c r="AE641" s="6">
        <v>0.09179999999999999</v>
      </c>
      <c r="AF641" s="7">
        <v>147.6</v>
      </c>
      <c r="AG641" s="6">
        <v>0.0036000000000000003</v>
      </c>
      <c r="AH641" s="7">
        <v>0.468</v>
      </c>
      <c r="AI641" s="15">
        <v>0.1206</v>
      </c>
      <c r="AJ641" s="6">
        <v>6.7</v>
      </c>
      <c r="AK641" s="3"/>
      <c r="AL641" s="6">
        <v>211.97337104501608</v>
      </c>
      <c r="AM641" s="6">
        <v>26.543383999999996</v>
      </c>
      <c r="AN641" s="6">
        <v>110.74808099999998</v>
      </c>
      <c r="AO641" s="6">
        <v>50.17556270096464</v>
      </c>
      <c r="AP641" s="6">
        <v>13.88898</v>
      </c>
      <c r="AQ641" s="6">
        <v>10.617363344051448</v>
      </c>
      <c r="AR641" s="6">
        <v>0</v>
      </c>
      <c r="AS641" s="6">
        <v>0</v>
      </c>
      <c r="AT641" s="6">
        <v>0</v>
      </c>
      <c r="AU641" s="6">
        <v>0</v>
      </c>
      <c r="AV641" s="6">
        <v>0</v>
      </c>
      <c r="AW641" s="6">
        <v>0</v>
      </c>
      <c r="AX641" s="6">
        <v>0</v>
      </c>
      <c r="AY641" s="6">
        <v>0</v>
      </c>
      <c r="AZ641" s="6">
        <v>0</v>
      </c>
      <c r="BA641" s="6">
        <v>0</v>
      </c>
      <c r="BB641" s="6">
        <v>0</v>
      </c>
      <c r="BC641" s="6"/>
      <c r="BD641" s="3"/>
      <c r="BE641" s="3"/>
      <c r="BF641" s="7">
        <v>381.55206788102896</v>
      </c>
    </row>
    <row x14ac:dyDescent="0.25" r="642" customHeight="1" ht="12.75">
      <c r="A642" s="5" t="s">
        <v>478</v>
      </c>
      <c r="B642" s="3" t="s">
        <v>855</v>
      </c>
      <c r="C642" s="3" t="s">
        <v>870</v>
      </c>
      <c r="D642" s="3"/>
      <c r="E642" s="3"/>
      <c r="F642" s="6">
        <f>100*SUM(AM642:AO642)/AL642</f>
      </c>
      <c r="G642" s="6">
        <f>100*SUM(AP642)/AL642</f>
      </c>
      <c r="H642" s="6">
        <f>100*SUM(AQ642)/AL642</f>
      </c>
      <c r="I642" s="6">
        <f>100*SUM(AR642:BC642)/AL642</f>
      </c>
      <c r="J642" s="3"/>
      <c r="K642" s="23">
        <v>0.587961</v>
      </c>
      <c r="L642" s="6"/>
      <c r="M642" s="6">
        <v>7.63</v>
      </c>
      <c r="N642" s="5"/>
      <c r="O642" s="6">
        <v>0.35</v>
      </c>
      <c r="P642" s="6"/>
      <c r="Q642" s="7"/>
      <c r="R642" s="6"/>
      <c r="S642" s="6"/>
      <c r="T642" s="6"/>
      <c r="U642" s="5"/>
      <c r="V642" s="6"/>
      <c r="W642" s="6"/>
      <c r="X642" s="6"/>
      <c r="Y642" s="15"/>
      <c r="Z642" s="6"/>
      <c r="AA642" s="6"/>
      <c r="AB642" s="5"/>
      <c r="AC642" s="3"/>
      <c r="AD642" s="6">
        <v>0</v>
      </c>
      <c r="AE642" s="6">
        <v>0.044861424299999994</v>
      </c>
      <c r="AF642" s="7">
        <v>0</v>
      </c>
      <c r="AG642" s="6">
        <v>0.0020578635</v>
      </c>
      <c r="AH642" s="7">
        <v>0</v>
      </c>
      <c r="AI642" s="15">
        <v>0.046919287799999994</v>
      </c>
      <c r="AJ642" s="6">
        <v>7.9799999999999995</v>
      </c>
      <c r="AK642" s="3"/>
      <c r="AL642" s="6">
        <v>189.99353029999997</v>
      </c>
      <c r="AM642" s="6">
        <v>0</v>
      </c>
      <c r="AN642" s="6">
        <v>165.68781529999998</v>
      </c>
      <c r="AO642" s="6">
        <v>0</v>
      </c>
      <c r="AP642" s="6">
        <v>24.305714999999996</v>
      </c>
      <c r="AQ642" s="6">
        <v>0</v>
      </c>
      <c r="AR642" s="6">
        <v>0</v>
      </c>
      <c r="AS642" s="6">
        <v>0</v>
      </c>
      <c r="AT642" s="6">
        <v>0</v>
      </c>
      <c r="AU642" s="6">
        <v>0</v>
      </c>
      <c r="AV642" s="6">
        <v>0</v>
      </c>
      <c r="AW642" s="6">
        <v>0</v>
      </c>
      <c r="AX642" s="6">
        <v>0</v>
      </c>
      <c r="AY642" s="6">
        <v>0</v>
      </c>
      <c r="AZ642" s="6">
        <v>0</v>
      </c>
      <c r="BA642" s="6">
        <v>0</v>
      </c>
      <c r="BB642" s="6">
        <v>0</v>
      </c>
      <c r="BC642" s="6"/>
      <c r="BD642" s="3"/>
      <c r="BE642" s="3"/>
      <c r="BF642" s="7">
        <v>111.70878606871828</v>
      </c>
    </row>
    <row x14ac:dyDescent="0.25" r="643" customHeight="1" ht="12.75">
      <c r="A643" s="5" t="s">
        <v>296</v>
      </c>
      <c r="B643" s="3" t="s">
        <v>855</v>
      </c>
      <c r="C643" s="3" t="s">
        <v>870</v>
      </c>
      <c r="D643" s="3"/>
      <c r="E643" s="3"/>
      <c r="F643" s="6">
        <f>100*SUM(AM643:AO643)/AL643</f>
      </c>
      <c r="G643" s="6">
        <f>100*SUM(AP643)/AL643</f>
      </c>
      <c r="H643" s="6">
        <f>100*SUM(AQ643)/AL643</f>
      </c>
      <c r="I643" s="6">
        <f>100*SUM(AR643:BC643)/AL643</f>
      </c>
      <c r="J643" s="3"/>
      <c r="K643" s="6">
        <v>5.71</v>
      </c>
      <c r="L643" s="6">
        <v>0.24056042031523642</v>
      </c>
      <c r="M643" s="6">
        <v>9.864290718038529</v>
      </c>
      <c r="N643" s="7">
        <v>50.40168126094571</v>
      </c>
      <c r="O643" s="6">
        <v>0.6178283712784589</v>
      </c>
      <c r="P643" s="6">
        <v>0.06879159369527146</v>
      </c>
      <c r="Q643" s="7"/>
      <c r="R643" s="6"/>
      <c r="S643" s="6"/>
      <c r="T643" s="6"/>
      <c r="U643" s="5"/>
      <c r="V643" s="6"/>
      <c r="W643" s="6"/>
      <c r="X643" s="6"/>
      <c r="Y643" s="15"/>
      <c r="Z643" s="6"/>
      <c r="AA643" s="6"/>
      <c r="AB643" s="5"/>
      <c r="AC643" s="3"/>
      <c r="AD643" s="6">
        <v>0.013736</v>
      </c>
      <c r="AE643" s="6">
        <v>0.563251</v>
      </c>
      <c r="AF643" s="7">
        <v>287.79359999999997</v>
      </c>
      <c r="AG643" s="6">
        <v>0.035278000000000004</v>
      </c>
      <c r="AH643" s="7">
        <v>0.39280000000000004</v>
      </c>
      <c r="AI643" s="15">
        <v>0.612265</v>
      </c>
      <c r="AJ643" s="6">
        <v>10.722679509632226</v>
      </c>
      <c r="AK643" s="3"/>
      <c r="AL643" s="6">
        <v>295.32189736705334</v>
      </c>
      <c r="AM643" s="6">
        <v>4.560919722591944</v>
      </c>
      <c r="AN643" s="6">
        <v>214.20613087232925</v>
      </c>
      <c r="AO643" s="6">
        <v>30.840642906617266</v>
      </c>
      <c r="AP643" s="6">
        <v>42.90502946059545</v>
      </c>
      <c r="AQ643" s="6">
        <v>2.8091744049194456</v>
      </c>
      <c r="AR643" s="6">
        <v>0</v>
      </c>
      <c r="AS643" s="6">
        <v>0</v>
      </c>
      <c r="AT643" s="6">
        <v>0</v>
      </c>
      <c r="AU643" s="6">
        <v>0</v>
      </c>
      <c r="AV643" s="6">
        <v>0</v>
      </c>
      <c r="AW643" s="6">
        <v>0</v>
      </c>
      <c r="AX643" s="6">
        <v>0</v>
      </c>
      <c r="AY643" s="6">
        <v>0</v>
      </c>
      <c r="AZ643" s="6">
        <v>0</v>
      </c>
      <c r="BA643" s="6">
        <v>0</v>
      </c>
      <c r="BB643" s="6">
        <v>0</v>
      </c>
      <c r="BC643" s="6"/>
      <c r="BD643" s="3"/>
      <c r="BE643" s="3"/>
      <c r="BF643" s="7">
        <v>1686.2880339658745</v>
      </c>
    </row>
    <row x14ac:dyDescent="0.25" r="644" customHeight="1" ht="12.75">
      <c r="A644" s="5" t="s">
        <v>717</v>
      </c>
      <c r="B644" s="3" t="s">
        <v>855</v>
      </c>
      <c r="C644" s="3" t="s">
        <v>870</v>
      </c>
      <c r="D644" s="3"/>
      <c r="E644" s="3"/>
      <c r="F644" s="6">
        <f>100*SUM(AM644:AO644)/AL644</f>
      </c>
      <c r="G644" s="6">
        <f>100*SUM(AP644)/AL644</f>
      </c>
      <c r="H644" s="6">
        <f>100*SUM(AQ644)/AL644</f>
      </c>
      <c r="I644" s="6">
        <f>100*SUM(AR644:BC644)/AL644</f>
      </c>
      <c r="J644" s="3"/>
      <c r="K644" s="6">
        <v>4.7</v>
      </c>
      <c r="L644" s="6">
        <v>0.2</v>
      </c>
      <c r="M644" s="6">
        <v>4.5</v>
      </c>
      <c r="N644" s="5">
        <v>19</v>
      </c>
      <c r="O644" s="6">
        <v>0.33</v>
      </c>
      <c r="P644" s="6"/>
      <c r="Q644" s="7"/>
      <c r="R644" s="6"/>
      <c r="S644" s="6"/>
      <c r="T644" s="6"/>
      <c r="U644" s="5"/>
      <c r="V644" s="6"/>
      <c r="W644" s="6"/>
      <c r="X644" s="6"/>
      <c r="Y644" s="15"/>
      <c r="Z644" s="6"/>
      <c r="AA644" s="6"/>
      <c r="AB644" s="5"/>
      <c r="AC644" s="3"/>
      <c r="AD644" s="6">
        <v>0.0094</v>
      </c>
      <c r="AE644" s="6">
        <v>0.21150000000000002</v>
      </c>
      <c r="AF644" s="7">
        <v>89.3</v>
      </c>
      <c r="AG644" s="6">
        <v>0.015510000000000001</v>
      </c>
      <c r="AH644" s="7">
        <v>0</v>
      </c>
      <c r="AI644" s="15">
        <v>0.23641</v>
      </c>
      <c r="AJ644" s="6">
        <v>5.03</v>
      </c>
      <c r="AK644" s="3"/>
      <c r="AL644" s="6">
        <v>136.05366901607715</v>
      </c>
      <c r="AM644" s="6">
        <v>3.791912</v>
      </c>
      <c r="AN644" s="6">
        <v>97.71889499999999</v>
      </c>
      <c r="AO644" s="6">
        <v>11.626045016077173</v>
      </c>
      <c r="AP644" s="6">
        <v>22.916816999999998</v>
      </c>
      <c r="AQ644" s="6">
        <v>0</v>
      </c>
      <c r="AR644" s="6">
        <v>0</v>
      </c>
      <c r="AS644" s="6">
        <v>0</v>
      </c>
      <c r="AT644" s="6">
        <v>0</v>
      </c>
      <c r="AU644" s="6">
        <v>0</v>
      </c>
      <c r="AV644" s="6">
        <v>0</v>
      </c>
      <c r="AW644" s="6">
        <v>0</v>
      </c>
      <c r="AX644" s="6">
        <v>0</v>
      </c>
      <c r="AY644" s="6">
        <v>0</v>
      </c>
      <c r="AZ644" s="6">
        <v>0</v>
      </c>
      <c r="BA644" s="6">
        <v>0</v>
      </c>
      <c r="BB644" s="6">
        <v>0</v>
      </c>
      <c r="BC644" s="6"/>
      <c r="BD644" s="3"/>
      <c r="BE644" s="3"/>
      <c r="BF644" s="7">
        <v>639.4522443755626</v>
      </c>
    </row>
    <row x14ac:dyDescent="0.25" r="645" customHeight="1" ht="12.75">
      <c r="A645" s="5" t="s">
        <v>760</v>
      </c>
      <c r="B645" s="3" t="s">
        <v>855</v>
      </c>
      <c r="C645" s="3" t="s">
        <v>870</v>
      </c>
      <c r="D645" s="3"/>
      <c r="E645" s="3"/>
      <c r="F645" s="6">
        <f>100*SUM(AM645:AO645)/AL645</f>
      </c>
      <c r="G645" s="6">
        <f>100*SUM(AP645)/AL645</f>
      </c>
      <c r="H645" s="6">
        <f>100*SUM(AQ645)/AL645</f>
      </c>
      <c r="I645" s="6">
        <f>100*SUM(AR645:BC645)/AL645</f>
      </c>
      <c r="J645" s="3"/>
      <c r="K645" s="23">
        <v>7.560272</v>
      </c>
      <c r="L645" s="6">
        <v>0.381</v>
      </c>
      <c r="M645" s="6">
        <v>1.522</v>
      </c>
      <c r="N645" s="7">
        <v>15.311</v>
      </c>
      <c r="O645" s="6">
        <v>0.146</v>
      </c>
      <c r="P645" s="6"/>
      <c r="Q645" s="7"/>
      <c r="R645" s="6"/>
      <c r="S645" s="6"/>
      <c r="T645" s="6"/>
      <c r="U645" s="5"/>
      <c r="V645" s="6"/>
      <c r="W645" s="6"/>
      <c r="X645" s="6"/>
      <c r="Y645" s="15"/>
      <c r="Z645" s="6"/>
      <c r="AA645" s="6"/>
      <c r="AB645" s="5"/>
      <c r="AC645" s="3"/>
      <c r="AD645" s="6">
        <v>0.02880463632</v>
      </c>
      <c r="AE645" s="6">
        <v>0.11506733984</v>
      </c>
      <c r="AF645" s="7">
        <v>115.75532459200001</v>
      </c>
      <c r="AG645" s="6">
        <v>0.01103799712</v>
      </c>
      <c r="AH645" s="7">
        <v>0</v>
      </c>
      <c r="AI645" s="15">
        <v>0.15490997328</v>
      </c>
      <c r="AJ645" s="6">
        <v>2.049</v>
      </c>
      <c r="AK645" s="3"/>
      <c r="AL645" s="6">
        <v>59.78200617163987</v>
      </c>
      <c r="AM645" s="6">
        <v>7.22359236</v>
      </c>
      <c r="AN645" s="6">
        <v>33.05070182</v>
      </c>
      <c r="AO645" s="6">
        <v>9.368756591639873</v>
      </c>
      <c r="AP645" s="6">
        <v>10.138955399999999</v>
      </c>
      <c r="AQ645" s="6">
        <v>0</v>
      </c>
      <c r="AR645" s="6">
        <v>0</v>
      </c>
      <c r="AS645" s="6">
        <v>0</v>
      </c>
      <c r="AT645" s="6">
        <v>0</v>
      </c>
      <c r="AU645" s="6">
        <v>0</v>
      </c>
      <c r="AV645" s="6">
        <v>0</v>
      </c>
      <c r="AW645" s="6">
        <v>0</v>
      </c>
      <c r="AX645" s="6">
        <v>0</v>
      </c>
      <c r="AY645" s="6">
        <v>0</v>
      </c>
      <c r="AZ645" s="6">
        <v>0</v>
      </c>
      <c r="BA645" s="6">
        <v>0</v>
      </c>
      <c r="BB645" s="6">
        <v>0</v>
      </c>
      <c r="BC645" s="6"/>
      <c r="BD645" s="3"/>
      <c r="BE645" s="3"/>
      <c r="BF645" s="7">
        <v>451.9682273632761</v>
      </c>
    </row>
    <row x14ac:dyDescent="0.25" r="646" customHeight="1" ht="12.75">
      <c r="A646" s="5" t="s">
        <v>470</v>
      </c>
      <c r="B646" s="3" t="s">
        <v>855</v>
      </c>
      <c r="C646" s="3" t="s">
        <v>870</v>
      </c>
      <c r="D646" s="3"/>
      <c r="E646" s="3"/>
      <c r="F646" s="6">
        <f>100*SUM(AM646:AO646)/AL646</f>
      </c>
      <c r="G646" s="6">
        <f>100*SUM(AP646)/AL646</f>
      </c>
      <c r="H646" s="6">
        <f>100*SUM(AQ646)/AL646</f>
      </c>
      <c r="I646" s="6">
        <f>100*SUM(AR646:BC646)/AL646</f>
      </c>
      <c r="J646" s="3"/>
      <c r="K646" s="6">
        <v>1.064</v>
      </c>
      <c r="L646" s="6">
        <v>2.4103759398496236</v>
      </c>
      <c r="M646" s="6">
        <v>3.386466165413534</v>
      </c>
      <c r="N646" s="31">
        <v>182.61654135338344</v>
      </c>
      <c r="O646" s="6">
        <v>0.14</v>
      </c>
      <c r="P646" s="6">
        <v>0.9198496240601504</v>
      </c>
      <c r="Q646" s="7"/>
      <c r="R646" s="6"/>
      <c r="S646" s="6"/>
      <c r="T646" s="6"/>
      <c r="U646" s="5"/>
      <c r="V646" s="6"/>
      <c r="W646" s="6"/>
      <c r="X646" s="6"/>
      <c r="Y646" s="15"/>
      <c r="Z646" s="6"/>
      <c r="AA646" s="6"/>
      <c r="AB646" s="5"/>
      <c r="AC646" s="3"/>
      <c r="AD646" s="6">
        <v>0.0256464</v>
      </c>
      <c r="AE646" s="6">
        <v>0.036032</v>
      </c>
      <c r="AF646" s="7">
        <v>194.304</v>
      </c>
      <c r="AG646" s="6">
        <v>0.0014896</v>
      </c>
      <c r="AH646" s="7">
        <v>0.97872</v>
      </c>
      <c r="AI646" s="15">
        <v>0.063168</v>
      </c>
      <c r="AJ646" s="6">
        <v>5.936842105263158</v>
      </c>
      <c r="AK646" s="3"/>
      <c r="AL646" s="6">
        <v>278.2656401014143</v>
      </c>
      <c r="AM646" s="6">
        <v>45.69966725413533</v>
      </c>
      <c r="AN646" s="6">
        <v>73.53816258646617</v>
      </c>
      <c r="AO646" s="6">
        <v>111.74253318182917</v>
      </c>
      <c r="AP646" s="6">
        <v>9.722286</v>
      </c>
      <c r="AQ646" s="6">
        <v>37.56299107898363</v>
      </c>
      <c r="AR646" s="6">
        <v>0</v>
      </c>
      <c r="AS646" s="6">
        <v>0</v>
      </c>
      <c r="AT646" s="6">
        <v>0</v>
      </c>
      <c r="AU646" s="6">
        <v>0</v>
      </c>
      <c r="AV646" s="6">
        <v>0</v>
      </c>
      <c r="AW646" s="6">
        <v>0</v>
      </c>
      <c r="AX646" s="6">
        <v>0</v>
      </c>
      <c r="AY646" s="6">
        <v>0</v>
      </c>
      <c r="AZ646" s="6">
        <v>0</v>
      </c>
      <c r="BA646" s="6">
        <v>0</v>
      </c>
      <c r="BB646" s="6">
        <v>0</v>
      </c>
      <c r="BC646" s="6"/>
      <c r="BD646" s="3"/>
      <c r="BE646" s="3"/>
      <c r="BF646" s="7">
        <v>296.07464106790485</v>
      </c>
    </row>
    <row x14ac:dyDescent="0.25" r="647" customHeight="1" ht="12.75">
      <c r="A647" s="5" t="s">
        <v>619</v>
      </c>
      <c r="B647" s="3" t="s">
        <v>855</v>
      </c>
      <c r="C647" s="3" t="s">
        <v>870</v>
      </c>
      <c r="D647" s="3"/>
      <c r="E647" s="3"/>
      <c r="F647" s="6">
        <f>100*SUM(AM647:AO647)/AL647</f>
      </c>
      <c r="G647" s="6">
        <f>100*SUM(AP647)/AL647</f>
      </c>
      <c r="H647" s="6">
        <f>100*SUM(AQ647)/AL647</f>
      </c>
      <c r="I647" s="6">
        <f>100*SUM(AR647:BC647)/AL647</f>
      </c>
      <c r="J647" s="3"/>
      <c r="K647" s="23">
        <v>1.354</v>
      </c>
      <c r="L647" s="6"/>
      <c r="M647" s="6">
        <v>6.04</v>
      </c>
      <c r="N647" s="6">
        <v>3.4</v>
      </c>
      <c r="O647" s="6">
        <v>0.25</v>
      </c>
      <c r="P647" s="6">
        <v>0.25</v>
      </c>
      <c r="Q647" s="7"/>
      <c r="R647" s="6"/>
      <c r="S647" s="6"/>
      <c r="T647" s="6"/>
      <c r="U647" s="5"/>
      <c r="V647" s="6"/>
      <c r="W647" s="6"/>
      <c r="X647" s="6"/>
      <c r="Y647" s="15"/>
      <c r="Z647" s="6"/>
      <c r="AA647" s="6"/>
      <c r="AB647" s="5"/>
      <c r="AC647" s="3"/>
      <c r="AD647" s="6">
        <v>0</v>
      </c>
      <c r="AE647" s="6">
        <v>0.0817816</v>
      </c>
      <c r="AF647" s="7">
        <v>4.6036</v>
      </c>
      <c r="AG647" s="6">
        <v>0.0033850000000000004</v>
      </c>
      <c r="AH647" s="7">
        <v>0.3385</v>
      </c>
      <c r="AI647" s="15">
        <v>0.0851666</v>
      </c>
      <c r="AJ647" s="6">
        <v>6.29</v>
      </c>
      <c r="AK647" s="3"/>
      <c r="AL647" s="6">
        <v>160.81115077620578</v>
      </c>
      <c r="AM647" s="6">
        <v>0</v>
      </c>
      <c r="AN647" s="6">
        <v>131.1604724</v>
      </c>
      <c r="AO647" s="6">
        <v>2.0804501607717043</v>
      </c>
      <c r="AP647" s="6">
        <v>17.361225</v>
      </c>
      <c r="AQ647" s="6">
        <v>10.209003215434084</v>
      </c>
      <c r="AR647" s="6">
        <v>0</v>
      </c>
      <c r="AS647" s="6">
        <v>0</v>
      </c>
      <c r="AT647" s="6">
        <v>0</v>
      </c>
      <c r="AU647" s="6">
        <v>0</v>
      </c>
      <c r="AV647" s="6">
        <v>0</v>
      </c>
      <c r="AW647" s="6">
        <v>0</v>
      </c>
      <c r="AX647" s="6">
        <v>0</v>
      </c>
      <c r="AY647" s="6">
        <v>0</v>
      </c>
      <c r="AZ647" s="6">
        <v>0</v>
      </c>
      <c r="BA647" s="6">
        <v>0</v>
      </c>
      <c r="BB647" s="6">
        <v>0</v>
      </c>
      <c r="BC647" s="6"/>
      <c r="BD647" s="3"/>
      <c r="BE647" s="3"/>
      <c r="BF647" s="7">
        <v>217.73829815098264</v>
      </c>
    </row>
    <row x14ac:dyDescent="0.25" r="648" customHeight="1" ht="12.75">
      <c r="A648" s="5" t="s">
        <v>119</v>
      </c>
      <c r="B648" s="3" t="s">
        <v>855</v>
      </c>
      <c r="C648" s="3" t="s">
        <v>870</v>
      </c>
      <c r="D648" s="3"/>
      <c r="E648" s="3"/>
      <c r="F648" s="6">
        <f>100*SUM(AM648:AO648)/AL648</f>
      </c>
      <c r="G648" s="6">
        <f>100*SUM(AP648)/AL648</f>
      </c>
      <c r="H648" s="6">
        <f>100*SUM(AQ648)/AL648</f>
      </c>
      <c r="I648" s="6">
        <f>100*SUM(AR648:BC648)/AL648</f>
      </c>
      <c r="J648" s="3"/>
      <c r="K648" s="5">
        <v>87</v>
      </c>
      <c r="L648" s="7">
        <v>0.5310344827586208</v>
      </c>
      <c r="M648" s="7">
        <v>3.810344827586207</v>
      </c>
      <c r="N648" s="31">
        <v>143.79310344827587</v>
      </c>
      <c r="O648" s="7">
        <v>0.43103448275862066</v>
      </c>
      <c r="P648" s="7">
        <v>0.2310344827586207</v>
      </c>
      <c r="Q648" s="7"/>
      <c r="R648" s="6"/>
      <c r="S648" s="6"/>
      <c r="T648" s="6"/>
      <c r="U648" s="5"/>
      <c r="V648" s="6"/>
      <c r="W648" s="6"/>
      <c r="X648" s="6"/>
      <c r="Y648" s="15"/>
      <c r="Z648" s="6"/>
      <c r="AA648" s="6"/>
      <c r="AB648" s="5"/>
      <c r="AC648" s="3"/>
      <c r="AD648" s="6">
        <v>0.462</v>
      </c>
      <c r="AE648" s="6">
        <v>3.315</v>
      </c>
      <c r="AF648" s="7">
        <v>12510</v>
      </c>
      <c r="AG648" s="6">
        <v>0.375</v>
      </c>
      <c r="AH648" s="7">
        <v>20.1</v>
      </c>
      <c r="AI648" s="15">
        <v>4.152</v>
      </c>
      <c r="AJ648" s="6">
        <v>4.772413793103449</v>
      </c>
      <c r="AK648" s="3"/>
      <c r="AL648" s="6">
        <v>220.16525681550058</v>
      </c>
      <c r="AM648" s="6">
        <v>10.068180137931035</v>
      </c>
      <c r="AN648" s="6">
        <v>82.74281913793102</v>
      </c>
      <c r="AO648" s="6">
        <v>87.98658387847878</v>
      </c>
      <c r="AP648" s="6">
        <v>29.933146551724136</v>
      </c>
      <c r="AQ648" s="6">
        <v>9.434527109435637</v>
      </c>
      <c r="AR648" s="6">
        <v>0</v>
      </c>
      <c r="AS648" s="6">
        <v>0</v>
      </c>
      <c r="AT648" s="6">
        <v>0</v>
      </c>
      <c r="AU648" s="6">
        <v>0</v>
      </c>
      <c r="AV648" s="6">
        <v>0</v>
      </c>
      <c r="AW648" s="6">
        <v>0</v>
      </c>
      <c r="AX648" s="6">
        <v>0</v>
      </c>
      <c r="AY648" s="6">
        <v>0</v>
      </c>
      <c r="AZ648" s="6">
        <v>0</v>
      </c>
      <c r="BA648" s="6">
        <v>0</v>
      </c>
      <c r="BB648" s="6">
        <v>0</v>
      </c>
      <c r="BC648" s="6"/>
      <c r="BD648" s="3"/>
      <c r="BE648" s="3"/>
      <c r="BF648" s="7">
        <v>19154.37734294855</v>
      </c>
    </row>
    <row x14ac:dyDescent="0.25" r="649" customHeight="1" ht="12.75">
      <c r="A649" s="5" t="s">
        <v>707</v>
      </c>
      <c r="B649" s="3" t="s">
        <v>855</v>
      </c>
      <c r="C649" s="3" t="s">
        <v>870</v>
      </c>
      <c r="D649" s="3"/>
      <c r="E649" s="3"/>
      <c r="F649" s="6">
        <f>100*SUM(AM649:AO649)/AL649</f>
      </c>
      <c r="G649" s="6">
        <f>100*SUM(AP649)/AL649</f>
      </c>
      <c r="H649" s="6">
        <f>100*SUM(AQ649)/AL649</f>
      </c>
      <c r="I649" s="6">
        <f>100*SUM(AR649:BC649)/AL649</f>
      </c>
      <c r="J649" s="3"/>
      <c r="K649" s="23">
        <v>2.545049</v>
      </c>
      <c r="L649" s="6">
        <v>1.1</v>
      </c>
      <c r="M649" s="6">
        <v>3.75</v>
      </c>
      <c r="N649" s="6">
        <v>39.61</v>
      </c>
      <c r="O649" s="6">
        <v>0.4</v>
      </c>
      <c r="P649" s="6"/>
      <c r="Q649" s="7"/>
      <c r="R649" s="6"/>
      <c r="S649" s="6"/>
      <c r="T649" s="6"/>
      <c r="U649" s="5"/>
      <c r="V649" s="6"/>
      <c r="W649" s="6"/>
      <c r="X649" s="6"/>
      <c r="Y649" s="15"/>
      <c r="Z649" s="6"/>
      <c r="AA649" s="6"/>
      <c r="AB649" s="5"/>
      <c r="AC649" s="3"/>
      <c r="AD649" s="6">
        <v>0.027995539000000003</v>
      </c>
      <c r="AE649" s="6">
        <v>0.09543933750000001</v>
      </c>
      <c r="AF649" s="7">
        <v>100.80939089</v>
      </c>
      <c r="AG649" s="6">
        <v>0.010180196</v>
      </c>
      <c r="AH649" s="7">
        <v>0</v>
      </c>
      <c r="AI649" s="15">
        <v>0.13361507250000002</v>
      </c>
      <c r="AJ649" s="6">
        <v>5.25</v>
      </c>
      <c r="AK649" s="3"/>
      <c r="AL649" s="6">
        <v>154.30313287299035</v>
      </c>
      <c r="AM649" s="6">
        <v>20.855516</v>
      </c>
      <c r="AN649" s="6">
        <v>81.4324125</v>
      </c>
      <c r="AO649" s="6">
        <v>24.237244372990357</v>
      </c>
      <c r="AP649" s="6">
        <v>27.77796</v>
      </c>
      <c r="AQ649" s="6">
        <v>0</v>
      </c>
      <c r="AR649" s="6">
        <v>0</v>
      </c>
      <c r="AS649" s="6">
        <v>0</v>
      </c>
      <c r="AT649" s="6">
        <v>0</v>
      </c>
      <c r="AU649" s="6">
        <v>0</v>
      </c>
      <c r="AV649" s="6">
        <v>0</v>
      </c>
      <c r="AW649" s="6">
        <v>0</v>
      </c>
      <c r="AX649" s="6">
        <v>0</v>
      </c>
      <c r="AY649" s="6">
        <v>0</v>
      </c>
      <c r="AZ649" s="6">
        <v>0</v>
      </c>
      <c r="BA649" s="6">
        <v>0</v>
      </c>
      <c r="BB649" s="6">
        <v>0</v>
      </c>
      <c r="BC649" s="6"/>
      <c r="BD649" s="3"/>
      <c r="BE649" s="3"/>
      <c r="BF649" s="7">
        <v>392.70903401527124</v>
      </c>
    </row>
    <row x14ac:dyDescent="0.25" r="650" customHeight="1" ht="12.75">
      <c r="A650" s="5" t="s">
        <v>265</v>
      </c>
      <c r="B650" s="3" t="s">
        <v>855</v>
      </c>
      <c r="C650" s="3" t="s">
        <v>870</v>
      </c>
      <c r="D650" s="3"/>
      <c r="E650" s="3"/>
      <c r="F650" s="6">
        <f>100*SUM(AM650:AO650)/AL650</f>
      </c>
      <c r="G650" s="6">
        <f>100*SUM(AP650)/AL650</f>
      </c>
      <c r="H650" s="6">
        <f>100*SUM(AQ650)/AL650</f>
      </c>
      <c r="I650" s="6">
        <f>100*SUM(AR650:BC650)/AL650</f>
      </c>
      <c r="J650" s="3"/>
      <c r="K650" s="6">
        <v>33.8</v>
      </c>
      <c r="L650" s="6">
        <v>1.4924852071005918</v>
      </c>
      <c r="M650" s="6">
        <v>4.261183431952663</v>
      </c>
      <c r="N650" s="31">
        <v>37.405325443786985</v>
      </c>
      <c r="O650" s="6">
        <v>0.2759763313609468</v>
      </c>
      <c r="P650" s="6">
        <v>0.3083431952662722</v>
      </c>
      <c r="Q650" s="7"/>
      <c r="R650" s="6"/>
      <c r="S650" s="6"/>
      <c r="T650" s="6"/>
      <c r="U650" s="5"/>
      <c r="V650" s="6"/>
      <c r="W650" s="6"/>
      <c r="X650" s="6"/>
      <c r="Y650" s="15"/>
      <c r="Z650" s="6"/>
      <c r="AA650" s="6"/>
      <c r="AB650" s="5"/>
      <c r="AC650" s="3"/>
      <c r="AD650" s="6">
        <v>0.50446</v>
      </c>
      <c r="AE650" s="6">
        <v>1.44028</v>
      </c>
      <c r="AF650" s="7">
        <v>1264.3</v>
      </c>
      <c r="AG650" s="6">
        <v>0.09328000000000002</v>
      </c>
      <c r="AH650" s="7">
        <v>10.421999999999999</v>
      </c>
      <c r="AI650" s="15">
        <v>2.03802</v>
      </c>
      <c r="AJ650" s="6">
        <v>6.029644970414202</v>
      </c>
      <c r="AK650" s="3"/>
      <c r="AL650" s="6">
        <v>175.47464783843301</v>
      </c>
      <c r="AM650" s="6">
        <v>28.296862833136096</v>
      </c>
      <c r="AN650" s="6">
        <v>92.53291919171598</v>
      </c>
      <c r="AO650" s="6">
        <v>22.888210392130752</v>
      </c>
      <c r="AP650" s="6">
        <v>19.165148733727815</v>
      </c>
      <c r="AQ650" s="6">
        <v>12.591506687722369</v>
      </c>
      <c r="AR650" s="6">
        <v>0</v>
      </c>
      <c r="AS650" s="6">
        <v>0</v>
      </c>
      <c r="AT650" s="6">
        <v>0</v>
      </c>
      <c r="AU650" s="6">
        <v>0</v>
      </c>
      <c r="AV650" s="6">
        <v>0</v>
      </c>
      <c r="AW650" s="6">
        <v>0</v>
      </c>
      <c r="AX650" s="6">
        <v>0</v>
      </c>
      <c r="AY650" s="6">
        <v>0</v>
      </c>
      <c r="AZ650" s="6">
        <v>0</v>
      </c>
      <c r="BA650" s="6">
        <v>0</v>
      </c>
      <c r="BB650" s="6">
        <v>0</v>
      </c>
      <c r="BC650" s="6"/>
      <c r="BD650" s="3"/>
      <c r="BE650" s="3"/>
      <c r="BF650" s="7">
        <v>5931.043096939035</v>
      </c>
    </row>
    <row x14ac:dyDescent="0.25" r="651" customHeight="1" ht="12.75">
      <c r="A651" s="5" t="s">
        <v>125</v>
      </c>
      <c r="B651" s="3" t="s">
        <v>855</v>
      </c>
      <c r="C651" s="3" t="s">
        <v>870</v>
      </c>
      <c r="D651" s="3"/>
      <c r="E651" s="3"/>
      <c r="F651" s="6">
        <f>100*SUM(AM651:AO651)/AL651</f>
      </c>
      <c r="G651" s="6">
        <f>100*SUM(AP651)/AL651</f>
      </c>
      <c r="H651" s="6">
        <f>100*SUM(AQ651)/AL651</f>
      </c>
      <c r="I651" s="6">
        <f>100*SUM(AR651:BC651)/AL651</f>
      </c>
      <c r="J651" s="3"/>
      <c r="K651" s="6">
        <v>1.287</v>
      </c>
      <c r="L651" s="6"/>
      <c r="M651" s="6">
        <v>15.06</v>
      </c>
      <c r="N651" s="6">
        <v>36.8</v>
      </c>
      <c r="O651" s="6">
        <v>0.84</v>
      </c>
      <c r="P651" s="6">
        <v>0.49</v>
      </c>
      <c r="Q651" s="7"/>
      <c r="R651" s="6"/>
      <c r="S651" s="6"/>
      <c r="T651" s="6"/>
      <c r="U651" s="5"/>
      <c r="V651" s="6"/>
      <c r="W651" s="6"/>
      <c r="X651" s="6"/>
      <c r="Y651" s="15"/>
      <c r="Z651" s="6"/>
      <c r="AA651" s="6"/>
      <c r="AB651" s="5"/>
      <c r="AC651" s="3"/>
      <c r="AD651" s="6">
        <v>0</v>
      </c>
      <c r="AE651" s="6">
        <v>0.1938222</v>
      </c>
      <c r="AF651" s="7">
        <v>47.361599999999996</v>
      </c>
      <c r="AG651" s="6">
        <v>0.010810799999999999</v>
      </c>
      <c r="AH651" s="7">
        <v>0.6306299999999999</v>
      </c>
      <c r="AI651" s="15">
        <v>0.204633</v>
      </c>
      <c r="AJ651" s="6">
        <v>15.9</v>
      </c>
      <c r="AK651" s="3"/>
      <c r="AL651" s="6">
        <v>427.89374440707394</v>
      </c>
      <c r="AM651" s="6">
        <v>0</v>
      </c>
      <c r="AN651" s="6">
        <v>327.0325686</v>
      </c>
      <c r="AO651" s="6">
        <v>22.517813504823152</v>
      </c>
      <c r="AP651" s="6">
        <v>58.333715999999995</v>
      </c>
      <c r="AQ651" s="6">
        <v>20.009646302250804</v>
      </c>
      <c r="AR651" s="6">
        <v>0</v>
      </c>
      <c r="AS651" s="6">
        <v>0</v>
      </c>
      <c r="AT651" s="6">
        <v>0</v>
      </c>
      <c r="AU651" s="6">
        <v>0</v>
      </c>
      <c r="AV651" s="6">
        <v>0</v>
      </c>
      <c r="AW651" s="6">
        <v>0</v>
      </c>
      <c r="AX651" s="6">
        <v>0</v>
      </c>
      <c r="AY651" s="6">
        <v>0</v>
      </c>
      <c r="AZ651" s="6">
        <v>0</v>
      </c>
      <c r="BA651" s="6">
        <v>0</v>
      </c>
      <c r="BB651" s="6">
        <v>0</v>
      </c>
      <c r="BC651" s="6"/>
      <c r="BD651" s="3"/>
      <c r="BE651" s="3"/>
      <c r="BF651" s="7">
        <v>550.6992490519041</v>
      </c>
    </row>
    <row x14ac:dyDescent="0.25" r="652" customHeight="1" ht="12.75">
      <c r="A652" s="5" t="s">
        <v>813</v>
      </c>
      <c r="B652" s="3" t="s">
        <v>855</v>
      </c>
      <c r="C652" s="3" t="s">
        <v>870</v>
      </c>
      <c r="D652" s="3"/>
      <c r="E652" s="3"/>
      <c r="F652" s="6">
        <f>100*SUM(AM652:AO652)/AL652</f>
      </c>
      <c r="G652" s="6">
        <f>100*SUM(AP652)/AL652</f>
      </c>
      <c r="H652" s="6">
        <f>100*SUM(AQ652)/AL652</f>
      </c>
      <c r="I652" s="6">
        <f>100*SUM(AR652:BC652)/AL652</f>
      </c>
      <c r="J652" s="3"/>
      <c r="K652" s="23">
        <v>5.283312</v>
      </c>
      <c r="L652" s="6">
        <v>0.3367506442928224</v>
      </c>
      <c r="M652" s="6">
        <v>0.8700785378565568</v>
      </c>
      <c r="N652" s="7">
        <v>45.09281088832157</v>
      </c>
      <c r="O652" s="6">
        <v>0.06342077469587261</v>
      </c>
      <c r="P652" s="6">
        <v>0.19104192294530403</v>
      </c>
      <c r="Q652" s="7"/>
      <c r="R652" s="6"/>
      <c r="S652" s="6"/>
      <c r="T652" s="6"/>
      <c r="U652" s="5"/>
      <c r="V652" s="6"/>
      <c r="W652" s="6"/>
      <c r="X652" s="6"/>
      <c r="Y652" s="15"/>
      <c r="Z652" s="6"/>
      <c r="AA652" s="6"/>
      <c r="AB652" s="5"/>
      <c r="AC652" s="3"/>
      <c r="AD652" s="6">
        <v>0.0177915872</v>
      </c>
      <c r="AE652" s="6">
        <v>0.045968963800000005</v>
      </c>
      <c r="AF652" s="7">
        <v>238.23938888</v>
      </c>
      <c r="AG652" s="6">
        <v>0.0033507174000000006</v>
      </c>
      <c r="AH652" s="7">
        <v>1.009334084</v>
      </c>
      <c r="AI652" s="15">
        <v>0.0671112684</v>
      </c>
      <c r="AJ652" s="6">
        <v>1.2702499568452517</v>
      </c>
      <c r="AK652" s="3"/>
      <c r="AL652" s="6">
        <v>65.07646948751199</v>
      </c>
      <c r="AM652" s="6">
        <v>6.3846440455084235</v>
      </c>
      <c r="AN652" s="6">
        <v>18.894025173901863</v>
      </c>
      <c r="AO652" s="6">
        <v>27.592160488899022</v>
      </c>
      <c r="AP652" s="6">
        <v>4.404249356677404</v>
      </c>
      <c r="AQ652" s="6">
        <v>7.801390422525277</v>
      </c>
      <c r="AR652" s="6">
        <v>0</v>
      </c>
      <c r="AS652" s="6">
        <v>0</v>
      </c>
      <c r="AT652" s="6">
        <v>0</v>
      </c>
      <c r="AU652" s="6">
        <v>0</v>
      </c>
      <c r="AV652" s="6">
        <v>0</v>
      </c>
      <c r="AW652" s="6">
        <v>0</v>
      </c>
      <c r="AX652" s="6">
        <v>0</v>
      </c>
      <c r="AY652" s="6">
        <v>0</v>
      </c>
      <c r="AZ652" s="6">
        <v>0</v>
      </c>
      <c r="BA652" s="6">
        <v>0</v>
      </c>
      <c r="BB652" s="6">
        <v>0</v>
      </c>
      <c r="BC652" s="6"/>
      <c r="BD652" s="3"/>
      <c r="BE652" s="3"/>
      <c r="BF652" s="7">
        <v>343.8192921610059</v>
      </c>
    </row>
    <row x14ac:dyDescent="0.25" r="653" customHeight="1" ht="12.75">
      <c r="A653" s="5" t="s">
        <v>140</v>
      </c>
      <c r="B653" s="3" t="s">
        <v>855</v>
      </c>
      <c r="C653" s="3" t="s">
        <v>870</v>
      </c>
      <c r="D653" s="3"/>
      <c r="E653" s="3"/>
      <c r="F653" s="6">
        <f>100*SUM(AM653:AO653)/AL653</f>
      </c>
      <c r="G653" s="6">
        <f>100*SUM(AP653)/AL653</f>
      </c>
      <c r="H653" s="6">
        <f>100*SUM(AQ653)/AL653</f>
      </c>
      <c r="I653" s="6">
        <f>100*SUM(AR653:BC653)/AL653</f>
      </c>
      <c r="J653" s="3"/>
      <c r="K653" s="5">
        <v>107</v>
      </c>
      <c r="L653" s="6">
        <v>3.494392523364486</v>
      </c>
      <c r="M653" s="6">
        <v>0.08691588785046729</v>
      </c>
      <c r="N653" s="7">
        <v>9.25233644859813</v>
      </c>
      <c r="O653" s="6">
        <v>0.18831775700934578</v>
      </c>
      <c r="P653" s="6">
        <v>0.10579439252336449</v>
      </c>
      <c r="Q653" s="7"/>
      <c r="R653" s="6"/>
      <c r="S653" s="6"/>
      <c r="T653" s="6"/>
      <c r="U653" s="5"/>
      <c r="V653" s="6"/>
      <c r="W653" s="6"/>
      <c r="X653" s="6"/>
      <c r="Y653" s="15"/>
      <c r="Z653" s="6"/>
      <c r="AA653" s="6"/>
      <c r="AB653" s="5"/>
      <c r="AC653" s="3"/>
      <c r="AD653" s="6">
        <v>3.739</v>
      </c>
      <c r="AE653" s="6">
        <v>0.09300000000000001</v>
      </c>
      <c r="AF653" s="7">
        <v>990</v>
      </c>
      <c r="AG653" s="6">
        <v>0.20149999999999998</v>
      </c>
      <c r="AH653" s="7">
        <v>11.32</v>
      </c>
      <c r="AI653" s="15">
        <v>4.0335</v>
      </c>
      <c r="AJ653" s="6">
        <v>3.769626168224299</v>
      </c>
      <c r="AK653" s="3"/>
      <c r="AL653" s="6">
        <v>91.19895703404754</v>
      </c>
      <c r="AM653" s="6">
        <v>66.25214471028038</v>
      </c>
      <c r="AN653" s="6">
        <v>1.8874054485981309</v>
      </c>
      <c r="AO653" s="6">
        <v>5.661477897647024</v>
      </c>
      <c r="AP653" s="6">
        <v>13.077707803738315</v>
      </c>
      <c r="AQ653" s="6">
        <v>4.320221173783694</v>
      </c>
      <c r="AR653" s="6">
        <v>0</v>
      </c>
      <c r="AS653" s="6">
        <v>0</v>
      </c>
      <c r="AT653" s="6">
        <v>0</v>
      </c>
      <c r="AU653" s="6">
        <v>0</v>
      </c>
      <c r="AV653" s="6">
        <v>0</v>
      </c>
      <c r="AW653" s="6">
        <v>0</v>
      </c>
      <c r="AX653" s="6">
        <v>0</v>
      </c>
      <c r="AY653" s="6">
        <v>0</v>
      </c>
      <c r="AZ653" s="6">
        <v>0</v>
      </c>
      <c r="BA653" s="6">
        <v>0</v>
      </c>
      <c r="BB653" s="6">
        <v>0</v>
      </c>
      <c r="BC653" s="6"/>
      <c r="BD653" s="3"/>
      <c r="BE653" s="3"/>
      <c r="BF653" s="7">
        <v>9758.288402643087</v>
      </c>
    </row>
    <row x14ac:dyDescent="0.25" r="654" customHeight="1" ht="12.75">
      <c r="A654" s="5" t="s">
        <v>237</v>
      </c>
      <c r="B654" s="3" t="s">
        <v>855</v>
      </c>
      <c r="C654" s="3" t="s">
        <v>870</v>
      </c>
      <c r="D654" s="3"/>
      <c r="E654" s="3"/>
      <c r="F654" s="6">
        <f>100*SUM(AM654:AO654)/AL654</f>
      </c>
      <c r="G654" s="6">
        <f>100*SUM(AP654)/AL654</f>
      </c>
      <c r="H654" s="6">
        <f>100*SUM(AQ654)/AL654</f>
      </c>
      <c r="I654" s="6">
        <f>100*SUM(AR654:BC654)/AL654</f>
      </c>
      <c r="J654" s="3"/>
      <c r="K654" s="6">
        <v>14.411999999999999</v>
      </c>
      <c r="L654" s="6">
        <v>3.5</v>
      </c>
      <c r="M654" s="6">
        <v>7.24</v>
      </c>
      <c r="N654" s="5">
        <v>134</v>
      </c>
      <c r="O654" s="6">
        <v>0.86</v>
      </c>
      <c r="P654" s="6">
        <v>0.38</v>
      </c>
      <c r="Q654" s="7"/>
      <c r="R654" s="6"/>
      <c r="S654" s="6"/>
      <c r="T654" s="6"/>
      <c r="U654" s="5"/>
      <c r="V654" s="6"/>
      <c r="W654" s="6"/>
      <c r="X654" s="6"/>
      <c r="Y654" s="15"/>
      <c r="Z654" s="6"/>
      <c r="AA654" s="6"/>
      <c r="AB654" s="5"/>
      <c r="AC654" s="3"/>
      <c r="AD654" s="6">
        <v>0.50442</v>
      </c>
      <c r="AE654" s="6">
        <v>1.0434288</v>
      </c>
      <c r="AF654" s="7">
        <v>1931.2079999999999</v>
      </c>
      <c r="AG654" s="6">
        <v>0.12394319999999999</v>
      </c>
      <c r="AH654" s="7">
        <v>5.47656</v>
      </c>
      <c r="AI654" s="15">
        <v>1.6717920000000002</v>
      </c>
      <c r="AJ654" s="6">
        <v>11.6</v>
      </c>
      <c r="AK654" s="3"/>
      <c r="AL654" s="6">
        <v>380.8118155061094</v>
      </c>
      <c r="AM654" s="6">
        <v>66.35846000000001</v>
      </c>
      <c r="AN654" s="6">
        <v>157.21884440000002</v>
      </c>
      <c r="AO654" s="6">
        <v>81.99421221864954</v>
      </c>
      <c r="AP654" s="6">
        <v>59.722614</v>
      </c>
      <c r="AQ654" s="6">
        <v>15.517684887459808</v>
      </c>
      <c r="AR654" s="6">
        <v>0</v>
      </c>
      <c r="AS654" s="6">
        <v>0</v>
      </c>
      <c r="AT654" s="6">
        <v>0</v>
      </c>
      <c r="AU654" s="6">
        <v>0</v>
      </c>
      <c r="AV654" s="6">
        <v>0</v>
      </c>
      <c r="AW654" s="6">
        <v>0</v>
      </c>
      <c r="AX654" s="6">
        <v>0</v>
      </c>
      <c r="AY654" s="6">
        <v>0</v>
      </c>
      <c r="AZ654" s="6">
        <v>0</v>
      </c>
      <c r="BA654" s="6">
        <v>0</v>
      </c>
      <c r="BB654" s="6">
        <v>0</v>
      </c>
      <c r="BC654" s="6"/>
      <c r="BD654" s="3"/>
      <c r="BE654" s="3"/>
      <c r="BF654" s="7">
        <v>5488.259885074048</v>
      </c>
    </row>
    <row x14ac:dyDescent="0.25" r="655" customHeight="1" ht="12.75">
      <c r="A655" s="5" t="s">
        <v>387</v>
      </c>
      <c r="B655" s="3" t="s">
        <v>855</v>
      </c>
      <c r="C655" s="3" t="s">
        <v>870</v>
      </c>
      <c r="D655" s="3"/>
      <c r="E655" s="3"/>
      <c r="F655" s="6">
        <f>100*SUM(AM655:AO655)/AL655</f>
      </c>
      <c r="G655" s="6">
        <f>100*SUM(AP655)/AL655</f>
      </c>
      <c r="H655" s="6">
        <f>100*SUM(AQ655)/AL655</f>
      </c>
      <c r="I655" s="6">
        <f>100*SUM(AR655:BC655)/AL655</f>
      </c>
      <c r="J655" s="3"/>
      <c r="K655" s="23">
        <v>5.5245</v>
      </c>
      <c r="L655" s="6">
        <v>2.59</v>
      </c>
      <c r="M655" s="6">
        <v>6.11</v>
      </c>
      <c r="N655" s="6">
        <v>54.21</v>
      </c>
      <c r="O655" s="6">
        <v>0.4</v>
      </c>
      <c r="P655" s="6">
        <v>0.62</v>
      </c>
      <c r="Q655" s="7"/>
      <c r="R655" s="6"/>
      <c r="S655" s="6"/>
      <c r="T655" s="6"/>
      <c r="U655" s="5"/>
      <c r="V655" s="6"/>
      <c r="W655" s="6"/>
      <c r="X655" s="6"/>
      <c r="Y655" s="15"/>
      <c r="Z655" s="6"/>
      <c r="AA655" s="6"/>
      <c r="AB655" s="5"/>
      <c r="AC655" s="3"/>
      <c r="AD655" s="6">
        <v>0.14308454999999998</v>
      </c>
      <c r="AE655" s="6">
        <v>0.33754694999999996</v>
      </c>
      <c r="AF655" s="7">
        <v>299.483145</v>
      </c>
      <c r="AG655" s="6">
        <v>0.022098</v>
      </c>
      <c r="AH655" s="7">
        <v>3.4251899999999997</v>
      </c>
      <c r="AI655" s="15">
        <v>0.5027294999999999</v>
      </c>
      <c r="AJ655" s="6">
        <v>9.1</v>
      </c>
      <c r="AK655" s="3"/>
      <c r="AL655" s="6">
        <v>268.053034596463</v>
      </c>
      <c r="AM655" s="6">
        <v>49.1052604</v>
      </c>
      <c r="AN655" s="6">
        <v>132.6805441</v>
      </c>
      <c r="AO655" s="6">
        <v>33.170942122186496</v>
      </c>
      <c r="AP655" s="6">
        <v>27.77796</v>
      </c>
      <c r="AQ655" s="6">
        <v>25.318327974276528</v>
      </c>
      <c r="AR655" s="6">
        <v>0</v>
      </c>
      <c r="AS655" s="6">
        <v>0</v>
      </c>
      <c r="AT655" s="6">
        <v>0</v>
      </c>
      <c r="AU655" s="6">
        <v>0</v>
      </c>
      <c r="AV655" s="6">
        <v>0</v>
      </c>
      <c r="AW655" s="6">
        <v>0</v>
      </c>
      <c r="AX655" s="6">
        <v>0</v>
      </c>
      <c r="AY655" s="6">
        <v>0</v>
      </c>
      <c r="AZ655" s="6">
        <v>0</v>
      </c>
      <c r="BA655" s="6">
        <v>0</v>
      </c>
      <c r="BB655" s="6">
        <v>0</v>
      </c>
      <c r="BC655" s="6"/>
      <c r="BD655" s="3"/>
      <c r="BE655" s="3"/>
      <c r="BF655" s="7">
        <v>1480.8589896281599</v>
      </c>
    </row>
    <row x14ac:dyDescent="0.25" r="656" customHeight="1" ht="12.75">
      <c r="A656" s="5" t="s">
        <v>803</v>
      </c>
      <c r="B656" s="3" t="s">
        <v>855</v>
      </c>
      <c r="C656" s="3" t="s">
        <v>870</v>
      </c>
      <c r="D656" s="3"/>
      <c r="E656" s="3"/>
      <c r="F656" s="6">
        <f>100*SUM(AM656:AO656)/AL656</f>
      </c>
      <c r="G656" s="6">
        <f>100*SUM(AP656)/AL656</f>
      </c>
      <c r="H656" s="6">
        <f>100*SUM(AQ656)/AL656</f>
      </c>
      <c r="I656" s="6">
        <f>100*SUM(AR656:BC656)/AL656</f>
      </c>
      <c r="J656" s="3"/>
      <c r="K656" s="6">
        <v>5.1579999999999995</v>
      </c>
      <c r="L656" s="6"/>
      <c r="M656" s="6">
        <v>1.8769988367584336</v>
      </c>
      <c r="N656" s="5"/>
      <c r="O656" s="6">
        <v>0.14899961225281116</v>
      </c>
      <c r="P656" s="6"/>
      <c r="Q656" s="7"/>
      <c r="R656" s="6"/>
      <c r="S656" s="6"/>
      <c r="T656" s="6"/>
      <c r="U656" s="5"/>
      <c r="V656" s="6"/>
      <c r="W656" s="6"/>
      <c r="X656" s="6"/>
      <c r="Y656" s="15"/>
      <c r="Z656" s="6"/>
      <c r="AA656" s="6"/>
      <c r="AB656" s="5"/>
      <c r="AC656" s="3"/>
      <c r="AD656" s="6">
        <v>0</v>
      </c>
      <c r="AE656" s="6">
        <v>0.09681559999999999</v>
      </c>
      <c r="AF656" s="7">
        <v>0</v>
      </c>
      <c r="AG656" s="6">
        <v>0.0076853999999999985</v>
      </c>
      <c r="AH656" s="7">
        <v>0</v>
      </c>
      <c r="AI656" s="15">
        <v>0.10450099999999998</v>
      </c>
      <c r="AJ656" s="6">
        <v>2.0259984490112446</v>
      </c>
      <c r="AK656" s="3"/>
      <c r="AL656" s="6">
        <v>51.10687478278403</v>
      </c>
      <c r="AM656" s="6">
        <v>0</v>
      </c>
      <c r="AN656" s="6">
        <v>40.75961160984878</v>
      </c>
      <c r="AO656" s="6">
        <v>0</v>
      </c>
      <c r="AP656" s="6">
        <v>10.347263172935246</v>
      </c>
      <c r="AQ656" s="6">
        <v>0</v>
      </c>
      <c r="AR656" s="6">
        <v>0</v>
      </c>
      <c r="AS656" s="6">
        <v>0</v>
      </c>
      <c r="AT656" s="6">
        <v>0</v>
      </c>
      <c r="AU656" s="6">
        <v>0</v>
      </c>
      <c r="AV656" s="6">
        <v>0</v>
      </c>
      <c r="AW656" s="6">
        <v>0</v>
      </c>
      <c r="AX656" s="6">
        <v>0</v>
      </c>
      <c r="AY656" s="6">
        <v>0</v>
      </c>
      <c r="AZ656" s="6">
        <v>0</v>
      </c>
      <c r="BA656" s="6">
        <v>0</v>
      </c>
      <c r="BB656" s="6">
        <v>0</v>
      </c>
      <c r="BC656" s="6"/>
      <c r="BD656" s="3"/>
      <c r="BE656" s="3"/>
      <c r="BF656" s="7">
        <v>263.6092601296</v>
      </c>
    </row>
    <row x14ac:dyDescent="0.25" r="657" customHeight="1" ht="12.75">
      <c r="A657" s="5" t="s">
        <v>70</v>
      </c>
      <c r="B657" s="3" t="s">
        <v>855</v>
      </c>
      <c r="C657" s="3" t="s">
        <v>870</v>
      </c>
      <c r="D657" s="3"/>
      <c r="E657" s="3"/>
      <c r="F657" s="6">
        <f>100*SUM(AM657:AO657)/AL657</f>
      </c>
      <c r="G657" s="6">
        <f>100*SUM(AP657)/AL657</f>
      </c>
      <c r="H657" s="6">
        <f>100*SUM(AQ657)/AL657</f>
      </c>
      <c r="I657" s="6">
        <f>100*SUM(AR657:BC657)/AL657</f>
      </c>
      <c r="J657" s="3"/>
      <c r="K657" s="23">
        <v>9.93384</v>
      </c>
      <c r="L657" s="7">
        <v>3.16268493150685</v>
      </c>
      <c r="M657" s="7">
        <v>8.123908675799086</v>
      </c>
      <c r="N657" s="31">
        <v>419.28446804055636</v>
      </c>
      <c r="O657" s="6"/>
      <c r="P657" s="7">
        <v>3.086851509587431</v>
      </c>
      <c r="Q657" s="7"/>
      <c r="R657" s="6"/>
      <c r="S657" s="6"/>
      <c r="T657" s="6"/>
      <c r="U657" s="5"/>
      <c r="V657" s="6"/>
      <c r="W657" s="6"/>
      <c r="X657" s="6"/>
      <c r="Y657" s="15"/>
      <c r="Z657" s="6"/>
      <c r="AA657" s="6"/>
      <c r="AB657" s="5"/>
      <c r="AC657" s="3"/>
      <c r="AD657" s="6">
        <v>0.31417606080000005</v>
      </c>
      <c r="AE657" s="6">
        <v>0.8070160895999998</v>
      </c>
      <c r="AF657" s="7">
        <v>4165.1048200000005</v>
      </c>
      <c r="AG657" s="6">
        <v>0</v>
      </c>
      <c r="AH657" s="7">
        <v>30.664289000000007</v>
      </c>
      <c r="AI657" s="15">
        <v>1.1211921503999998</v>
      </c>
      <c r="AJ657" s="6">
        <v>11.286593607305935</v>
      </c>
      <c r="AK657" s="3"/>
      <c r="AL657" s="6">
        <v>618.9899706050534</v>
      </c>
      <c r="AM657" s="6">
        <v>59.96311472000001</v>
      </c>
      <c r="AN657" s="6">
        <v>176.41319530666667</v>
      </c>
      <c r="AO657" s="6">
        <v>256.55895263060415</v>
      </c>
      <c r="AP657" s="6">
        <v>0</v>
      </c>
      <c r="AQ657" s="6">
        <v>126.05470794778256</v>
      </c>
      <c r="AR657" s="6">
        <v>0</v>
      </c>
      <c r="AS657" s="6">
        <v>0</v>
      </c>
      <c r="AT657" s="6">
        <v>0</v>
      </c>
      <c r="AU657" s="6">
        <v>0</v>
      </c>
      <c r="AV657" s="6">
        <v>0</v>
      </c>
      <c r="AW657" s="6">
        <v>0</v>
      </c>
      <c r="AX657" s="6">
        <v>0</v>
      </c>
      <c r="AY657" s="6">
        <v>0</v>
      </c>
      <c r="AZ657" s="6">
        <v>0</v>
      </c>
      <c r="BA657" s="6">
        <v>0</v>
      </c>
      <c r="BB657" s="6">
        <v>0</v>
      </c>
      <c r="BC657" s="6"/>
      <c r="BD657" s="3"/>
      <c r="BE657" s="3"/>
      <c r="BF657" s="7">
        <v>6148.947329595303</v>
      </c>
    </row>
    <row x14ac:dyDescent="0.25" r="658" customHeight="1" ht="12.75">
      <c r="A658" s="5" t="s">
        <v>149</v>
      </c>
      <c r="B658" s="3" t="s">
        <v>855</v>
      </c>
      <c r="C658" s="3" t="s">
        <v>870</v>
      </c>
      <c r="D658" s="3"/>
      <c r="E658" s="3"/>
      <c r="F658" s="6">
        <f>100*SUM(AM658:AO658)/AL658</f>
      </c>
      <c r="G658" s="6">
        <f>100*SUM(AP658)/AL658</f>
      </c>
      <c r="H658" s="6">
        <f>100*SUM(AQ658)/AL658</f>
      </c>
      <c r="I658" s="6">
        <f>100*SUM(AR658:BC658)/AL658</f>
      </c>
      <c r="J658" s="3"/>
      <c r="K658" s="6">
        <v>19.1</v>
      </c>
      <c r="L658" s="7">
        <v>3.493717277486912</v>
      </c>
      <c r="M658" s="7">
        <v>11.002094240837696</v>
      </c>
      <c r="N658" s="31">
        <v>121.46596858638742</v>
      </c>
      <c r="O658" s="7">
        <v>0.4172774869109947</v>
      </c>
      <c r="P658" s="7">
        <v>1.7418848167539267</v>
      </c>
      <c r="Q658" s="7"/>
      <c r="R658" s="6"/>
      <c r="S658" s="6"/>
      <c r="T658" s="6"/>
      <c r="U658" s="5"/>
      <c r="V658" s="6"/>
      <c r="W658" s="6"/>
      <c r="X658" s="6"/>
      <c r="Y658" s="15"/>
      <c r="Z658" s="6"/>
      <c r="AA658" s="6"/>
      <c r="AB658" s="5"/>
      <c r="AC658" s="3"/>
      <c r="AD658" s="6">
        <v>0.6673000000000002</v>
      </c>
      <c r="AE658" s="6">
        <v>2.1014</v>
      </c>
      <c r="AF658" s="7">
        <v>2320</v>
      </c>
      <c r="AG658" s="6">
        <v>0.0797</v>
      </c>
      <c r="AH658" s="7">
        <v>33.27</v>
      </c>
      <c r="AI658" s="15">
        <v>2.8484</v>
      </c>
      <c r="AJ658" s="6">
        <v>14.913089005235603</v>
      </c>
      <c r="AK658" s="3"/>
      <c r="AL658" s="6">
        <v>479.58732823474355</v>
      </c>
      <c r="AM658" s="6">
        <v>66.23934234554974</v>
      </c>
      <c r="AN658" s="6">
        <v>238.91388708900521</v>
      </c>
      <c r="AO658" s="6">
        <v>74.32467466877662</v>
      </c>
      <c r="AP658" s="6">
        <v>28.977793350785333</v>
      </c>
      <c r="AQ658" s="6">
        <v>71.1316307806266</v>
      </c>
      <c r="AR658" s="6">
        <v>0</v>
      </c>
      <c r="AS658" s="6">
        <v>0</v>
      </c>
      <c r="AT658" s="6">
        <v>0</v>
      </c>
      <c r="AU658" s="6">
        <v>0</v>
      </c>
      <c r="AV658" s="6">
        <v>0</v>
      </c>
      <c r="AW658" s="6">
        <v>0</v>
      </c>
      <c r="AX658" s="6">
        <v>0</v>
      </c>
      <c r="AY658" s="6">
        <v>0</v>
      </c>
      <c r="AZ658" s="6">
        <v>0</v>
      </c>
      <c r="BA658" s="6">
        <v>0</v>
      </c>
      <c r="BB658" s="6">
        <v>0</v>
      </c>
      <c r="BC658" s="6"/>
      <c r="BD658" s="3"/>
      <c r="BE658" s="3"/>
      <c r="BF658" s="7">
        <v>9160.117969283603</v>
      </c>
    </row>
    <row x14ac:dyDescent="0.25" r="659" customHeight="1" ht="12.75">
      <c r="A659" s="5" t="s">
        <v>310</v>
      </c>
      <c r="B659" s="3" t="s">
        <v>855</v>
      </c>
      <c r="C659" s="3" t="s">
        <v>870</v>
      </c>
      <c r="D659" s="3"/>
      <c r="E659" s="3"/>
      <c r="F659" s="6">
        <f>100*SUM(AM659:AO659)/AL659</f>
      </c>
      <c r="G659" s="6">
        <f>100*SUM(AP659)/AL659</f>
      </c>
      <c r="H659" s="6">
        <f>100*SUM(AQ659)/AL659</f>
      </c>
      <c r="I659" s="6">
        <f>100*SUM(AR659:BC659)/AL659</f>
      </c>
      <c r="J659" s="3"/>
      <c r="K659" s="6">
        <v>10.89</v>
      </c>
      <c r="L659" s="6">
        <v>2.8911570247933884</v>
      </c>
      <c r="M659" s="6">
        <v>6.978484848484848</v>
      </c>
      <c r="N659" s="7">
        <v>82.36975206611571</v>
      </c>
      <c r="O659" s="6">
        <v>0.39509641873278245</v>
      </c>
      <c r="P659" s="6">
        <v>1.003801652892562</v>
      </c>
      <c r="Q659" s="7"/>
      <c r="R659" s="6"/>
      <c r="S659" s="6"/>
      <c r="T659" s="6"/>
      <c r="U659" s="5"/>
      <c r="V659" s="6"/>
      <c r="W659" s="6"/>
      <c r="X659" s="6"/>
      <c r="Y659" s="15"/>
      <c r="Z659" s="6"/>
      <c r="AA659" s="6"/>
      <c r="AB659" s="5"/>
      <c r="AC659" s="3"/>
      <c r="AD659" s="6">
        <v>0.314847</v>
      </c>
      <c r="AE659" s="6">
        <v>0.759957</v>
      </c>
      <c r="AF659" s="7">
        <v>897.0066000000002</v>
      </c>
      <c r="AG659" s="6">
        <v>0.04302600000000001</v>
      </c>
      <c r="AH659" s="7">
        <v>10.9314</v>
      </c>
      <c r="AI659" s="15">
        <v>1.1178299999999999</v>
      </c>
      <c r="AJ659" s="6">
        <v>10.26473829201102</v>
      </c>
      <c r="AK659" s="3"/>
      <c r="AL659" s="6">
        <v>325.18552831375104</v>
      </c>
      <c r="AM659" s="6">
        <v>54.81506508099173</v>
      </c>
      <c r="AN659" s="6">
        <v>151.53996181515149</v>
      </c>
      <c r="AO659" s="6">
        <v>50.40181292019878</v>
      </c>
      <c r="AP659" s="6">
        <v>27.437431289256203</v>
      </c>
      <c r="AQ659" s="6">
        <v>40.99125720815285</v>
      </c>
      <c r="AR659" s="6">
        <v>0</v>
      </c>
      <c r="AS659" s="6">
        <v>0</v>
      </c>
      <c r="AT659" s="6">
        <v>0</v>
      </c>
      <c r="AU659" s="6">
        <v>0</v>
      </c>
      <c r="AV659" s="6">
        <v>0</v>
      </c>
      <c r="AW659" s="6">
        <v>0</v>
      </c>
      <c r="AX659" s="6">
        <v>0</v>
      </c>
      <c r="AY659" s="6">
        <v>0</v>
      </c>
      <c r="AZ659" s="6">
        <v>0</v>
      </c>
      <c r="BA659" s="6">
        <v>0</v>
      </c>
      <c r="BB659" s="6">
        <v>0</v>
      </c>
      <c r="BC659" s="6"/>
      <c r="BD659" s="3"/>
      <c r="BE659" s="3"/>
      <c r="BF659" s="7">
        <v>3541.270403336749</v>
      </c>
    </row>
    <row x14ac:dyDescent="0.25" r="660" customHeight="1" ht="12.75">
      <c r="A660" s="5" t="s">
        <v>756</v>
      </c>
      <c r="B660" s="3" t="s">
        <v>855</v>
      </c>
      <c r="C660" s="3" t="s">
        <v>870</v>
      </c>
      <c r="D660" s="3"/>
      <c r="E660" s="3"/>
      <c r="F660" s="6">
        <f>100*SUM(AM660:AO660)/AL660</f>
      </c>
      <c r="G660" s="6">
        <f>100*SUM(AP660)/AL660</f>
      </c>
      <c r="H660" s="6">
        <f>100*SUM(AQ660)/AL660</f>
      </c>
      <c r="I660" s="6">
        <f>100*SUM(AR660:BC660)/AL660</f>
      </c>
      <c r="J660" s="3"/>
      <c r="K660" s="6">
        <v>2.6100000000000003</v>
      </c>
      <c r="L660" s="6">
        <v>1.0699616858237548</v>
      </c>
      <c r="M660" s="6">
        <v>2.6713793103448276</v>
      </c>
      <c r="N660" s="31">
        <v>88.2911877394636</v>
      </c>
      <c r="O660" s="6">
        <v>0.09716475095785441</v>
      </c>
      <c r="P660" s="6">
        <v>0.698735632183908</v>
      </c>
      <c r="Q660" s="7"/>
      <c r="R660" s="6"/>
      <c r="S660" s="6"/>
      <c r="T660" s="6"/>
      <c r="U660" s="5"/>
      <c r="V660" s="6"/>
      <c r="W660" s="6"/>
      <c r="X660" s="6"/>
      <c r="Y660" s="15"/>
      <c r="Z660" s="6"/>
      <c r="AA660" s="6"/>
      <c r="AB660" s="5"/>
      <c r="AC660" s="3"/>
      <c r="AD660" s="6">
        <v>0.027926000000000006</v>
      </c>
      <c r="AE660" s="6">
        <v>0.06972300000000001</v>
      </c>
      <c r="AF660" s="7">
        <v>230.44</v>
      </c>
      <c r="AG660" s="6">
        <v>0.0025360000000000005</v>
      </c>
      <c r="AH660" s="7">
        <v>1.8237</v>
      </c>
      <c r="AI660" s="15">
        <v>0.10018500000000001</v>
      </c>
      <c r="AJ660" s="6">
        <v>3.8385057471264368</v>
      </c>
      <c r="AK660" s="3"/>
      <c r="AL660" s="6">
        <v>167.6021285811423</v>
      </c>
      <c r="AM660" s="6">
        <v>20.28600278007663</v>
      </c>
      <c r="AN660" s="6">
        <v>58.00982985172414</v>
      </c>
      <c r="AO660" s="6">
        <v>54.02512227273288</v>
      </c>
      <c r="AP660" s="6">
        <v>6.7475964137931035</v>
      </c>
      <c r="AQ660" s="6">
        <v>28.533577262815534</v>
      </c>
      <c r="AR660" s="6">
        <v>0</v>
      </c>
      <c r="AS660" s="6">
        <v>0</v>
      </c>
      <c r="AT660" s="6">
        <v>0</v>
      </c>
      <c r="AU660" s="6">
        <v>0</v>
      </c>
      <c r="AV660" s="6">
        <v>0</v>
      </c>
      <c r="AW660" s="6">
        <v>0</v>
      </c>
      <c r="AX660" s="6">
        <v>0</v>
      </c>
      <c r="AY660" s="6">
        <v>0</v>
      </c>
      <c r="AZ660" s="6">
        <v>0</v>
      </c>
      <c r="BA660" s="6">
        <v>0</v>
      </c>
      <c r="BB660" s="6">
        <v>0</v>
      </c>
      <c r="BC660" s="6"/>
      <c r="BD660" s="3"/>
      <c r="BE660" s="3"/>
      <c r="BF660" s="7">
        <v>437.4415555967814</v>
      </c>
    </row>
    <row x14ac:dyDescent="0.25" r="661" customHeight="1" ht="12.75">
      <c r="A661" s="5" t="s">
        <v>259</v>
      </c>
      <c r="B661" s="3" t="s">
        <v>855</v>
      </c>
      <c r="C661" s="3" t="s">
        <v>870</v>
      </c>
      <c r="D661" s="3"/>
      <c r="E661" s="3"/>
      <c r="F661" s="6">
        <f>100*SUM(AM661:AO661)/AL661</f>
      </c>
      <c r="G661" s="6">
        <f>100*SUM(AP661)/AL661</f>
      </c>
      <c r="H661" s="6">
        <f>100*SUM(AQ661)/AL661</f>
      </c>
      <c r="I661" s="6">
        <f>100*SUM(AR661:BC661)/AL661</f>
      </c>
      <c r="J661" s="3"/>
      <c r="K661" s="6">
        <v>0.75</v>
      </c>
      <c r="L661" s="7">
        <v>4.132000000000001</v>
      </c>
      <c r="M661" s="7">
        <v>6.990666666666667</v>
      </c>
      <c r="N661" s="31">
        <v>104.06666666666668</v>
      </c>
      <c r="O661" s="7">
        <v>0.3706666666666667</v>
      </c>
      <c r="P661" s="7">
        <v>1.3293333333333335</v>
      </c>
      <c r="Q661" s="7"/>
      <c r="R661" s="6"/>
      <c r="S661" s="6"/>
      <c r="T661" s="6"/>
      <c r="U661" s="5"/>
      <c r="V661" s="6"/>
      <c r="W661" s="6"/>
      <c r="X661" s="6"/>
      <c r="Y661" s="15"/>
      <c r="Z661" s="6"/>
      <c r="AA661" s="6"/>
      <c r="AB661" s="5"/>
      <c r="AC661" s="3"/>
      <c r="AD661" s="6">
        <v>0.030990000000000004</v>
      </c>
      <c r="AE661" s="6">
        <v>0.052430000000000004</v>
      </c>
      <c r="AF661" s="7">
        <v>78.05000000000001</v>
      </c>
      <c r="AG661" s="6">
        <v>0.0027800000000000004</v>
      </c>
      <c r="AH661" s="7">
        <v>0.9970000000000001</v>
      </c>
      <c r="AI661" s="15">
        <v>0.08620000000000001</v>
      </c>
      <c r="AJ661" s="6">
        <v>11.493333333333334</v>
      </c>
      <c r="AK661" s="3"/>
      <c r="AL661" s="6">
        <v>373.84907056664525</v>
      </c>
      <c r="AM661" s="6">
        <v>78.34090192000001</v>
      </c>
      <c r="AN661" s="6">
        <v>151.80449377333335</v>
      </c>
      <c r="AO661" s="6">
        <v>63.678092175777074</v>
      </c>
      <c r="AP661" s="6">
        <v>25.740909600000002</v>
      </c>
      <c r="AQ661" s="6">
        <v>54.28467309753484</v>
      </c>
      <c r="AR661" s="6">
        <v>0</v>
      </c>
      <c r="AS661" s="6">
        <v>0</v>
      </c>
      <c r="AT661" s="6">
        <v>0</v>
      </c>
      <c r="AU661" s="6">
        <v>0</v>
      </c>
      <c r="AV661" s="6">
        <v>0</v>
      </c>
      <c r="AW661" s="6">
        <v>0</v>
      </c>
      <c r="AX661" s="6">
        <v>0</v>
      </c>
      <c r="AY661" s="6">
        <v>0</v>
      </c>
      <c r="AZ661" s="6">
        <v>0</v>
      </c>
      <c r="BA661" s="6">
        <v>0</v>
      </c>
      <c r="BB661" s="6">
        <v>0</v>
      </c>
      <c r="BC661" s="6"/>
      <c r="BD661" s="3"/>
      <c r="BE661" s="3"/>
      <c r="BF661" s="7">
        <v>280.38680292498395</v>
      </c>
    </row>
    <row x14ac:dyDescent="0.25" r="662" customHeight="1" ht="12.75">
      <c r="A662" s="5" t="s">
        <v>80</v>
      </c>
      <c r="B662" s="3" t="s">
        <v>855</v>
      </c>
      <c r="C662" s="3" t="s">
        <v>870</v>
      </c>
      <c r="D662" s="3"/>
      <c r="E662" s="3"/>
      <c r="F662" s="6">
        <f>100*SUM(AM662:AO662)/AL662</f>
      </c>
      <c r="G662" s="6">
        <f>100*SUM(AP662)/AL662</f>
      </c>
      <c r="H662" s="6">
        <f>100*SUM(AQ662)/AL662</f>
      </c>
      <c r="I662" s="6">
        <f>100*SUM(AR662:BC662)/AL662</f>
      </c>
      <c r="J662" s="3"/>
      <c r="K662" s="6">
        <v>0.425</v>
      </c>
      <c r="L662" s="7">
        <v>6.258823529411764</v>
      </c>
      <c r="M662" s="7">
        <v>11.352941176470589</v>
      </c>
      <c r="N662" s="31">
        <v>112.29411764705883</v>
      </c>
      <c r="O662" s="7">
        <v>0.4882352941176471</v>
      </c>
      <c r="P662" s="7">
        <v>2.2705882352941176</v>
      </c>
      <c r="Q662" s="7"/>
      <c r="R662" s="6"/>
      <c r="S662" s="6"/>
      <c r="T662" s="6"/>
      <c r="U662" s="5"/>
      <c r="V662" s="6"/>
      <c r="W662" s="6"/>
      <c r="X662" s="6"/>
      <c r="Y662" s="15"/>
      <c r="Z662" s="6"/>
      <c r="AA662" s="6"/>
      <c r="AB662" s="5"/>
      <c r="AC662" s="3"/>
      <c r="AD662" s="6">
        <v>0.0266</v>
      </c>
      <c r="AE662" s="6">
        <v>0.04825</v>
      </c>
      <c r="AF662" s="7">
        <v>47.725</v>
      </c>
      <c r="AG662" s="6">
        <v>0.002075</v>
      </c>
      <c r="AH662" s="7">
        <v>0.965</v>
      </c>
      <c r="AI662" s="15">
        <v>0.076925</v>
      </c>
      <c r="AJ662" s="6">
        <v>18.099999999999998</v>
      </c>
      <c r="AK662" s="3"/>
      <c r="AL662" s="6">
        <v>560.5368444721014</v>
      </c>
      <c r="AM662" s="6">
        <v>118.6645402352941</v>
      </c>
      <c r="AN662" s="6">
        <v>246.53263705882355</v>
      </c>
      <c r="AO662" s="6">
        <v>68.71244562133536</v>
      </c>
      <c r="AP662" s="6">
        <v>33.90545117647059</v>
      </c>
      <c r="AQ662" s="6">
        <v>92.72177038017779</v>
      </c>
      <c r="AR662" s="6">
        <v>0</v>
      </c>
      <c r="AS662" s="6">
        <v>0</v>
      </c>
      <c r="AT662" s="6">
        <v>0</v>
      </c>
      <c r="AU662" s="6">
        <v>0</v>
      </c>
      <c r="AV662" s="6">
        <v>0</v>
      </c>
      <c r="AW662" s="6">
        <v>0</v>
      </c>
      <c r="AX662" s="6">
        <v>0</v>
      </c>
      <c r="AY662" s="6">
        <v>0</v>
      </c>
      <c r="AZ662" s="6">
        <v>0</v>
      </c>
      <c r="BA662" s="6">
        <v>0</v>
      </c>
      <c r="BB662" s="6">
        <v>0</v>
      </c>
      <c r="BC662" s="6"/>
      <c r="BD662" s="3"/>
      <c r="BE662" s="3"/>
      <c r="BF662" s="7">
        <v>238.22815890064308</v>
      </c>
    </row>
    <row x14ac:dyDescent="0.25" r="663" customHeight="1" ht="12.75">
      <c r="A663" s="5" t="s">
        <v>60</v>
      </c>
      <c r="B663" s="3" t="s">
        <v>855</v>
      </c>
      <c r="C663" s="3" t="s">
        <v>870</v>
      </c>
      <c r="D663" s="3"/>
      <c r="E663" s="3"/>
      <c r="F663" s="6">
        <f>100*SUM(AM663:AO663)/AL663</f>
      </c>
      <c r="G663" s="6">
        <f>100*SUM(AP663)/AL663</f>
      </c>
      <c r="H663" s="6">
        <f>100*SUM(AQ663)/AL663</f>
      </c>
      <c r="I663" s="6">
        <f>100*SUM(AR663:BC663)/AL663</f>
      </c>
      <c r="J663" s="3"/>
      <c r="K663" s="6">
        <v>6.154</v>
      </c>
      <c r="L663" s="6">
        <v>1.6160058498537537</v>
      </c>
      <c r="M663" s="6">
        <v>12.143743906402339</v>
      </c>
      <c r="N663" s="7">
        <v>363.24553136171596</v>
      </c>
      <c r="O663" s="6">
        <v>1.1808596035099124</v>
      </c>
      <c r="P663" s="6">
        <v>1.6996246343841406</v>
      </c>
      <c r="Q663" s="7"/>
      <c r="R663" s="6"/>
      <c r="S663" s="6"/>
      <c r="T663" s="6"/>
      <c r="U663" s="5"/>
      <c r="V663" s="6"/>
      <c r="W663" s="6"/>
      <c r="X663" s="6"/>
      <c r="Y663" s="15"/>
      <c r="Z663" s="6"/>
      <c r="AA663" s="6"/>
      <c r="AB663" s="5"/>
      <c r="AC663" s="3"/>
      <c r="AD663" s="6">
        <v>0.09944900000000001</v>
      </c>
      <c r="AE663" s="6">
        <v>0.7473259999999999</v>
      </c>
      <c r="AF663" s="7">
        <v>2235.413</v>
      </c>
      <c r="AG663" s="6">
        <v>0.07267010000000002</v>
      </c>
      <c r="AH663" s="7">
        <v>10.45949</v>
      </c>
      <c r="AI663" s="15">
        <v>0.9194450999999999</v>
      </c>
      <c r="AJ663" s="6">
        <v>14.940609359766004</v>
      </c>
      <c r="AK663" s="3"/>
      <c r="AL663" s="6">
        <v>668.0233833157893</v>
      </c>
      <c r="AM663" s="6">
        <v>30.63875987065323</v>
      </c>
      <c r="AN663" s="6">
        <v>263.70516348813777</v>
      </c>
      <c r="AO663" s="6">
        <v>222.268889447378</v>
      </c>
      <c r="AP663" s="6">
        <v>82.00467707978551</v>
      </c>
      <c r="AQ663" s="6">
        <v>69.40589342983468</v>
      </c>
      <c r="AR663" s="6">
        <v>0</v>
      </c>
      <c r="AS663" s="6">
        <v>0</v>
      </c>
      <c r="AT663" s="6">
        <v>0</v>
      </c>
      <c r="AU663" s="6">
        <v>0</v>
      </c>
      <c r="AV663" s="6">
        <v>0</v>
      </c>
      <c r="AW663" s="6">
        <v>0</v>
      </c>
      <c r="AX663" s="6">
        <v>0</v>
      </c>
      <c r="AY663" s="6">
        <v>0</v>
      </c>
      <c r="AZ663" s="6">
        <v>0</v>
      </c>
      <c r="BA663" s="6">
        <v>0</v>
      </c>
      <c r="BB663" s="6">
        <v>0</v>
      </c>
      <c r="BC663" s="6"/>
      <c r="BD663" s="3"/>
      <c r="BE663" s="3"/>
      <c r="BF663" s="7">
        <v>4111.015900925367</v>
      </c>
    </row>
    <row x14ac:dyDescent="0.25" r="664" customHeight="1" ht="12.75">
      <c r="A664" s="5" t="s">
        <v>621</v>
      </c>
      <c r="B664" s="3" t="s">
        <v>855</v>
      </c>
      <c r="C664" s="3" t="s">
        <v>870</v>
      </c>
      <c r="D664" s="3"/>
      <c r="E664" s="3"/>
      <c r="F664" s="6">
        <f>100*SUM(AM664:AO664)/AL664</f>
      </c>
      <c r="G664" s="6">
        <f>100*SUM(AP664)/AL664</f>
      </c>
      <c r="H664" s="6">
        <f>100*SUM(AQ664)/AL664</f>
      </c>
      <c r="I664" s="6">
        <f>100*SUM(AR664:BC664)/AL664</f>
      </c>
      <c r="J664" s="3"/>
      <c r="K664" s="6">
        <v>1.5</v>
      </c>
      <c r="L664" s="6">
        <v>2.1</v>
      </c>
      <c r="M664" s="6">
        <v>3.7</v>
      </c>
      <c r="N664" s="5">
        <v>24</v>
      </c>
      <c r="O664" s="6">
        <v>0.4</v>
      </c>
      <c r="P664" s="6">
        <v>0.3</v>
      </c>
      <c r="Q664" s="7"/>
      <c r="R664" s="6"/>
      <c r="S664" s="6"/>
      <c r="T664" s="6"/>
      <c r="U664" s="5"/>
      <c r="V664" s="6"/>
      <c r="W664" s="6"/>
      <c r="X664" s="6"/>
      <c r="Y664" s="15"/>
      <c r="Z664" s="6"/>
      <c r="AA664" s="6"/>
      <c r="AB664" s="5"/>
      <c r="AC664" s="3"/>
      <c r="AD664" s="6">
        <v>0.0315</v>
      </c>
      <c r="AE664" s="6">
        <v>0.05550000000000001</v>
      </c>
      <c r="AF664" s="7">
        <v>36</v>
      </c>
      <c r="AG664" s="6">
        <v>0.006000000000000001</v>
      </c>
      <c r="AH664" s="7">
        <v>0.44999999999999996</v>
      </c>
      <c r="AI664" s="15">
        <v>0.09300000000000001</v>
      </c>
      <c r="AJ664" s="6">
        <v>6.200000000000001</v>
      </c>
      <c r="AK664" s="3"/>
      <c r="AL664" s="6">
        <v>174.8760174051447</v>
      </c>
      <c r="AM664" s="6">
        <v>39.815076</v>
      </c>
      <c r="AN664" s="6">
        <v>80.346647</v>
      </c>
      <c r="AO664" s="6">
        <v>14.685530546623797</v>
      </c>
      <c r="AP664" s="6">
        <v>27.77796</v>
      </c>
      <c r="AQ664" s="6">
        <v>12.2508038585209</v>
      </c>
      <c r="AR664" s="6">
        <v>0</v>
      </c>
      <c r="AS664" s="6">
        <v>0</v>
      </c>
      <c r="AT664" s="6">
        <v>0</v>
      </c>
      <c r="AU664" s="6">
        <v>0</v>
      </c>
      <c r="AV664" s="6">
        <v>0</v>
      </c>
      <c r="AW664" s="6">
        <v>0</v>
      </c>
      <c r="AX664" s="6">
        <v>0</v>
      </c>
      <c r="AY664" s="6">
        <v>0</v>
      </c>
      <c r="AZ664" s="6">
        <v>0</v>
      </c>
      <c r="BA664" s="6">
        <v>0</v>
      </c>
      <c r="BB664" s="6">
        <v>0</v>
      </c>
      <c r="BC664" s="6"/>
      <c r="BD664" s="3"/>
      <c r="BE664" s="3"/>
      <c r="BF664" s="7">
        <v>262.31402610771704</v>
      </c>
    </row>
    <row x14ac:dyDescent="0.25" r="665" customHeight="1" ht="12.75">
      <c r="A665" s="5" t="s">
        <v>506</v>
      </c>
      <c r="B665" s="3" t="s">
        <v>855</v>
      </c>
      <c r="C665" s="3" t="s">
        <v>870</v>
      </c>
      <c r="D665" s="3"/>
      <c r="E665" s="3"/>
      <c r="F665" s="6">
        <f>100*SUM(AM665:AO665)/AL665</f>
      </c>
      <c r="G665" s="6">
        <f>100*SUM(AP665)/AL665</f>
      </c>
      <c r="H665" s="6">
        <f>100*SUM(AQ665)/AL665</f>
      </c>
      <c r="I665" s="6">
        <f>100*SUM(AR665:BC665)/AL665</f>
      </c>
      <c r="J665" s="3"/>
      <c r="K665" s="6">
        <v>4.45</v>
      </c>
      <c r="L665" s="6">
        <v>0.16314606741573034</v>
      </c>
      <c r="M665" s="6">
        <v>6.753202247191011</v>
      </c>
      <c r="N665" s="7">
        <v>20.09831460674157</v>
      </c>
      <c r="O665" s="6">
        <v>0.6295505617977528</v>
      </c>
      <c r="P665" s="6">
        <v>0.11657303370786518</v>
      </c>
      <c r="Q665" s="7"/>
      <c r="R665" s="6"/>
      <c r="S665" s="6"/>
      <c r="T665" s="6"/>
      <c r="U665" s="5"/>
      <c r="V665" s="6"/>
      <c r="W665" s="6"/>
      <c r="X665" s="6"/>
      <c r="Y665" s="15"/>
      <c r="Z665" s="6"/>
      <c r="AA665" s="6"/>
      <c r="AB665" s="5"/>
      <c r="AC665" s="3"/>
      <c r="AD665" s="6">
        <v>0.007260000000000001</v>
      </c>
      <c r="AE665" s="6">
        <v>0.3005175</v>
      </c>
      <c r="AF665" s="7">
        <v>89.4375</v>
      </c>
      <c r="AG665" s="6">
        <v>0.028015</v>
      </c>
      <c r="AH665" s="7">
        <v>0.51875</v>
      </c>
      <c r="AI665" s="15">
        <v>0.3357925</v>
      </c>
      <c r="AJ665" s="6">
        <v>7.545898876404493</v>
      </c>
      <c r="AK665" s="3"/>
      <c r="AL665" s="6">
        <v>210.51861220273668</v>
      </c>
      <c r="AM665" s="6">
        <v>3.0931776539325844</v>
      </c>
      <c r="AN665" s="6">
        <v>146.64788029044942</v>
      </c>
      <c r="AO665" s="6">
        <v>12.29810054553994</v>
      </c>
      <c r="AP665" s="6">
        <v>43.71907580898876</v>
      </c>
      <c r="AQ665" s="6">
        <v>4.760377903826006</v>
      </c>
      <c r="AR665" s="6">
        <v>0</v>
      </c>
      <c r="AS665" s="6">
        <v>0</v>
      </c>
      <c r="AT665" s="6">
        <v>0</v>
      </c>
      <c r="AU665" s="6">
        <v>0</v>
      </c>
      <c r="AV665" s="6">
        <v>0</v>
      </c>
      <c r="AW665" s="6">
        <v>0</v>
      </c>
      <c r="AX665" s="6">
        <v>0</v>
      </c>
      <c r="AY665" s="6">
        <v>0</v>
      </c>
      <c r="AZ665" s="6">
        <v>0</v>
      </c>
      <c r="BA665" s="6">
        <v>0</v>
      </c>
      <c r="BB665" s="6">
        <v>0</v>
      </c>
      <c r="BC665" s="6"/>
      <c r="BD665" s="3"/>
      <c r="BE665" s="3"/>
      <c r="BF665" s="7">
        <v>936.8078243021782</v>
      </c>
    </row>
    <row x14ac:dyDescent="0.25" r="666" customHeight="1" ht="12.75">
      <c r="A666" s="5" t="s">
        <v>541</v>
      </c>
      <c r="B666" s="3" t="s">
        <v>855</v>
      </c>
      <c r="C666" s="3" t="s">
        <v>870</v>
      </c>
      <c r="D666" s="3" t="s">
        <v>1026</v>
      </c>
      <c r="E666" s="3"/>
      <c r="F666" s="6">
        <f>100*SUM(AM666:AO666)/AL666</f>
      </c>
      <c r="G666" s="6">
        <f>100*SUM(AP666)/AL666</f>
      </c>
      <c r="H666" s="6">
        <f>100*SUM(AQ666)/AL666</f>
      </c>
      <c r="I666" s="6">
        <f>100*SUM(AR666:BC666)/AL666</f>
      </c>
      <c r="J666" s="3"/>
      <c r="K666" s="6">
        <v>11.5</v>
      </c>
      <c r="L666" s="6">
        <v>2.6</v>
      </c>
      <c r="M666" s="6">
        <v>2.1</v>
      </c>
      <c r="N666" s="5">
        <v>95</v>
      </c>
      <c r="O666" s="6">
        <v>0.7</v>
      </c>
      <c r="P666" s="6"/>
      <c r="Q666" s="7"/>
      <c r="R666" s="6"/>
      <c r="S666" s="6"/>
      <c r="T666" s="6"/>
      <c r="U666" s="5"/>
      <c r="V666" s="6"/>
      <c r="W666" s="6"/>
      <c r="X666" s="6"/>
      <c r="Y666" s="15"/>
      <c r="Z666" s="6"/>
      <c r="AA666" s="6"/>
      <c r="AB666" s="5"/>
      <c r="AC666" s="3"/>
      <c r="AD666" s="6">
        <v>0.29900000000000004</v>
      </c>
      <c r="AE666" s="6">
        <v>0.24150000000000002</v>
      </c>
      <c r="AF666" s="7">
        <v>1092.5</v>
      </c>
      <c r="AG666" s="6">
        <v>0.08049999999999999</v>
      </c>
      <c r="AH666" s="7">
        <v>0</v>
      </c>
      <c r="AI666" s="15">
        <v>0.6210000000000001</v>
      </c>
      <c r="AJ666" s="6">
        <v>5.4</v>
      </c>
      <c r="AK666" s="3"/>
      <c r="AL666" s="6">
        <v>201.63866208038584</v>
      </c>
      <c r="AM666" s="6">
        <v>49.294856</v>
      </c>
      <c r="AN666" s="6">
        <v>45.602151</v>
      </c>
      <c r="AO666" s="6">
        <v>58.13022508038586</v>
      </c>
      <c r="AP666" s="6">
        <v>48.61142999999999</v>
      </c>
      <c r="AQ666" s="6">
        <v>0</v>
      </c>
      <c r="AR666" s="6">
        <v>0</v>
      </c>
      <c r="AS666" s="6">
        <v>0</v>
      </c>
      <c r="AT666" s="6">
        <v>0</v>
      </c>
      <c r="AU666" s="6">
        <v>0</v>
      </c>
      <c r="AV666" s="6">
        <v>0</v>
      </c>
      <c r="AW666" s="6">
        <v>0</v>
      </c>
      <c r="AX666" s="6">
        <v>0</v>
      </c>
      <c r="AY666" s="6">
        <v>0</v>
      </c>
      <c r="AZ666" s="6">
        <v>0</v>
      </c>
      <c r="BA666" s="6">
        <v>0</v>
      </c>
      <c r="BB666" s="6">
        <v>0</v>
      </c>
      <c r="BC666" s="6"/>
      <c r="BD666" s="3"/>
      <c r="BE666" s="3"/>
      <c r="BF666" s="7">
        <v>2318.844613924437</v>
      </c>
    </row>
    <row x14ac:dyDescent="0.25" r="667" customHeight="1" ht="12.75">
      <c r="A667" s="5" t="s">
        <v>210</v>
      </c>
      <c r="B667" s="3" t="s">
        <v>855</v>
      </c>
      <c r="C667" s="3" t="s">
        <v>870</v>
      </c>
      <c r="D667" s="3"/>
      <c r="E667" s="3"/>
      <c r="F667" s="6">
        <f>100*SUM(AM667:AO667)/AL667</f>
      </c>
      <c r="G667" s="6">
        <f>100*SUM(AP667)/AL667</f>
      </c>
      <c r="H667" s="6">
        <f>100*SUM(AQ667)/AL667</f>
      </c>
      <c r="I667" s="6">
        <f>100*SUM(AR667:BC667)/AL667</f>
      </c>
      <c r="J667" s="3"/>
      <c r="K667" s="6">
        <v>12.92</v>
      </c>
      <c r="L667" s="7">
        <v>1.5479876160990713</v>
      </c>
      <c r="M667" s="7">
        <v>9.98452012383901</v>
      </c>
      <c r="N667" s="6">
        <v>52.24</v>
      </c>
      <c r="O667" s="6">
        <v>0.6369969040247678</v>
      </c>
      <c r="P667" s="6">
        <v>1.17</v>
      </c>
      <c r="Q667" s="7"/>
      <c r="R667" s="6"/>
      <c r="S667" s="6"/>
      <c r="T667" s="6"/>
      <c r="U667" s="5"/>
      <c r="V667" s="6"/>
      <c r="W667" s="6"/>
      <c r="X667" s="6"/>
      <c r="Y667" s="15"/>
      <c r="Z667" s="6"/>
      <c r="AA667" s="6"/>
      <c r="AB667" s="5"/>
      <c r="AC667" s="3"/>
      <c r="AD667" s="6">
        <v>0.2</v>
      </c>
      <c r="AE667" s="6">
        <v>1.29</v>
      </c>
      <c r="AF667" s="7">
        <v>674.9408</v>
      </c>
      <c r="AG667" s="6">
        <v>0.0823</v>
      </c>
      <c r="AH667" s="7">
        <v>15.116399999999999</v>
      </c>
      <c r="AI667" s="15">
        <v>1.5723</v>
      </c>
      <c r="AJ667" s="6">
        <v>12.16950464396285</v>
      </c>
      <c r="AK667" s="3"/>
      <c r="AL667" s="6">
        <v>370.14593994878203</v>
      </c>
      <c r="AM667" s="6">
        <v>29.34916408668731</v>
      </c>
      <c r="AN667" s="6">
        <v>216.81694969040248</v>
      </c>
      <c r="AO667" s="6">
        <v>31.965504823151132</v>
      </c>
      <c r="AP667" s="6">
        <v>44.2361863003096</v>
      </c>
      <c r="AQ667" s="6">
        <v>47.77813504823151</v>
      </c>
      <c r="AR667" s="6">
        <v>0</v>
      </c>
      <c r="AS667" s="6">
        <v>0</v>
      </c>
      <c r="AT667" s="6">
        <v>0</v>
      </c>
      <c r="AU667" s="6">
        <v>0</v>
      </c>
      <c r="AV667" s="6">
        <v>0</v>
      </c>
      <c r="AW667" s="6">
        <v>0</v>
      </c>
      <c r="AX667" s="6">
        <v>0</v>
      </c>
      <c r="AY667" s="6">
        <v>0</v>
      </c>
      <c r="AZ667" s="6">
        <v>0</v>
      </c>
      <c r="BA667" s="6">
        <v>0</v>
      </c>
      <c r="BB667" s="6">
        <v>0</v>
      </c>
      <c r="BC667" s="6"/>
      <c r="BD667" s="3"/>
      <c r="BE667" s="3"/>
      <c r="BF667" s="7">
        <v>4782.2855441382635</v>
      </c>
    </row>
    <row x14ac:dyDescent="0.25" r="668" customHeight="1" ht="12.75">
      <c r="A668" s="5" t="s">
        <v>308</v>
      </c>
      <c r="B668" s="3" t="s">
        <v>855</v>
      </c>
      <c r="C668" s="3" t="s">
        <v>870</v>
      </c>
      <c r="D668" s="3"/>
      <c r="E668" s="3"/>
      <c r="F668" s="6">
        <f>100*SUM(AM668:AO668)/AL668</f>
      </c>
      <c r="G668" s="6">
        <f>100*SUM(AP668)/AL668</f>
      </c>
      <c r="H668" s="6">
        <f>100*SUM(AQ668)/AL668</f>
      </c>
      <c r="I668" s="6">
        <f>100*SUM(AR668:BC668)/AL668</f>
      </c>
      <c r="J668" s="3"/>
      <c r="K668" s="23">
        <v>2.0772</v>
      </c>
      <c r="L668" s="6">
        <v>2.9217966493356444</v>
      </c>
      <c r="M668" s="6">
        <v>6.820892547660312</v>
      </c>
      <c r="N668" s="7">
        <v>103.98903235124206</v>
      </c>
      <c r="O668" s="6">
        <v>0.47784325052955906</v>
      </c>
      <c r="P668" s="6">
        <v>1.3909137300211822</v>
      </c>
      <c r="Q668" s="7"/>
      <c r="R668" s="6"/>
      <c r="S668" s="6"/>
      <c r="T668" s="6"/>
      <c r="U668" s="5"/>
      <c r="V668" s="6"/>
      <c r="W668" s="6"/>
      <c r="X668" s="6"/>
      <c r="Y668" s="15"/>
      <c r="Z668" s="6"/>
      <c r="AA668" s="6"/>
      <c r="AB668" s="5"/>
      <c r="AC668" s="3"/>
      <c r="AD668" s="6">
        <v>0.060691560000000006</v>
      </c>
      <c r="AE668" s="6">
        <v>0.14168358</v>
      </c>
      <c r="AF668" s="7">
        <v>216.006018</v>
      </c>
      <c r="AG668" s="6">
        <v>0.00992576</v>
      </c>
      <c r="AH668" s="7">
        <v>2.8892059999999997</v>
      </c>
      <c r="AI668" s="15">
        <v>0.21230090000000001</v>
      </c>
      <c r="AJ668" s="6">
        <v>10.220532447525517</v>
      </c>
      <c r="AK668" s="3"/>
      <c r="AL668" s="6">
        <v>357.1275107102564</v>
      </c>
      <c r="AM668" s="6">
        <v>55.395978880878104</v>
      </c>
      <c r="AN668" s="6">
        <v>148.11779614913345</v>
      </c>
      <c r="AO668" s="6">
        <v>63.63058796283398</v>
      </c>
      <c r="AP668" s="6">
        <v>33.183776748700176</v>
      </c>
      <c r="AQ668" s="6">
        <v>56.79937096871066</v>
      </c>
      <c r="AR668" s="6">
        <v>0</v>
      </c>
      <c r="AS668" s="6">
        <v>0</v>
      </c>
      <c r="AT668" s="6">
        <v>0</v>
      </c>
      <c r="AU668" s="6">
        <v>0</v>
      </c>
      <c r="AV668" s="6">
        <v>0</v>
      </c>
      <c r="AW668" s="6">
        <v>0</v>
      </c>
      <c r="AX668" s="6">
        <v>0</v>
      </c>
      <c r="AY668" s="6">
        <v>0</v>
      </c>
      <c r="AZ668" s="6">
        <v>0</v>
      </c>
      <c r="BA668" s="6">
        <v>0</v>
      </c>
      <c r="BB668" s="6">
        <v>0</v>
      </c>
      <c r="BC668" s="6"/>
      <c r="BD668" s="3"/>
      <c r="BE668" s="3"/>
      <c r="BF668" s="7">
        <v>741.8252652473445</v>
      </c>
    </row>
    <row x14ac:dyDescent="0.25" r="669" customHeight="1" ht="12.75">
      <c r="A669" s="5" t="s">
        <v>277</v>
      </c>
      <c r="B669" s="3" t="s">
        <v>855</v>
      </c>
      <c r="C669" s="3" t="s">
        <v>870</v>
      </c>
      <c r="D669" s="3"/>
      <c r="E669" s="3"/>
      <c r="F669" s="6">
        <f>100*SUM(AM669:AO669)/AL669</f>
      </c>
      <c r="G669" s="6">
        <f>100*SUM(AP669)/AL669</f>
      </c>
      <c r="H669" s="6">
        <f>100*SUM(AQ669)/AL669</f>
      </c>
      <c r="I669" s="6">
        <f>100*SUM(AR669:BC669)/AL669</f>
      </c>
      <c r="J669" s="3"/>
      <c r="K669" s="6">
        <v>10.873</v>
      </c>
      <c r="L669" s="6">
        <v>1.36</v>
      </c>
      <c r="M669" s="6">
        <v>5.38</v>
      </c>
      <c r="N669" s="7">
        <v>221.21</v>
      </c>
      <c r="O669" s="6">
        <v>0.31</v>
      </c>
      <c r="P669" s="6">
        <v>1.82</v>
      </c>
      <c r="Q669" s="7"/>
      <c r="R669" s="6"/>
      <c r="S669" s="6"/>
      <c r="T669" s="6"/>
      <c r="U669" s="5"/>
      <c r="V669" s="6"/>
      <c r="W669" s="6"/>
      <c r="X669" s="6"/>
      <c r="Y669" s="15"/>
      <c r="Z669" s="6"/>
      <c r="AA669" s="6"/>
      <c r="AB669" s="5"/>
      <c r="AC669" s="3"/>
      <c r="AD669" s="6">
        <v>0.1478728</v>
      </c>
      <c r="AE669" s="6">
        <v>0.5849673999999999</v>
      </c>
      <c r="AF669" s="7">
        <v>2405.2163299999997</v>
      </c>
      <c r="AG669" s="6">
        <v>0.033706299999999995</v>
      </c>
      <c r="AH669" s="7">
        <v>19.78886</v>
      </c>
      <c r="AI669" s="15">
        <v>0.7665464999999999</v>
      </c>
      <c r="AJ669" s="6">
        <v>7.05</v>
      </c>
      <c r="AK669" s="3"/>
      <c r="AL669" s="6">
        <v>373.8205906508039</v>
      </c>
      <c r="AM669" s="6">
        <v>25.7850016</v>
      </c>
      <c r="AN669" s="6">
        <v>116.8283678</v>
      </c>
      <c r="AO669" s="6">
        <v>135.35775884244376</v>
      </c>
      <c r="AP669" s="6">
        <v>21.527918999999997</v>
      </c>
      <c r="AQ669" s="6">
        <v>74.32154340836014</v>
      </c>
      <c r="AR669" s="6">
        <v>0</v>
      </c>
      <c r="AS669" s="6">
        <v>0</v>
      </c>
      <c r="AT669" s="6">
        <v>0</v>
      </c>
      <c r="AU669" s="6">
        <v>0</v>
      </c>
      <c r="AV669" s="6">
        <v>0</v>
      </c>
      <c r="AW669" s="6">
        <v>0</v>
      </c>
      <c r="AX669" s="6">
        <v>0</v>
      </c>
      <c r="AY669" s="6">
        <v>0</v>
      </c>
      <c r="AZ669" s="6">
        <v>0</v>
      </c>
      <c r="BA669" s="6">
        <v>0</v>
      </c>
      <c r="BB669" s="6">
        <v>0</v>
      </c>
      <c r="BC669" s="6"/>
      <c r="BD669" s="3"/>
      <c r="BE669" s="3"/>
      <c r="BF669" s="7">
        <v>4064.5512821461907</v>
      </c>
    </row>
    <row x14ac:dyDescent="0.25" r="670" customHeight="1" ht="12.75">
      <c r="A670" s="5" t="s">
        <v>329</v>
      </c>
      <c r="B670" s="3" t="s">
        <v>855</v>
      </c>
      <c r="C670" s="3" t="s">
        <v>870</v>
      </c>
      <c r="D670" s="3"/>
      <c r="E670" s="3"/>
      <c r="F670" s="6">
        <f>100*SUM(AM670:AO670)/AL670</f>
      </c>
      <c r="G670" s="6">
        <f>100*SUM(AP670)/AL670</f>
      </c>
      <c r="H670" s="6">
        <f>100*SUM(AQ670)/AL670</f>
      </c>
      <c r="I670" s="6">
        <f>100*SUM(AR670:BC670)/AL670</f>
      </c>
      <c r="J670" s="3"/>
      <c r="K670" s="6">
        <v>1.5</v>
      </c>
      <c r="L670" s="6">
        <v>3.1</v>
      </c>
      <c r="M670" s="6">
        <v>6.4</v>
      </c>
      <c r="N670" s="5">
        <v>90</v>
      </c>
      <c r="O670" s="6">
        <v>0.1</v>
      </c>
      <c r="P670" s="5">
        <v>2</v>
      </c>
      <c r="Q670" s="7"/>
      <c r="R670" s="6"/>
      <c r="S670" s="6"/>
      <c r="T670" s="6"/>
      <c r="U670" s="5"/>
      <c r="V670" s="6"/>
      <c r="W670" s="6"/>
      <c r="X670" s="6"/>
      <c r="Y670" s="15"/>
      <c r="Z670" s="6"/>
      <c r="AA670" s="6"/>
      <c r="AB670" s="5"/>
      <c r="AC670" s="3"/>
      <c r="AD670" s="6">
        <v>0.04650000000000001</v>
      </c>
      <c r="AE670" s="6">
        <v>0.09600000000000002</v>
      </c>
      <c r="AF670" s="7">
        <v>135</v>
      </c>
      <c r="AG670" s="6">
        <v>0.0015000000000000002</v>
      </c>
      <c r="AH670" s="7">
        <v>3</v>
      </c>
      <c r="AI670" s="15">
        <v>0.14400000000000002</v>
      </c>
      <c r="AJ670" s="6">
        <v>9.6</v>
      </c>
      <c r="AK670" s="3"/>
      <c r="AL670" s="6">
        <v>341.4398752733118</v>
      </c>
      <c r="AM670" s="6">
        <v>58.774635999999994</v>
      </c>
      <c r="AN670" s="6">
        <v>138.977984</v>
      </c>
      <c r="AO670" s="6">
        <v>55.07073954983924</v>
      </c>
      <c r="AP670" s="6">
        <v>6.94449</v>
      </c>
      <c r="AQ670" s="6">
        <v>81.67202572347267</v>
      </c>
      <c r="AR670" s="6">
        <v>0</v>
      </c>
      <c r="AS670" s="6">
        <v>0</v>
      </c>
      <c r="AT670" s="6">
        <v>0</v>
      </c>
      <c r="AU670" s="6">
        <v>0</v>
      </c>
      <c r="AV670" s="6">
        <v>0</v>
      </c>
      <c r="AW670" s="6">
        <v>0</v>
      </c>
      <c r="AX670" s="6">
        <v>0</v>
      </c>
      <c r="AY670" s="6">
        <v>0</v>
      </c>
      <c r="AZ670" s="6">
        <v>0</v>
      </c>
      <c r="BA670" s="6">
        <v>0</v>
      </c>
      <c r="BB670" s="6">
        <v>0</v>
      </c>
      <c r="BC670" s="6"/>
      <c r="BD670" s="3"/>
      <c r="BE670" s="3"/>
      <c r="BF670" s="7">
        <v>512.1598129099677</v>
      </c>
    </row>
    <row x14ac:dyDescent="0.25" r="671" customHeight="1" ht="12.75">
      <c r="A671" s="5" t="s">
        <v>270</v>
      </c>
      <c r="B671" s="3" t="s">
        <v>855</v>
      </c>
      <c r="C671" s="3" t="s">
        <v>870</v>
      </c>
      <c r="D671" s="3"/>
      <c r="E671" s="3"/>
      <c r="F671" s="6">
        <f>100*SUM(AM671:AO671)/AL671</f>
      </c>
      <c r="G671" s="6">
        <f>100*SUM(AP671)/AL671</f>
      </c>
      <c r="H671" s="6">
        <f>100*SUM(AQ671)/AL671</f>
      </c>
      <c r="I671" s="6">
        <f>100*SUM(AR671:BC671)/AL671</f>
      </c>
      <c r="J671" s="3"/>
      <c r="K671" s="23">
        <v>4.1713</v>
      </c>
      <c r="L671" s="6">
        <v>2.2525783328938225</v>
      </c>
      <c r="M671" s="6">
        <v>7.927348788147582</v>
      </c>
      <c r="N671" s="7">
        <v>41.364083139548825</v>
      </c>
      <c r="O671" s="6">
        <v>0.9349075827679622</v>
      </c>
      <c r="P671" s="6">
        <v>0.5655742813990843</v>
      </c>
      <c r="Q671" s="7"/>
      <c r="R671" s="6"/>
      <c r="S671" s="6"/>
      <c r="T671" s="6"/>
      <c r="U671" s="5"/>
      <c r="V671" s="6"/>
      <c r="W671" s="6"/>
      <c r="X671" s="6"/>
      <c r="Y671" s="15"/>
      <c r="Z671" s="6"/>
      <c r="AA671" s="6"/>
      <c r="AB671" s="5"/>
      <c r="AC671" s="3"/>
      <c r="AD671" s="6">
        <v>0.09396180000000001</v>
      </c>
      <c r="AE671" s="6">
        <v>0.33067350000000006</v>
      </c>
      <c r="AF671" s="7">
        <v>172.542</v>
      </c>
      <c r="AG671" s="6">
        <v>0.0389978</v>
      </c>
      <c r="AH671" s="7">
        <v>2.35918</v>
      </c>
      <c r="AI671" s="15">
        <v>0.4636331</v>
      </c>
      <c r="AJ671" s="6">
        <v>11.114834703809368</v>
      </c>
      <c r="AK671" s="3"/>
      <c r="AL671" s="6">
        <v>328.18365546394807</v>
      </c>
      <c r="AM671" s="6">
        <v>42.7078940572004</v>
      </c>
      <c r="AN671" s="6">
        <v>172.14483641274907</v>
      </c>
      <c r="AO671" s="6">
        <v>25.310562769955443</v>
      </c>
      <c r="AP671" s="6">
        <v>64.92456359456285</v>
      </c>
      <c r="AQ671" s="6">
        <v>23.09579862948029</v>
      </c>
      <c r="AR671" s="6">
        <v>0</v>
      </c>
      <c r="AS671" s="6">
        <v>0</v>
      </c>
      <c r="AT671" s="6">
        <v>0</v>
      </c>
      <c r="AU671" s="6">
        <v>0</v>
      </c>
      <c r="AV671" s="6">
        <v>0</v>
      </c>
      <c r="AW671" s="6">
        <v>0</v>
      </c>
      <c r="AX671" s="6">
        <v>0</v>
      </c>
      <c r="AY671" s="6">
        <v>0</v>
      </c>
      <c r="AZ671" s="6">
        <v>0</v>
      </c>
      <c r="BA671" s="6">
        <v>0</v>
      </c>
      <c r="BB671" s="6">
        <v>0</v>
      </c>
      <c r="BC671" s="6"/>
      <c r="BD671" s="3"/>
      <c r="BE671" s="3"/>
      <c r="BF671" s="7">
        <v>1368.9524820367665</v>
      </c>
    </row>
    <row x14ac:dyDescent="0.25" r="672" customHeight="1" ht="12.75">
      <c r="A672" s="5" t="s">
        <v>547</v>
      </c>
      <c r="B672" s="3" t="s">
        <v>855</v>
      </c>
      <c r="C672" s="3" t="s">
        <v>870</v>
      </c>
      <c r="D672" s="3"/>
      <c r="E672" s="3"/>
      <c r="F672" s="6">
        <f>100*SUM(AM672:AO672)/AL672</f>
      </c>
      <c r="G672" s="6">
        <f>100*SUM(AP672)/AL672</f>
      </c>
      <c r="H672" s="6">
        <f>100*SUM(AQ672)/AL672</f>
      </c>
      <c r="I672" s="6">
        <f>100*SUM(AR672:BC672)/AL672</f>
      </c>
      <c r="J672" s="3"/>
      <c r="K672" s="6">
        <v>14.91</v>
      </c>
      <c r="L672" s="6">
        <v>0.58</v>
      </c>
      <c r="M672" s="6">
        <v>3.04</v>
      </c>
      <c r="N672" s="6">
        <v>18.79</v>
      </c>
      <c r="O672" s="6">
        <v>0.45</v>
      </c>
      <c r="P672" s="6">
        <v>0.03</v>
      </c>
      <c r="Q672" s="7"/>
      <c r="R672" s="6"/>
      <c r="S672" s="6"/>
      <c r="T672" s="6"/>
      <c r="U672" s="5"/>
      <c r="V672" s="6"/>
      <c r="W672" s="6"/>
      <c r="X672" s="6"/>
      <c r="Y672" s="15"/>
      <c r="Z672" s="6"/>
      <c r="AA672" s="6"/>
      <c r="AB672" s="5"/>
      <c r="AC672" s="3"/>
      <c r="AD672" s="6">
        <v>0.086478</v>
      </c>
      <c r="AE672" s="6">
        <v>0.453264</v>
      </c>
      <c r="AF672" s="7">
        <v>280.1589</v>
      </c>
      <c r="AG672" s="6">
        <v>0.067095</v>
      </c>
      <c r="AH672" s="7">
        <v>0.4473</v>
      </c>
      <c r="AI672" s="15">
        <v>0.606837</v>
      </c>
      <c r="AJ672" s="6">
        <v>4.07</v>
      </c>
      <c r="AK672" s="3"/>
      <c r="AL672" s="6">
        <v>120.9839192096463</v>
      </c>
      <c r="AM672" s="6">
        <v>10.996544799999999</v>
      </c>
      <c r="AN672" s="6">
        <v>66.0145424</v>
      </c>
      <c r="AO672" s="6">
        <v>11.497546623794213</v>
      </c>
      <c r="AP672" s="6">
        <v>31.250205</v>
      </c>
      <c r="AQ672" s="6">
        <v>1.22508038585209</v>
      </c>
      <c r="AR672" s="6">
        <v>0</v>
      </c>
      <c r="AS672" s="6">
        <v>0</v>
      </c>
      <c r="AT672" s="6">
        <v>0</v>
      </c>
      <c r="AU672" s="6">
        <v>0</v>
      </c>
      <c r="AV672" s="6">
        <v>0</v>
      </c>
      <c r="AW672" s="6">
        <v>0</v>
      </c>
      <c r="AX672" s="6">
        <v>0</v>
      </c>
      <c r="AY672" s="6">
        <v>0</v>
      </c>
      <c r="AZ672" s="6">
        <v>0</v>
      </c>
      <c r="BA672" s="6">
        <v>0</v>
      </c>
      <c r="BB672" s="6">
        <v>0</v>
      </c>
      <c r="BC672" s="6"/>
      <c r="BD672" s="3"/>
      <c r="BE672" s="3"/>
      <c r="BF672" s="7">
        <v>1803.8702354158263</v>
      </c>
    </row>
    <row x14ac:dyDescent="0.25" r="673" customHeight="1" ht="12.75">
      <c r="A673" s="5" t="s">
        <v>191</v>
      </c>
      <c r="B673" s="3" t="s">
        <v>855</v>
      </c>
      <c r="C673" s="3" t="s">
        <v>870</v>
      </c>
      <c r="D673" s="3"/>
      <c r="E673" s="3"/>
      <c r="F673" s="6">
        <f>100*SUM(AM673:AO673)/AL673</f>
      </c>
      <c r="G673" s="6">
        <f>100*SUM(AP673)/AL673</f>
      </c>
      <c r="H673" s="6">
        <f>100*SUM(AQ673)/AL673</f>
      </c>
      <c r="I673" s="6">
        <f>100*SUM(AR673:BC673)/AL673</f>
      </c>
      <c r="J673" s="3"/>
      <c r="K673" s="6">
        <v>25.2</v>
      </c>
      <c r="L673" s="6">
        <v>2.1</v>
      </c>
      <c r="M673" s="6">
        <v>8.3</v>
      </c>
      <c r="N673" s="7"/>
      <c r="O673" s="6">
        <v>0.5</v>
      </c>
      <c r="P673" s="6">
        <v>1.3</v>
      </c>
      <c r="Q673" s="7"/>
      <c r="R673" s="6"/>
      <c r="S673" s="6"/>
      <c r="T673" s="6"/>
      <c r="U673" s="5"/>
      <c r="V673" s="6"/>
      <c r="W673" s="6"/>
      <c r="X673" s="6"/>
      <c r="Y673" s="15"/>
      <c r="Z673" s="6"/>
      <c r="AA673" s="6"/>
      <c r="AB673" s="5"/>
      <c r="AC673" s="3"/>
      <c r="AD673" s="6">
        <v>0.5292</v>
      </c>
      <c r="AE673" s="6">
        <v>2.0916</v>
      </c>
      <c r="AF673" s="7">
        <v>0</v>
      </c>
      <c r="AG673" s="6">
        <v>0.126</v>
      </c>
      <c r="AH673" s="7">
        <v>32.76</v>
      </c>
      <c r="AI673" s="15">
        <v>2.7468</v>
      </c>
      <c r="AJ673" s="6">
        <v>10.9</v>
      </c>
      <c r="AK673" s="3"/>
      <c r="AL673" s="6">
        <v>307.86141572025724</v>
      </c>
      <c r="AM673" s="6">
        <v>39.815076</v>
      </c>
      <c r="AN673" s="6">
        <v>180.237073</v>
      </c>
      <c r="AO673" s="6">
        <v>0</v>
      </c>
      <c r="AP673" s="6">
        <v>34.72245</v>
      </c>
      <c r="AQ673" s="6">
        <v>53.08681672025724</v>
      </c>
      <c r="AR673" s="6">
        <v>0</v>
      </c>
      <c r="AS673" s="6">
        <v>0</v>
      </c>
      <c r="AT673" s="6">
        <v>0</v>
      </c>
      <c r="AU673" s="6">
        <v>0</v>
      </c>
      <c r="AV673" s="6">
        <v>0</v>
      </c>
      <c r="AW673" s="6">
        <v>0</v>
      </c>
      <c r="AX673" s="6">
        <v>0</v>
      </c>
      <c r="AY673" s="6">
        <v>0</v>
      </c>
      <c r="AZ673" s="6">
        <v>0</v>
      </c>
      <c r="BA673" s="6">
        <v>0</v>
      </c>
      <c r="BB673" s="6">
        <v>0</v>
      </c>
      <c r="BC673" s="6"/>
      <c r="BD673" s="3"/>
      <c r="BE673" s="3"/>
      <c r="BF673" s="7">
        <v>7758.107676150482</v>
      </c>
    </row>
    <row x14ac:dyDescent="0.25" r="674" customHeight="1" ht="12.75">
      <c r="A674" s="5" t="s">
        <v>604</v>
      </c>
      <c r="B674" s="3" t="s">
        <v>855</v>
      </c>
      <c r="C674" s="3" t="s">
        <v>870</v>
      </c>
      <c r="D674" s="3"/>
      <c r="E674" s="3"/>
      <c r="F674" s="6">
        <f>100*SUM(AM674:AO674)/AL674</f>
      </c>
      <c r="G674" s="6">
        <f>100*SUM(AP674)/AL674</f>
      </c>
      <c r="H674" s="6">
        <f>100*SUM(AQ674)/AL674</f>
      </c>
      <c r="I674" s="6">
        <f>100*SUM(AR674:BC674)/AL674</f>
      </c>
      <c r="J674" s="3"/>
      <c r="K674" s="6">
        <v>8.41</v>
      </c>
      <c r="L674" s="6">
        <v>2.7286325802615936</v>
      </c>
      <c r="M674" s="6">
        <v>2.631391200951249</v>
      </c>
      <c r="N674" s="7">
        <v>52.93298454221165</v>
      </c>
      <c r="O674" s="6">
        <v>0.34480380499405466</v>
      </c>
      <c r="P674" s="6">
        <v>0.8007847800237813</v>
      </c>
      <c r="Q674" s="7"/>
      <c r="R674" s="6"/>
      <c r="S674" s="6"/>
      <c r="T674" s="6"/>
      <c r="U674" s="5"/>
      <c r="V674" s="6"/>
      <c r="W674" s="6"/>
      <c r="X674" s="6"/>
      <c r="Y674" s="15"/>
      <c r="Z674" s="6"/>
      <c r="AA674" s="6"/>
      <c r="AB674" s="5"/>
      <c r="AC674" s="3"/>
      <c r="AD674" s="6">
        <v>0.22947800000000004</v>
      </c>
      <c r="AE674" s="6">
        <v>0.22130000000000002</v>
      </c>
      <c r="AF674" s="7">
        <v>445.16639999999995</v>
      </c>
      <c r="AG674" s="6">
        <v>0.028998</v>
      </c>
      <c r="AH674" s="7">
        <v>6.7346</v>
      </c>
      <c r="AI674" s="15">
        <v>0.4797760000000001</v>
      </c>
      <c r="AJ674" s="6">
        <v>5.704827586206896</v>
      </c>
      <c r="AK674" s="3"/>
      <c r="AL674" s="6">
        <v>197.91041217642754</v>
      </c>
      <c r="AM674" s="6">
        <v>51.733673123424495</v>
      </c>
      <c r="AN674" s="6">
        <v>57.14147565992866</v>
      </c>
      <c r="AO674" s="6">
        <v>32.38954005910893</v>
      </c>
      <c r="AP674" s="6">
        <v>23.944865757431625</v>
      </c>
      <c r="AQ674" s="6">
        <v>32.700857576533835</v>
      </c>
      <c r="AR674" s="6">
        <v>0</v>
      </c>
      <c r="AS674" s="6">
        <v>0</v>
      </c>
      <c r="AT674" s="6">
        <v>0</v>
      </c>
      <c r="AU674" s="6">
        <v>0</v>
      </c>
      <c r="AV674" s="6">
        <v>0</v>
      </c>
      <c r="AW674" s="6">
        <v>0</v>
      </c>
      <c r="AX674" s="6">
        <v>0</v>
      </c>
      <c r="AY674" s="6">
        <v>0</v>
      </c>
      <c r="AZ674" s="6">
        <v>0</v>
      </c>
      <c r="BA674" s="6">
        <v>0</v>
      </c>
      <c r="BB674" s="6">
        <v>0</v>
      </c>
      <c r="BC674" s="6"/>
      <c r="BD674" s="3"/>
      <c r="BE674" s="3"/>
      <c r="BF674" s="7">
        <v>1664.4265664037557</v>
      </c>
    </row>
    <row x14ac:dyDescent="0.25" r="675" customHeight="1" ht="12.75">
      <c r="A675" s="5" t="s">
        <v>463</v>
      </c>
      <c r="B675" s="3" t="s">
        <v>855</v>
      </c>
      <c r="C675" s="3" t="s">
        <v>870</v>
      </c>
      <c r="D675" s="3"/>
      <c r="E675" s="3"/>
      <c r="F675" s="6">
        <f>100*SUM(AM675:AO675)/AL675</f>
      </c>
      <c r="G675" s="6">
        <f>100*SUM(AP675)/AL675</f>
      </c>
      <c r="H675" s="6">
        <f>100*SUM(AQ675)/AL675</f>
      </c>
      <c r="I675" s="6">
        <f>100*SUM(AR675:BC675)/AL675</f>
      </c>
      <c r="J675" s="3"/>
      <c r="K675" s="23">
        <v>0.675554</v>
      </c>
      <c r="L675" s="6"/>
      <c r="M675" s="6">
        <v>7.498456170787233</v>
      </c>
      <c r="N675" s="7">
        <v>58.50386574574348</v>
      </c>
      <c r="O675" s="6">
        <v>0.514846540765061</v>
      </c>
      <c r="P675" s="6">
        <v>1.1026981114759145</v>
      </c>
      <c r="Q675" s="7"/>
      <c r="R675" s="6"/>
      <c r="S675" s="6"/>
      <c r="T675" s="6"/>
      <c r="U675" s="5"/>
      <c r="V675" s="6"/>
      <c r="W675" s="6"/>
      <c r="X675" s="6"/>
      <c r="Y675" s="15"/>
      <c r="Z675" s="6"/>
      <c r="AA675" s="6"/>
      <c r="AB675" s="5"/>
      <c r="AC675" s="3"/>
      <c r="AD675" s="6">
        <v>0</v>
      </c>
      <c r="AE675" s="6">
        <v>0.050656120599999986</v>
      </c>
      <c r="AF675" s="7">
        <v>39.52252051999999</v>
      </c>
      <c r="AG675" s="6">
        <v>0.0034780664</v>
      </c>
      <c r="AH675" s="7">
        <v>0.7449321199999999</v>
      </c>
      <c r="AI675" s="15">
        <v>0.054134186999999986</v>
      </c>
      <c r="AJ675" s="6">
        <v>8.013302711552294</v>
      </c>
      <c r="AK675" s="3"/>
      <c r="AL675" s="6">
        <v>279.412907217705</v>
      </c>
      <c r="AM675" s="6">
        <v>0</v>
      </c>
      <c r="AN675" s="6">
        <v>162.8313002700577</v>
      </c>
      <c r="AO675" s="6">
        <v>35.7983461460289</v>
      </c>
      <c r="AP675" s="6">
        <v>35.753466538775584</v>
      </c>
      <c r="AQ675" s="6">
        <v>45.029794262842806</v>
      </c>
      <c r="AR675" s="6">
        <v>0</v>
      </c>
      <c r="AS675" s="6">
        <v>0</v>
      </c>
      <c r="AT675" s="6">
        <v>0</v>
      </c>
      <c r="AU675" s="6">
        <v>0</v>
      </c>
      <c r="AV675" s="6">
        <v>0</v>
      </c>
      <c r="AW675" s="6">
        <v>0</v>
      </c>
      <c r="AX675" s="6">
        <v>0</v>
      </c>
      <c r="AY675" s="6">
        <v>0</v>
      </c>
      <c r="AZ675" s="6">
        <v>0</v>
      </c>
      <c r="BA675" s="6">
        <v>0</v>
      </c>
      <c r="BB675" s="6">
        <v>0</v>
      </c>
      <c r="BC675" s="6"/>
      <c r="BD675" s="3"/>
      <c r="BE675" s="3"/>
      <c r="BF675" s="7">
        <v>188.7585071225495</v>
      </c>
    </row>
    <row x14ac:dyDescent="0.25" r="676" customHeight="1" ht="12.75">
      <c r="A676" s="5" t="s">
        <v>650</v>
      </c>
      <c r="B676" s="3" t="s">
        <v>855</v>
      </c>
      <c r="C676" s="3" t="s">
        <v>870</v>
      </c>
      <c r="D676" s="3"/>
      <c r="E676" s="3"/>
      <c r="F676" s="6">
        <f>100*SUM(AM676:AO676)/AL676</f>
      </c>
      <c r="G676" s="6">
        <f>100*SUM(AP676)/AL676</f>
      </c>
      <c r="H676" s="6">
        <f>100*SUM(AQ676)/AL676</f>
      </c>
      <c r="I676" s="6">
        <f>100*SUM(AR676:BC676)/AL676</f>
      </c>
      <c r="J676" s="3"/>
      <c r="K676" s="23">
        <v>0.066625</v>
      </c>
      <c r="L676" s="6"/>
      <c r="M676" s="6">
        <v>5.71</v>
      </c>
      <c r="N676" s="6">
        <v>19.22</v>
      </c>
      <c r="O676" s="6">
        <v>0.18</v>
      </c>
      <c r="P676" s="6">
        <v>1.05</v>
      </c>
      <c r="Q676" s="7"/>
      <c r="R676" s="6"/>
      <c r="S676" s="6"/>
      <c r="T676" s="6"/>
      <c r="U676" s="5"/>
      <c r="V676" s="6"/>
      <c r="W676" s="6"/>
      <c r="X676" s="6"/>
      <c r="Y676" s="15"/>
      <c r="Z676" s="6"/>
      <c r="AA676" s="6"/>
      <c r="AB676" s="5"/>
      <c r="AC676" s="3"/>
      <c r="AD676" s="6">
        <v>0</v>
      </c>
      <c r="AE676" s="6">
        <v>0.0038042875000000006</v>
      </c>
      <c r="AF676" s="7">
        <v>1.2805325</v>
      </c>
      <c r="AG676" s="6">
        <v>0.000119925</v>
      </c>
      <c r="AH676" s="7">
        <v>0.06995625000000001</v>
      </c>
      <c r="AI676" s="15">
        <v>0.0039242125000000004</v>
      </c>
      <c r="AJ676" s="6">
        <v>5.89</v>
      </c>
      <c r="AK676" s="3"/>
      <c r="AL676" s="6">
        <v>191.13297798424438</v>
      </c>
      <c r="AM676" s="6">
        <v>0</v>
      </c>
      <c r="AN676" s="6">
        <v>123.9944201</v>
      </c>
      <c r="AO676" s="6">
        <v>11.760662379421223</v>
      </c>
      <c r="AP676" s="6">
        <v>12.500081999999999</v>
      </c>
      <c r="AQ676" s="6">
        <v>42.87781350482316</v>
      </c>
      <c r="AR676" s="6">
        <v>0</v>
      </c>
      <c r="AS676" s="6">
        <v>0</v>
      </c>
      <c r="AT676" s="6">
        <v>0</v>
      </c>
      <c r="AU676" s="6">
        <v>0</v>
      </c>
      <c r="AV676" s="6">
        <v>0</v>
      </c>
      <c r="AW676" s="6">
        <v>0</v>
      </c>
      <c r="AX676" s="6">
        <v>0</v>
      </c>
      <c r="AY676" s="6">
        <v>0</v>
      </c>
      <c r="AZ676" s="6">
        <v>0</v>
      </c>
      <c r="BA676" s="6">
        <v>0</v>
      </c>
      <c r="BB676" s="6">
        <v>0</v>
      </c>
      <c r="BC676" s="6"/>
      <c r="BD676" s="3"/>
      <c r="BE676" s="3"/>
      <c r="BF676" s="7">
        <v>12.734234658200283</v>
      </c>
    </row>
    <row x14ac:dyDescent="0.25" r="677" customHeight="1" ht="12.75">
      <c r="A677" s="5" t="s">
        <v>670</v>
      </c>
      <c r="B677" s="3" t="s">
        <v>855</v>
      </c>
      <c r="C677" s="3" t="s">
        <v>870</v>
      </c>
      <c r="D677" s="3" t="s">
        <v>1027</v>
      </c>
      <c r="E677" s="3"/>
      <c r="F677" s="6">
        <f>100*SUM(AM677:AO677)/AL677</f>
      </c>
      <c r="G677" s="6">
        <f>100*SUM(AP677)/AL677</f>
      </c>
      <c r="H677" s="6">
        <f>100*SUM(AQ677)/AL677</f>
      </c>
      <c r="I677" s="6">
        <f>100*SUM(AR677:BC677)/AL677</f>
      </c>
      <c r="J677" s="3"/>
      <c r="K677" s="7">
        <v>1</v>
      </c>
      <c r="L677" s="6">
        <v>2.58</v>
      </c>
      <c r="M677" s="6">
        <v>2.21</v>
      </c>
      <c r="N677" s="6">
        <v>73.2</v>
      </c>
      <c r="O677" s="6">
        <v>0.89</v>
      </c>
      <c r="P677" s="6"/>
      <c r="Q677" s="7"/>
      <c r="R677" s="6"/>
      <c r="S677" s="6"/>
      <c r="T677" s="6"/>
      <c r="U677" s="5"/>
      <c r="V677" s="6"/>
      <c r="W677" s="6"/>
      <c r="X677" s="6"/>
      <c r="Y677" s="15"/>
      <c r="Z677" s="6"/>
      <c r="AA677" s="6"/>
      <c r="AB677" s="5"/>
      <c r="AC677" s="3"/>
      <c r="AD677" s="6">
        <v>0.0258</v>
      </c>
      <c r="AE677" s="6">
        <v>0.022099999999999998</v>
      </c>
      <c r="AF677" s="7">
        <v>73.2</v>
      </c>
      <c r="AG677" s="6">
        <v>0.0089</v>
      </c>
      <c r="AH677" s="7">
        <v>0</v>
      </c>
      <c r="AI677" s="15">
        <v>0.056799999999999996</v>
      </c>
      <c r="AJ677" s="6">
        <v>5.68</v>
      </c>
      <c r="AK677" s="3"/>
      <c r="AL677" s="6">
        <v>203.50332906720257</v>
      </c>
      <c r="AM677" s="6">
        <v>48.915664799999995</v>
      </c>
      <c r="AN677" s="6">
        <v>47.9908351</v>
      </c>
      <c r="AO677" s="6">
        <v>44.79086816720258</v>
      </c>
      <c r="AP677" s="6">
        <v>61.805960999999996</v>
      </c>
      <c r="AQ677" s="6">
        <v>0</v>
      </c>
      <c r="AR677" s="6">
        <v>0</v>
      </c>
      <c r="AS677" s="6">
        <v>0</v>
      </c>
      <c r="AT677" s="6">
        <v>0</v>
      </c>
      <c r="AU677" s="6">
        <v>0</v>
      </c>
      <c r="AV677" s="6">
        <v>0</v>
      </c>
      <c r="AW677" s="6">
        <v>0</v>
      </c>
      <c r="AX677" s="6">
        <v>0</v>
      </c>
      <c r="AY677" s="6">
        <v>0</v>
      </c>
      <c r="AZ677" s="6">
        <v>0</v>
      </c>
      <c r="BA677" s="6">
        <v>0</v>
      </c>
      <c r="BB677" s="6">
        <v>0</v>
      </c>
      <c r="BC677" s="6"/>
      <c r="BD677" s="3"/>
      <c r="BE677" s="3"/>
      <c r="BF677" s="7">
        <v>203.50332906720257</v>
      </c>
    </row>
    <row x14ac:dyDescent="0.25" r="678" customHeight="1" ht="12.75">
      <c r="A678" s="5" t="s">
        <v>715</v>
      </c>
      <c r="B678" s="3" t="s">
        <v>855</v>
      </c>
      <c r="C678" s="3" t="s">
        <v>870</v>
      </c>
      <c r="D678" s="3"/>
      <c r="E678" s="3"/>
      <c r="F678" s="6">
        <f>100*SUM(AM678:AO678)/AL678</f>
      </c>
      <c r="G678" s="6">
        <f>100*SUM(AP678)/AL678</f>
      </c>
      <c r="H678" s="6">
        <f>100*SUM(AQ678)/AL678</f>
      </c>
      <c r="I678" s="6">
        <f>100*SUM(AR678:BC678)/AL678</f>
      </c>
      <c r="J678" s="3"/>
      <c r="K678" s="6">
        <v>6.3</v>
      </c>
      <c r="L678" s="6"/>
      <c r="M678" s="6">
        <v>3.3</v>
      </c>
      <c r="N678" s="6">
        <v>12.1</v>
      </c>
      <c r="O678" s="6">
        <v>0.5</v>
      </c>
      <c r="P678" s="6"/>
      <c r="Q678" s="7"/>
      <c r="R678" s="6"/>
      <c r="S678" s="6"/>
      <c r="T678" s="6"/>
      <c r="U678" s="5"/>
      <c r="V678" s="6"/>
      <c r="W678" s="6"/>
      <c r="X678" s="6"/>
      <c r="Y678" s="15"/>
      <c r="Z678" s="6"/>
      <c r="AA678" s="6"/>
      <c r="AB678" s="5"/>
      <c r="AC678" s="3"/>
      <c r="AD678" s="6">
        <v>0</v>
      </c>
      <c r="AE678" s="6">
        <v>0.2079</v>
      </c>
      <c r="AF678" s="7">
        <v>76.22999999999999</v>
      </c>
      <c r="AG678" s="6">
        <v>0.0315</v>
      </c>
      <c r="AH678" s="7">
        <v>0</v>
      </c>
      <c r="AI678" s="15">
        <v>0.2394</v>
      </c>
      <c r="AJ678" s="6">
        <v>3.8</v>
      </c>
      <c r="AK678" s="3"/>
      <c r="AL678" s="6">
        <v>113.78692798392282</v>
      </c>
      <c r="AM678" s="6">
        <v>0</v>
      </c>
      <c r="AN678" s="6">
        <v>71.660523</v>
      </c>
      <c r="AO678" s="6">
        <v>7.40395498392283</v>
      </c>
      <c r="AP678" s="6">
        <v>34.72245</v>
      </c>
      <c r="AQ678" s="6">
        <v>0</v>
      </c>
      <c r="AR678" s="6">
        <v>0</v>
      </c>
      <c r="AS678" s="6">
        <v>0</v>
      </c>
      <c r="AT678" s="6">
        <v>0</v>
      </c>
      <c r="AU678" s="6">
        <v>0</v>
      </c>
      <c r="AV678" s="6">
        <v>0</v>
      </c>
      <c r="AW678" s="6">
        <v>0</v>
      </c>
      <c r="AX678" s="6">
        <v>0</v>
      </c>
      <c r="AY678" s="6">
        <v>0</v>
      </c>
      <c r="AZ678" s="6">
        <v>0</v>
      </c>
      <c r="BA678" s="6">
        <v>0</v>
      </c>
      <c r="BB678" s="6">
        <v>0</v>
      </c>
      <c r="BC678" s="6"/>
      <c r="BD678" s="3"/>
      <c r="BE678" s="3"/>
      <c r="BF678" s="7">
        <v>716.8576462987138</v>
      </c>
    </row>
    <row x14ac:dyDescent="0.25" r="679" customHeight="1" ht="12.75">
      <c r="A679" s="5" t="s">
        <v>302</v>
      </c>
      <c r="B679" s="3" t="s">
        <v>855</v>
      </c>
      <c r="C679" s="3" t="s">
        <v>870</v>
      </c>
      <c r="D679" s="3"/>
      <c r="E679" s="3"/>
      <c r="F679" s="6">
        <f>100*SUM(AM679:AO679)/AL679</f>
      </c>
      <c r="G679" s="6">
        <f>100*SUM(AP679)/AL679</f>
      </c>
      <c r="H679" s="6">
        <f>100*SUM(AQ679)/AL679</f>
      </c>
      <c r="I679" s="6">
        <f>100*SUM(AR679:BC679)/AL679</f>
      </c>
      <c r="J679" s="3"/>
      <c r="K679" s="6">
        <v>12.8</v>
      </c>
      <c r="L679" s="7">
        <v>1.6875</v>
      </c>
      <c r="M679" s="7">
        <v>5.95859375</v>
      </c>
      <c r="N679" s="5">
        <v>138</v>
      </c>
      <c r="O679" s="6">
        <v>0.8109375000000002</v>
      </c>
      <c r="P679" s="6">
        <v>1.38203125</v>
      </c>
      <c r="Q679" s="7"/>
      <c r="R679" s="6"/>
      <c r="S679" s="6"/>
      <c r="T679" s="6"/>
      <c r="U679" s="5"/>
      <c r="V679" s="6"/>
      <c r="W679" s="6"/>
      <c r="X679" s="6"/>
      <c r="Y679" s="15"/>
      <c r="Z679" s="6"/>
      <c r="AA679" s="6"/>
      <c r="AB679" s="5"/>
      <c r="AC679" s="3"/>
      <c r="AD679" s="6">
        <v>0.21600000000000003</v>
      </c>
      <c r="AE679" s="6">
        <v>0.7627000000000002</v>
      </c>
      <c r="AF679" s="7">
        <v>1766.4</v>
      </c>
      <c r="AG679" s="6">
        <v>0.10380000000000003</v>
      </c>
      <c r="AH679" s="7">
        <v>17.69</v>
      </c>
      <c r="AI679" s="15">
        <v>1.0825000000000002</v>
      </c>
      <c r="AJ679" s="6">
        <v>8.45703125</v>
      </c>
      <c r="AK679" s="3"/>
      <c r="AL679" s="6">
        <v>358.5808880824709</v>
      </c>
      <c r="AM679" s="6">
        <v>31.9942575</v>
      </c>
      <c r="AN679" s="6">
        <v>129.3927104453125</v>
      </c>
      <c r="AO679" s="6">
        <v>84.44180064308682</v>
      </c>
      <c r="AP679" s="6">
        <v>56.31547359375001</v>
      </c>
      <c r="AQ679" s="6">
        <v>56.43664590032155</v>
      </c>
      <c r="AR679" s="6">
        <v>0</v>
      </c>
      <c r="AS679" s="6">
        <v>0</v>
      </c>
      <c r="AT679" s="6">
        <v>0</v>
      </c>
      <c r="AU679" s="6">
        <v>0</v>
      </c>
      <c r="AV679" s="6">
        <v>0</v>
      </c>
      <c r="AW679" s="6">
        <v>0</v>
      </c>
      <c r="AX679" s="6">
        <v>0</v>
      </c>
      <c r="AY679" s="6">
        <v>0</v>
      </c>
      <c r="AZ679" s="6">
        <v>0</v>
      </c>
      <c r="BA679" s="6">
        <v>0</v>
      </c>
      <c r="BB679" s="6">
        <v>0</v>
      </c>
      <c r="BC679" s="6"/>
      <c r="BD679" s="3"/>
      <c r="BE679" s="3"/>
      <c r="BF679" s="7">
        <v>4589.835367455627</v>
      </c>
    </row>
    <row x14ac:dyDescent="0.25" r="680" customHeight="1" ht="12.75">
      <c r="A680" s="5" t="s">
        <v>413</v>
      </c>
      <c r="B680" s="3" t="s">
        <v>855</v>
      </c>
      <c r="C680" s="3" t="s">
        <v>870</v>
      </c>
      <c r="D680" s="3"/>
      <c r="E680" s="3"/>
      <c r="F680" s="6">
        <f>100*SUM(AM680:AO680)/AL680</f>
      </c>
      <c r="G680" s="6">
        <f>100*SUM(AP680)/AL680</f>
      </c>
      <c r="H680" s="6">
        <f>100*SUM(AQ680)/AL680</f>
      </c>
      <c r="I680" s="6">
        <f>100*SUM(AR680:BC680)/AL680</f>
      </c>
      <c r="J680" s="3"/>
      <c r="K680" s="6">
        <v>17.8</v>
      </c>
      <c r="L680" s="6">
        <v>0.9671910112359551</v>
      </c>
      <c r="M680" s="6">
        <v>4.482696629213483</v>
      </c>
      <c r="N680" s="7">
        <v>11.852808988764046</v>
      </c>
      <c r="O680" s="7">
        <v>0.4464044943820225</v>
      </c>
      <c r="P680" s="7">
        <v>0.6265168539325842</v>
      </c>
      <c r="Q680" s="7"/>
      <c r="R680" s="6"/>
      <c r="S680" s="6"/>
      <c r="T680" s="6"/>
      <c r="U680" s="5"/>
      <c r="V680" s="6"/>
      <c r="W680" s="6"/>
      <c r="X680" s="6"/>
      <c r="Y680" s="15"/>
      <c r="Z680" s="6"/>
      <c r="AA680" s="6"/>
      <c r="AB680" s="5"/>
      <c r="AC680" s="3"/>
      <c r="AD680" s="6">
        <v>0.17216</v>
      </c>
      <c r="AE680" s="6">
        <v>0.79792</v>
      </c>
      <c r="AF680" s="7">
        <v>210.98000000000002</v>
      </c>
      <c r="AG680" s="6">
        <v>0.07946</v>
      </c>
      <c r="AH680" s="7">
        <v>11.152</v>
      </c>
      <c r="AI680" s="15">
        <v>1.04954</v>
      </c>
      <c r="AJ680" s="6">
        <v>5.8962921348314605</v>
      </c>
      <c r="AK680" s="3"/>
      <c r="AL680" s="6">
        <v>179.5183282450016</v>
      </c>
      <c r="AM680" s="6">
        <v>18.337516008988764</v>
      </c>
      <c r="AN680" s="6">
        <v>97.34314693932583</v>
      </c>
      <c r="AO680" s="6">
        <v>7.252699519491313</v>
      </c>
      <c r="AP680" s="6">
        <v>31.000515471910116</v>
      </c>
      <c r="AQ680" s="6">
        <v>25.58445030528559</v>
      </c>
      <c r="AR680" s="6">
        <v>0</v>
      </c>
      <c r="AS680" s="6">
        <v>0</v>
      </c>
      <c r="AT680" s="6">
        <v>0</v>
      </c>
      <c r="AU680" s="6">
        <v>0</v>
      </c>
      <c r="AV680" s="6">
        <v>0</v>
      </c>
      <c r="AW680" s="6">
        <v>0</v>
      </c>
      <c r="AX680" s="6">
        <v>0</v>
      </c>
      <c r="AY680" s="6">
        <v>0</v>
      </c>
      <c r="AZ680" s="6">
        <v>0</v>
      </c>
      <c r="BA680" s="6">
        <v>0</v>
      </c>
      <c r="BB680" s="6">
        <v>0</v>
      </c>
      <c r="BC680" s="6"/>
      <c r="BD680" s="3"/>
      <c r="BE680" s="3"/>
      <c r="BF680" s="7">
        <v>3195.426242761029</v>
      </c>
    </row>
    <row x14ac:dyDescent="0.25" r="681" customHeight="1" ht="12.75">
      <c r="A681" s="5" t="s">
        <v>182</v>
      </c>
      <c r="B681" s="3" t="s">
        <v>855</v>
      </c>
      <c r="C681" s="3" t="s">
        <v>870</v>
      </c>
      <c r="D681" s="3"/>
      <c r="E681" s="3"/>
      <c r="F681" s="6">
        <f>100*SUM(AM681:AO681)/AL681</f>
      </c>
      <c r="G681" s="6">
        <f>100*SUM(AP681)/AL681</f>
      </c>
      <c r="H681" s="6">
        <f>100*SUM(AQ681)/AL681</f>
      </c>
      <c r="I681" s="6">
        <f>100*SUM(AR681:BC681)/AL681</f>
      </c>
      <c r="J681" s="3"/>
      <c r="K681" s="6">
        <v>5.16</v>
      </c>
      <c r="L681" s="6">
        <v>3.3477131782945735</v>
      </c>
      <c r="M681" s="6">
        <v>8.501162790697673</v>
      </c>
      <c r="N681" s="7">
        <v>74.84341085271318</v>
      </c>
      <c r="O681" s="6">
        <v>1.1154263565891473</v>
      </c>
      <c r="P681" s="7">
        <v>1.5158914728682171</v>
      </c>
      <c r="Q681" s="7"/>
      <c r="R681" s="6"/>
      <c r="S681" s="6"/>
      <c r="T681" s="6"/>
      <c r="U681" s="5"/>
      <c r="V681" s="6"/>
      <c r="W681" s="6"/>
      <c r="X681" s="6"/>
      <c r="Y681" s="15"/>
      <c r="Z681" s="6"/>
      <c r="AA681" s="6"/>
      <c r="AB681" s="5"/>
      <c r="AC681" s="3"/>
      <c r="AD681" s="6">
        <v>0.172742</v>
      </c>
      <c r="AE681" s="6">
        <v>0.43866</v>
      </c>
      <c r="AF681" s="7">
        <v>386.192</v>
      </c>
      <c r="AG681" s="6">
        <v>0.057556</v>
      </c>
      <c r="AH681" s="7">
        <v>7.822000000000001</v>
      </c>
      <c r="AI681" s="15">
        <v>0.668958</v>
      </c>
      <c r="AJ681" s="6">
        <v>12.964302325581393</v>
      </c>
      <c r="AK681" s="3"/>
      <c r="AL681" s="6">
        <v>433.23665621299887</v>
      </c>
      <c r="AM681" s="6">
        <v>63.471168866666666</v>
      </c>
      <c r="AN681" s="6">
        <v>184.6053853604651</v>
      </c>
      <c r="AO681" s="6">
        <v>45.79646651212643</v>
      </c>
      <c r="AP681" s="6">
        <v>77.46067179069767</v>
      </c>
      <c r="AQ681" s="6">
        <v>61.902963683042955</v>
      </c>
      <c r="AR681" s="6">
        <v>0</v>
      </c>
      <c r="AS681" s="6">
        <v>0</v>
      </c>
      <c r="AT681" s="6">
        <v>0</v>
      </c>
      <c r="AU681" s="6">
        <v>0</v>
      </c>
      <c r="AV681" s="6">
        <v>0</v>
      </c>
      <c r="AW681" s="6">
        <v>0</v>
      </c>
      <c r="AX681" s="6">
        <v>0</v>
      </c>
      <c r="AY681" s="6">
        <v>0</v>
      </c>
      <c r="AZ681" s="6">
        <v>0</v>
      </c>
      <c r="BA681" s="6">
        <v>0</v>
      </c>
      <c r="BB681" s="6">
        <v>0</v>
      </c>
      <c r="BC681" s="6"/>
      <c r="BD681" s="3"/>
      <c r="BE681" s="3"/>
      <c r="BF681" s="7">
        <v>2235.501146059074</v>
      </c>
    </row>
    <row x14ac:dyDescent="0.25" r="682" customHeight="1" ht="12.75">
      <c r="A682" s="5" t="s">
        <v>107</v>
      </c>
      <c r="B682" s="3" t="s">
        <v>855</v>
      </c>
      <c r="C682" s="3" t="s">
        <v>870</v>
      </c>
      <c r="D682" s="3"/>
      <c r="E682" s="3"/>
      <c r="F682" s="6">
        <f>100*SUM(AM682:AO682)/AL682</f>
      </c>
      <c r="G682" s="6">
        <f>100*SUM(AP682)/AL682</f>
      </c>
      <c r="H682" s="6">
        <f>100*SUM(AQ682)/AL682</f>
      </c>
      <c r="I682" s="6">
        <f>100*SUM(AR682:BC682)/AL682</f>
      </c>
      <c r="J682" s="3"/>
      <c r="K682" s="6">
        <v>14.2</v>
      </c>
      <c r="L682" s="7">
        <v>1.3915492957746478</v>
      </c>
      <c r="M682" s="7">
        <v>12.830985915492958</v>
      </c>
      <c r="N682" s="31">
        <v>73</v>
      </c>
      <c r="O682" s="7">
        <v>2.323943661971831</v>
      </c>
      <c r="P682" s="6">
        <v>0.1825352112676056</v>
      </c>
      <c r="Q682" s="7"/>
      <c r="R682" s="6"/>
      <c r="S682" s="6"/>
      <c r="T682" s="6"/>
      <c r="U682" s="5"/>
      <c r="V682" s="6"/>
      <c r="W682" s="6"/>
      <c r="X682" s="6"/>
      <c r="Y682" s="15"/>
      <c r="Z682" s="6"/>
      <c r="AA682" s="6"/>
      <c r="AB682" s="5"/>
      <c r="AC682" s="3"/>
      <c r="AD682" s="6">
        <v>0.19759999999999997</v>
      </c>
      <c r="AE682" s="6">
        <v>1.8219999999999998</v>
      </c>
      <c r="AF682" s="7">
        <v>1036.6</v>
      </c>
      <c r="AG682" s="6">
        <v>0.33</v>
      </c>
      <c r="AH682" s="7">
        <v>2.5919999999999996</v>
      </c>
      <c r="AI682" s="15">
        <v>2.3495999999999997</v>
      </c>
      <c r="AJ682" s="6">
        <v>16.546478873239437</v>
      </c>
      <c r="AK682" s="3"/>
      <c r="AL682" s="6">
        <v>518.5205333190524</v>
      </c>
      <c r="AM682" s="6">
        <v>26.38316236619718</v>
      </c>
      <c r="AN682" s="6">
        <v>278.62883676056333</v>
      </c>
      <c r="AO682" s="6">
        <v>44.66848874598071</v>
      </c>
      <c r="AP682" s="6">
        <v>161.3860352112676</v>
      </c>
      <c r="AQ682" s="6">
        <v>7.454010235043702</v>
      </c>
      <c r="AR682" s="6">
        <v>0</v>
      </c>
      <c r="AS682" s="6">
        <v>0</v>
      </c>
      <c r="AT682" s="6">
        <v>0</v>
      </c>
      <c r="AU682" s="6">
        <v>0</v>
      </c>
      <c r="AV682" s="6">
        <v>0</v>
      </c>
      <c r="AW682" s="6">
        <v>0</v>
      </c>
      <c r="AX682" s="6">
        <v>0</v>
      </c>
      <c r="AY682" s="6">
        <v>0</v>
      </c>
      <c r="AZ682" s="6">
        <v>0</v>
      </c>
      <c r="BA682" s="6">
        <v>0</v>
      </c>
      <c r="BB682" s="6">
        <v>0</v>
      </c>
      <c r="BC682" s="6"/>
      <c r="BD682" s="3"/>
      <c r="BE682" s="3"/>
      <c r="BF682" s="7">
        <v>7362.991573130545</v>
      </c>
    </row>
    <row x14ac:dyDescent="0.25" r="683" customHeight="1" ht="12.75">
      <c r="A683" s="5" t="s">
        <v>601</v>
      </c>
      <c r="B683" s="3" t="s">
        <v>855</v>
      </c>
      <c r="C683" s="3" t="s">
        <v>870</v>
      </c>
      <c r="D683" s="3"/>
      <c r="E683" s="3"/>
      <c r="F683" s="6">
        <f>100*SUM(AM683:AO683)/AL683</f>
      </c>
      <c r="G683" s="6">
        <f>100*SUM(AP683)/AL683</f>
      </c>
      <c r="H683" s="6">
        <f>100*SUM(AQ683)/AL683</f>
      </c>
      <c r="I683" s="6">
        <f>100*SUM(AR683:BC683)/AL683</f>
      </c>
      <c r="J683" s="3"/>
      <c r="K683" s="23">
        <v>6.890320000000001</v>
      </c>
      <c r="L683" s="6">
        <v>0.997473557106201</v>
      </c>
      <c r="M683" s="6">
        <v>4.53696751384551</v>
      </c>
      <c r="N683" s="7">
        <v>25.848259587363138</v>
      </c>
      <c r="O683" s="6">
        <v>0.9306557605452286</v>
      </c>
      <c r="P683" s="6">
        <v>0.03519720419370943</v>
      </c>
      <c r="Q683" s="7"/>
      <c r="R683" s="6"/>
      <c r="S683" s="6"/>
      <c r="T683" s="6"/>
      <c r="U683" s="5"/>
      <c r="V683" s="6"/>
      <c r="W683" s="6"/>
      <c r="X683" s="6"/>
      <c r="Y683" s="15"/>
      <c r="Z683" s="6"/>
      <c r="AA683" s="6"/>
      <c r="AB683" s="23">
        <v>0.010254599641235821</v>
      </c>
      <c r="AC683" s="3" t="s">
        <v>932</v>
      </c>
      <c r="AD683" s="6">
        <v>0.06872911999999999</v>
      </c>
      <c r="AE683" s="6">
        <v>0.31261158</v>
      </c>
      <c r="AF683" s="7">
        <v>178.10278</v>
      </c>
      <c r="AG683" s="6">
        <v>0.06412516</v>
      </c>
      <c r="AH683" s="7">
        <v>0.24252</v>
      </c>
      <c r="AI683" s="15">
        <v>0.44546586</v>
      </c>
      <c r="AJ683" s="6">
        <v>6.46509683149694</v>
      </c>
      <c r="AK683" s="3"/>
      <c r="AL683" s="6">
        <v>199.51533995860188</v>
      </c>
      <c r="AM683" s="6">
        <v>18.911659754368443</v>
      </c>
      <c r="AN683" s="6">
        <v>98.52165602308455</v>
      </c>
      <c r="AO683" s="6">
        <v>15.816475239470115</v>
      </c>
      <c r="AP683" s="6">
        <v>64.62929622548734</v>
      </c>
      <c r="AQ683" s="6">
        <v>1.4373134831514784</v>
      </c>
      <c r="AR683" s="6">
        <v>0</v>
      </c>
      <c r="AS683" s="6">
        <v>0</v>
      </c>
      <c r="AT683" s="6">
        <v>0</v>
      </c>
      <c r="AU683" s="6">
        <v>0</v>
      </c>
      <c r="AV683" s="6">
        <v>0</v>
      </c>
      <c r="AW683" s="6">
        <v>0</v>
      </c>
      <c r="AX683" s="6">
        <v>0</v>
      </c>
      <c r="AY683" s="6">
        <v>0</v>
      </c>
      <c r="AZ683" s="6">
        <v>0</v>
      </c>
      <c r="BA683" s="6">
        <v>0</v>
      </c>
      <c r="BB683" s="6">
        <v>0</v>
      </c>
      <c r="BC683" s="6">
        <v>0.19893923303997493</v>
      </c>
      <c r="BD683" s="3" t="s">
        <v>933</v>
      </c>
      <c r="BE683" s="3"/>
      <c r="BF683" s="7">
        <v>1374.7245372235539</v>
      </c>
    </row>
    <row x14ac:dyDescent="0.25" r="684" customHeight="1" ht="12.75">
      <c r="A684" s="5" t="s">
        <v>704</v>
      </c>
      <c r="B684" s="3" t="s">
        <v>855</v>
      </c>
      <c r="C684" s="3" t="s">
        <v>870</v>
      </c>
      <c r="D684" s="3"/>
      <c r="E684" s="3"/>
      <c r="F684" s="6">
        <f>100*SUM(AM684:AO684)/AL684</f>
      </c>
      <c r="G684" s="6">
        <f>100*SUM(AP684)/AL684</f>
      </c>
      <c r="H684" s="6">
        <f>100*SUM(AQ684)/AL684</f>
      </c>
      <c r="I684" s="6">
        <f>100*SUM(AR684:BC684)/AL684</f>
      </c>
      <c r="J684" s="3"/>
      <c r="K684" s="6">
        <v>3.79</v>
      </c>
      <c r="L684" s="6">
        <v>0.8723482849604222</v>
      </c>
      <c r="M684" s="6">
        <v>3.85778364116095</v>
      </c>
      <c r="N684" s="7">
        <v>42.37337730870713</v>
      </c>
      <c r="O684" s="6">
        <v>0.4241688654353562</v>
      </c>
      <c r="P684" s="6">
        <v>0.8301583113456464</v>
      </c>
      <c r="Q684" s="7"/>
      <c r="R684" s="6"/>
      <c r="S684" s="6"/>
      <c r="T684" s="6"/>
      <c r="U684" s="5"/>
      <c r="V684" s="6"/>
      <c r="W684" s="6"/>
      <c r="X684" s="6"/>
      <c r="Y684" s="15"/>
      <c r="Z684" s="6"/>
      <c r="AA684" s="6"/>
      <c r="AB684" s="5"/>
      <c r="AC684" s="3"/>
      <c r="AD684" s="6">
        <v>0.033062</v>
      </c>
      <c r="AE684" s="6">
        <v>0.14621</v>
      </c>
      <c r="AF684" s="7">
        <v>160.5951</v>
      </c>
      <c r="AG684" s="6">
        <v>0.016076</v>
      </c>
      <c r="AH684" s="7">
        <v>3.1463</v>
      </c>
      <c r="AI684" s="15">
        <v>0.19534800000000002</v>
      </c>
      <c r="AJ684" s="6">
        <v>5.154300791556729</v>
      </c>
      <c r="AK684" s="3"/>
      <c r="AL684" s="6">
        <v>189.59717420427936</v>
      </c>
      <c r="AM684" s="6">
        <v>16.53933964960422</v>
      </c>
      <c r="AN684" s="6">
        <v>83.77296768073879</v>
      </c>
      <c r="AO684" s="6">
        <v>25.928146951276425</v>
      </c>
      <c r="AP684" s="6">
        <v>29.456364443271767</v>
      </c>
      <c r="AQ684" s="6">
        <v>33.90035547938814</v>
      </c>
      <c r="AR684" s="6">
        <v>0</v>
      </c>
      <c r="AS684" s="6">
        <v>0</v>
      </c>
      <c r="AT684" s="6">
        <v>0</v>
      </c>
      <c r="AU684" s="6">
        <v>0</v>
      </c>
      <c r="AV684" s="6">
        <v>0</v>
      </c>
      <c r="AW684" s="6">
        <v>0</v>
      </c>
      <c r="AX684" s="6">
        <v>0</v>
      </c>
      <c r="AY684" s="6">
        <v>0</v>
      </c>
      <c r="AZ684" s="6">
        <v>0</v>
      </c>
      <c r="BA684" s="6">
        <v>0</v>
      </c>
      <c r="BB684" s="6">
        <v>0</v>
      </c>
      <c r="BC684" s="6"/>
      <c r="BD684" s="3"/>
      <c r="BE684" s="3"/>
      <c r="BF684" s="7">
        <v>718.5732902342188</v>
      </c>
    </row>
    <row x14ac:dyDescent="0.25" r="685" customHeight="1" ht="12.75">
      <c r="A685" s="5" t="s">
        <v>686</v>
      </c>
      <c r="B685" s="3" t="s">
        <v>855</v>
      </c>
      <c r="C685" s="3" t="s">
        <v>870</v>
      </c>
      <c r="D685" s="3"/>
      <c r="E685" s="3"/>
      <c r="F685" s="6">
        <f>100*SUM(AM685:AO685)/AL685</f>
      </c>
      <c r="G685" s="6">
        <f>100*SUM(AP685)/AL685</f>
      </c>
      <c r="H685" s="6">
        <f>100*SUM(AQ685)/AL685</f>
      </c>
      <c r="I685" s="6">
        <f>100*SUM(AR685:BC685)/AL685</f>
      </c>
      <c r="J685" s="3"/>
      <c r="K685" s="6">
        <v>0.895</v>
      </c>
      <c r="L685" s="7">
        <v>0.7257206703910616</v>
      </c>
      <c r="M685" s="7">
        <v>3.9948603351955314</v>
      </c>
      <c r="N685" s="7">
        <v>11.315083798882682</v>
      </c>
      <c r="O685" s="7">
        <v>0.7974301675977653</v>
      </c>
      <c r="P685" s="6"/>
      <c r="Q685" s="7"/>
      <c r="R685" s="6"/>
      <c r="S685" s="6"/>
      <c r="T685" s="6"/>
      <c r="U685" s="5"/>
      <c r="V685" s="6"/>
      <c r="W685" s="6"/>
      <c r="X685" s="6"/>
      <c r="Y685" s="15"/>
      <c r="Z685" s="6"/>
      <c r="AA685" s="6"/>
      <c r="AB685" s="5"/>
      <c r="AC685" s="3"/>
      <c r="AD685" s="6">
        <v>0.006495200000000001</v>
      </c>
      <c r="AE685" s="6">
        <v>0.03575400000000001</v>
      </c>
      <c r="AF685" s="7">
        <v>10.127</v>
      </c>
      <c r="AG685" s="6">
        <v>0.007137</v>
      </c>
      <c r="AH685" s="7">
        <v>0</v>
      </c>
      <c r="AI685" s="15">
        <v>0.049386200000000005</v>
      </c>
      <c r="AJ685" s="6">
        <v>5.518011173184358</v>
      </c>
      <c r="AK685" s="3"/>
      <c r="AL685" s="6">
        <v>162.81010045672528</v>
      </c>
      <c r="AM685" s="6">
        <v>13.759344593519556</v>
      </c>
      <c r="AN685" s="6">
        <v>86.74963058547486</v>
      </c>
      <c r="AO685" s="6">
        <v>6.92366703192082</v>
      </c>
      <c r="AP685" s="6">
        <v>55.377458245810054</v>
      </c>
      <c r="AQ685" s="6">
        <v>0</v>
      </c>
      <c r="AR685" s="6">
        <v>0</v>
      </c>
      <c r="AS685" s="6">
        <v>0</v>
      </c>
      <c r="AT685" s="6">
        <v>0</v>
      </c>
      <c r="AU685" s="6">
        <v>0</v>
      </c>
      <c r="AV685" s="6">
        <v>0</v>
      </c>
      <c r="AW685" s="6">
        <v>0</v>
      </c>
      <c r="AX685" s="6">
        <v>0</v>
      </c>
      <c r="AY685" s="6">
        <v>0</v>
      </c>
      <c r="AZ685" s="6">
        <v>0</v>
      </c>
      <c r="BA685" s="6">
        <v>0</v>
      </c>
      <c r="BB685" s="6">
        <v>0</v>
      </c>
      <c r="BC685" s="6"/>
      <c r="BD685" s="3"/>
      <c r="BE685" s="3"/>
      <c r="BF685" s="7">
        <v>145.71503990876914</v>
      </c>
    </row>
    <row x14ac:dyDescent="0.25" r="686" customHeight="1" ht="12.75">
      <c r="A686" s="5" t="s">
        <v>330</v>
      </c>
      <c r="B686" s="3" t="s">
        <v>855</v>
      </c>
      <c r="C686" s="3" t="s">
        <v>870</v>
      </c>
      <c r="D686" s="3"/>
      <c r="E686" s="3"/>
      <c r="F686" s="6">
        <f>100*SUM(AM686:AO686)/AL686</f>
      </c>
      <c r="G686" s="6">
        <f>100*SUM(AP686)/AL686</f>
      </c>
      <c r="H686" s="6">
        <f>100*SUM(AQ686)/AL686</f>
      </c>
      <c r="I686" s="6">
        <f>100*SUM(AR686:BC686)/AL686</f>
      </c>
      <c r="J686" s="3"/>
      <c r="K686" s="6">
        <v>5.880000000000001</v>
      </c>
      <c r="L686" s="6"/>
      <c r="M686" s="6">
        <v>8.86938775510204</v>
      </c>
      <c r="N686" s="7">
        <v>34.184013605442175</v>
      </c>
      <c r="O686" s="6">
        <v>1.215204081632653</v>
      </c>
      <c r="P686" s="7">
        <v>0.7062585034013604</v>
      </c>
      <c r="Q686" s="7"/>
      <c r="R686" s="6"/>
      <c r="S686" s="6"/>
      <c r="T686" s="6"/>
      <c r="U686" s="5"/>
      <c r="V686" s="6"/>
      <c r="W686" s="6"/>
      <c r="X686" s="6"/>
      <c r="Y686" s="15"/>
      <c r="Z686" s="6"/>
      <c r="AA686" s="6"/>
      <c r="AB686" s="5"/>
      <c r="AC686" s="3"/>
      <c r="AD686" s="6">
        <v>0</v>
      </c>
      <c r="AE686" s="6">
        <v>0.52152</v>
      </c>
      <c r="AF686" s="7">
        <v>201.002</v>
      </c>
      <c r="AG686" s="6">
        <v>0.071454</v>
      </c>
      <c r="AH686" s="7">
        <v>4.1528</v>
      </c>
      <c r="AI686" s="15">
        <v>0.592974</v>
      </c>
      <c r="AJ686" s="6">
        <v>10.084591836734692</v>
      </c>
      <c r="AK686" s="3"/>
      <c r="AL686" s="6">
        <v>326.7491108697967</v>
      </c>
      <c r="AM686" s="6">
        <v>0</v>
      </c>
      <c r="AN686" s="6">
        <v>192.60150461224484</v>
      </c>
      <c r="AO686" s="6">
        <v>20.917099000371856</v>
      </c>
      <c r="AP686" s="6">
        <v>84.38972592857142</v>
      </c>
      <c r="AQ686" s="6">
        <v>28.84078132860861</v>
      </c>
      <c r="AR686" s="6">
        <v>0</v>
      </c>
      <c r="AS686" s="6">
        <v>0</v>
      </c>
      <c r="AT686" s="6">
        <v>0</v>
      </c>
      <c r="AU686" s="6">
        <v>0</v>
      </c>
      <c r="AV686" s="6">
        <v>0</v>
      </c>
      <c r="AW686" s="6">
        <v>0</v>
      </c>
      <c r="AX686" s="6">
        <v>0</v>
      </c>
      <c r="AY686" s="6">
        <v>0</v>
      </c>
      <c r="AZ686" s="6">
        <v>0</v>
      </c>
      <c r="BA686" s="6">
        <v>0</v>
      </c>
      <c r="BB686" s="6">
        <v>0</v>
      </c>
      <c r="BC686" s="6"/>
      <c r="BD686" s="3"/>
      <c r="BE686" s="3"/>
      <c r="BF686" s="7">
        <v>1921.284771914405</v>
      </c>
    </row>
    <row x14ac:dyDescent="0.25" r="687" customHeight="1" ht="12.75">
      <c r="A687" s="5" t="s">
        <v>370</v>
      </c>
      <c r="B687" s="3" t="s">
        <v>855</v>
      </c>
      <c r="C687" s="3" t="s">
        <v>870</v>
      </c>
      <c r="D687" s="3"/>
      <c r="E687" s="3"/>
      <c r="F687" s="6">
        <f>100*SUM(AM687:AO687)/AL687</f>
      </c>
      <c r="G687" s="6">
        <f>100*SUM(AP687)/AL687</f>
      </c>
      <c r="H687" s="6">
        <f>100*SUM(AQ687)/AL687</f>
      </c>
      <c r="I687" s="6">
        <f>100*SUM(AR687:BC687)/AL687</f>
      </c>
      <c r="J687" s="3"/>
      <c r="K687" s="6">
        <v>0.6800000000000002</v>
      </c>
      <c r="L687" s="7">
        <v>2.45</v>
      </c>
      <c r="M687" s="7">
        <v>4.935294117647058</v>
      </c>
      <c r="N687" s="31">
        <v>78.99999999999999</v>
      </c>
      <c r="O687" s="7">
        <v>1.2058823529411762</v>
      </c>
      <c r="P687" s="7">
        <v>0.688235294117647</v>
      </c>
      <c r="Q687" s="7"/>
      <c r="R687" s="6"/>
      <c r="S687" s="6"/>
      <c r="T687" s="6"/>
      <c r="U687" s="5"/>
      <c r="V687" s="6"/>
      <c r="W687" s="6"/>
      <c r="X687" s="6"/>
      <c r="Y687" s="15"/>
      <c r="Z687" s="6"/>
      <c r="AA687" s="6"/>
      <c r="AB687" s="5"/>
      <c r="AC687" s="3"/>
      <c r="AD687" s="6">
        <v>0.016660000000000005</v>
      </c>
      <c r="AE687" s="6">
        <v>0.033560000000000006</v>
      </c>
      <c r="AF687" s="7">
        <v>53.720000000000006</v>
      </c>
      <c r="AG687" s="6">
        <v>0.008199999999999999</v>
      </c>
      <c r="AH687" s="7">
        <v>0.468</v>
      </c>
      <c r="AI687" s="15">
        <v>0.058420000000000014</v>
      </c>
      <c r="AJ687" s="6">
        <v>8.591176470588234</v>
      </c>
      <c r="AK687" s="3"/>
      <c r="AL687" s="6">
        <v>313.80939982277283</v>
      </c>
      <c r="AM687" s="6">
        <v>46.450922</v>
      </c>
      <c r="AN687" s="6">
        <v>107.17144170588233</v>
      </c>
      <c r="AO687" s="6">
        <v>48.33987138263665</v>
      </c>
      <c r="AP687" s="6">
        <v>83.74237941176469</v>
      </c>
      <c r="AQ687" s="6">
        <v>28.104785322489118</v>
      </c>
      <c r="AR687" s="6">
        <v>0</v>
      </c>
      <c r="AS687" s="6">
        <v>0</v>
      </c>
      <c r="AT687" s="6">
        <v>0</v>
      </c>
      <c r="AU687" s="6">
        <v>0</v>
      </c>
      <c r="AV687" s="6">
        <v>0</v>
      </c>
      <c r="AW687" s="6">
        <v>0</v>
      </c>
      <c r="AX687" s="6">
        <v>0</v>
      </c>
      <c r="AY687" s="6">
        <v>0</v>
      </c>
      <c r="AZ687" s="6">
        <v>0</v>
      </c>
      <c r="BA687" s="6">
        <v>0</v>
      </c>
      <c r="BB687" s="6">
        <v>0</v>
      </c>
      <c r="BC687" s="6"/>
      <c r="BD687" s="3"/>
      <c r="BE687" s="3"/>
      <c r="BF687" s="7">
        <v>213.39039187948558</v>
      </c>
    </row>
    <row x14ac:dyDescent="0.25" r="688" customHeight="1" ht="12.75">
      <c r="A688" s="5" t="s">
        <v>186</v>
      </c>
      <c r="B688" s="3" t="s">
        <v>855</v>
      </c>
      <c r="C688" s="3" t="s">
        <v>870</v>
      </c>
      <c r="D688" s="3"/>
      <c r="E688" s="3"/>
      <c r="F688" s="6">
        <f>100*SUM(AM688:AO688)/AL688</f>
      </c>
      <c r="G688" s="6">
        <f>100*SUM(AP688)/AL688</f>
      </c>
      <c r="H688" s="6">
        <f>100*SUM(AQ688)/AL688</f>
      </c>
      <c r="I688" s="6">
        <f>100*SUM(AR688:BC688)/AL688</f>
      </c>
      <c r="J688" s="3"/>
      <c r="K688" s="6">
        <v>2.771</v>
      </c>
      <c r="L688" s="6"/>
      <c r="M688" s="6">
        <v>9.6</v>
      </c>
      <c r="N688" s="5">
        <v>139</v>
      </c>
      <c r="O688" s="6">
        <v>1.9</v>
      </c>
      <c r="P688" s="6">
        <v>0.8</v>
      </c>
      <c r="Q688" s="7"/>
      <c r="R688" s="6"/>
      <c r="S688" s="6"/>
      <c r="T688" s="6"/>
      <c r="U688" s="5"/>
      <c r="V688" s="6"/>
      <c r="W688" s="6"/>
      <c r="X688" s="6"/>
      <c r="Y688" s="15"/>
      <c r="Z688" s="6"/>
      <c r="AA688" s="6"/>
      <c r="AB688" s="5"/>
      <c r="AC688" s="3"/>
      <c r="AD688" s="6">
        <v>0</v>
      </c>
      <c r="AE688" s="6">
        <v>0.266016</v>
      </c>
      <c r="AF688" s="7">
        <v>385.169</v>
      </c>
      <c r="AG688" s="6">
        <v>0.052649</v>
      </c>
      <c r="AH688" s="7">
        <v>2.2168</v>
      </c>
      <c r="AI688" s="15">
        <v>0.318665</v>
      </c>
      <c r="AJ688" s="6">
        <v>11.5</v>
      </c>
      <c r="AK688" s="3"/>
      <c r="AL688" s="6">
        <v>458.1347940385852</v>
      </c>
      <c r="AM688" s="6">
        <v>0</v>
      </c>
      <c r="AN688" s="6">
        <v>208.466976</v>
      </c>
      <c r="AO688" s="6">
        <v>85.05369774919615</v>
      </c>
      <c r="AP688" s="6">
        <v>131.94531</v>
      </c>
      <c r="AQ688" s="6">
        <v>32.66881028938907</v>
      </c>
      <c r="AR688" s="6">
        <v>0</v>
      </c>
      <c r="AS688" s="6">
        <v>0</v>
      </c>
      <c r="AT688" s="6">
        <v>0</v>
      </c>
      <c r="AU688" s="6">
        <v>0</v>
      </c>
      <c r="AV688" s="6">
        <v>0</v>
      </c>
      <c r="AW688" s="6">
        <v>0</v>
      </c>
      <c r="AX688" s="6">
        <v>0</v>
      </c>
      <c r="AY688" s="6">
        <v>0</v>
      </c>
      <c r="AZ688" s="6">
        <v>0</v>
      </c>
      <c r="BA688" s="6">
        <v>0</v>
      </c>
      <c r="BB688" s="6">
        <v>0</v>
      </c>
      <c r="BC688" s="6"/>
      <c r="BD688" s="3"/>
      <c r="BE688" s="3"/>
      <c r="BF688" s="7">
        <v>1269.4915142809195</v>
      </c>
    </row>
    <row x14ac:dyDescent="0.25" r="689" customHeight="1" ht="12.75">
      <c r="A689" s="5" t="s">
        <v>471</v>
      </c>
      <c r="B689" s="3" t="s">
        <v>855</v>
      </c>
      <c r="C689" s="3" t="s">
        <v>870</v>
      </c>
      <c r="D689" s="3"/>
      <c r="E689" s="3"/>
      <c r="F689" s="6">
        <f>100*SUM(AM689:AO689)/AL689</f>
      </c>
      <c r="G689" s="6">
        <f>100*SUM(AP689)/AL689</f>
      </c>
      <c r="H689" s="6">
        <f>100*SUM(AQ689)/AL689</f>
      </c>
      <c r="I689" s="6">
        <f>100*SUM(AR689:BC689)/AL689</f>
      </c>
      <c r="J689" s="3"/>
      <c r="K689" s="6">
        <v>20.705</v>
      </c>
      <c r="L689" s="6">
        <v>0.91153489495291</v>
      </c>
      <c r="M689" s="6">
        <v>2.4496170007244626</v>
      </c>
      <c r="N689" s="7">
        <v>38.4045158174354</v>
      </c>
      <c r="O689" s="6">
        <v>0.45292344844240523</v>
      </c>
      <c r="P689" s="6">
        <v>0.5447177010383965</v>
      </c>
      <c r="Q689" s="7"/>
      <c r="R689" s="6"/>
      <c r="S689" s="6"/>
      <c r="T689" s="6"/>
      <c r="U689" s="5"/>
      <c r="V689" s="6"/>
      <c r="W689" s="6"/>
      <c r="X689" s="6"/>
      <c r="Y689" s="15"/>
      <c r="Z689" s="6"/>
      <c r="AA689" s="6"/>
      <c r="AB689" s="5"/>
      <c r="AC689" s="3"/>
      <c r="AD689" s="6">
        <v>0.1887333</v>
      </c>
      <c r="AE689" s="6">
        <v>0.5071932</v>
      </c>
      <c r="AF689" s="7">
        <v>795.1655</v>
      </c>
      <c r="AG689" s="6">
        <v>0.0937778</v>
      </c>
      <c r="AH689" s="7">
        <v>11.278379999999997</v>
      </c>
      <c r="AI689" s="15">
        <v>0.7897043</v>
      </c>
      <c r="AJ689" s="6">
        <v>3.814075344119778</v>
      </c>
      <c r="AK689" s="3"/>
      <c r="AL689" s="6">
        <v>147.67342780553122</v>
      </c>
      <c r="AM689" s="6">
        <v>17.282300532953393</v>
      </c>
      <c r="AN689" s="6">
        <v>53.19419255200193</v>
      </c>
      <c r="AO689" s="6">
        <v>23.499612090218516</v>
      </c>
      <c r="AP689" s="6">
        <v>31.453223584737984</v>
      </c>
      <c r="AQ689" s="6">
        <v>22.244099045619404</v>
      </c>
      <c r="AR689" s="6">
        <v>0</v>
      </c>
      <c r="AS689" s="6">
        <v>0</v>
      </c>
      <c r="AT689" s="6">
        <v>0</v>
      </c>
      <c r="AU689" s="6">
        <v>0</v>
      </c>
      <c r="AV689" s="6">
        <v>0</v>
      </c>
      <c r="AW689" s="6">
        <v>0</v>
      </c>
      <c r="AX689" s="6">
        <v>0</v>
      </c>
      <c r="AY689" s="6">
        <v>0</v>
      </c>
      <c r="AZ689" s="6">
        <v>0</v>
      </c>
      <c r="BA689" s="6">
        <v>0</v>
      </c>
      <c r="BB689" s="6">
        <v>0</v>
      </c>
      <c r="BC689" s="6"/>
      <c r="BD689" s="3"/>
      <c r="BE689" s="3"/>
      <c r="BF689" s="7">
        <v>3057.5783227135234</v>
      </c>
    </row>
    <row x14ac:dyDescent="0.25" r="690" customHeight="1" ht="12.75">
      <c r="A690" s="5" t="s">
        <v>232</v>
      </c>
      <c r="B690" s="3" t="s">
        <v>855</v>
      </c>
      <c r="C690" s="3" t="s">
        <v>870</v>
      </c>
      <c r="D690" s="3"/>
      <c r="E690" s="3"/>
      <c r="F690" s="6">
        <f>100*SUM(AM690:AO690)/AL690</f>
      </c>
      <c r="G690" s="6">
        <f>100*SUM(AP690)/AL690</f>
      </c>
      <c r="H690" s="6">
        <f>100*SUM(AQ690)/AL690</f>
      </c>
      <c r="I690" s="6">
        <f>100*SUM(AR690:BC690)/AL690</f>
      </c>
      <c r="J690" s="3"/>
      <c r="K690" s="6">
        <v>7.68</v>
      </c>
      <c r="L690" s="7">
        <v>1.24296875</v>
      </c>
      <c r="M690" s="7">
        <v>7.061328125</v>
      </c>
      <c r="N690" s="31">
        <v>142.62890625</v>
      </c>
      <c r="O690" s="7">
        <v>0.5463541666666668</v>
      </c>
      <c r="P690" s="7">
        <v>2.791145833333333</v>
      </c>
      <c r="Q690" s="7"/>
      <c r="R690" s="6"/>
      <c r="S690" s="6"/>
      <c r="T690" s="6"/>
      <c r="U690" s="5"/>
      <c r="V690" s="6"/>
      <c r="W690" s="6"/>
      <c r="X690" s="6"/>
      <c r="Y690" s="15"/>
      <c r="Z690" s="6"/>
      <c r="AA690" s="6"/>
      <c r="AB690" s="5"/>
      <c r="AC690" s="3"/>
      <c r="AD690" s="6">
        <v>0.09545999999999999</v>
      </c>
      <c r="AE690" s="6">
        <v>0.5423100000000001</v>
      </c>
      <c r="AF690" s="7">
        <v>1095.3899999999999</v>
      </c>
      <c r="AG690" s="6">
        <v>0.041960000000000004</v>
      </c>
      <c r="AH690" s="7">
        <v>21.436</v>
      </c>
      <c r="AI690" s="15">
        <v>0.6797300000000001</v>
      </c>
      <c r="AJ690" s="6">
        <v>8.850651041666667</v>
      </c>
      <c r="AK690" s="3"/>
      <c r="AL690" s="6">
        <v>416.1000624394887</v>
      </c>
      <c r="AM690" s="6">
        <v>23.56614059375</v>
      </c>
      <c r="AN690" s="6">
        <v>153.33892924609376</v>
      </c>
      <c r="AO690" s="6">
        <v>87.27421498191319</v>
      </c>
      <c r="AP690" s="6">
        <v>37.94151046875</v>
      </c>
      <c r="AQ690" s="6">
        <v>113.97926714898178</v>
      </c>
      <c r="AR690" s="6">
        <v>0</v>
      </c>
      <c r="AS690" s="6">
        <v>0</v>
      </c>
      <c r="AT690" s="6">
        <v>0</v>
      </c>
      <c r="AU690" s="6">
        <v>0</v>
      </c>
      <c r="AV690" s="6">
        <v>0</v>
      </c>
      <c r="AW690" s="6">
        <v>0</v>
      </c>
      <c r="AX690" s="6">
        <v>0</v>
      </c>
      <c r="AY690" s="6">
        <v>0</v>
      </c>
      <c r="AZ690" s="6">
        <v>0</v>
      </c>
      <c r="BA690" s="6">
        <v>0</v>
      </c>
      <c r="BB690" s="6">
        <v>0</v>
      </c>
      <c r="BC690" s="6"/>
      <c r="BD690" s="3"/>
      <c r="BE690" s="3"/>
      <c r="BF690" s="7">
        <v>3195.648479535273</v>
      </c>
    </row>
    <row x14ac:dyDescent="0.25" r="691" customHeight="1" ht="12.75">
      <c r="A691" s="5" t="s">
        <v>828</v>
      </c>
      <c r="B691" s="3" t="s">
        <v>855</v>
      </c>
      <c r="C691" s="3" t="s">
        <v>870</v>
      </c>
      <c r="D691" s="3"/>
      <c r="E691" s="3"/>
      <c r="F691" s="6">
        <f>100*SUM(AM691:AO691)/AL691</f>
      </c>
      <c r="G691" s="6">
        <f>100*SUM(AP691)/AL691</f>
      </c>
      <c r="H691" s="6">
        <f>100*SUM(AQ691)/AL691</f>
      </c>
      <c r="I691" s="6">
        <f>100*SUM(AR691:BC691)/AL691</f>
      </c>
      <c r="J691" s="3"/>
      <c r="K691" s="23">
        <v>2.313918</v>
      </c>
      <c r="L691" s="6">
        <v>0.21</v>
      </c>
      <c r="M691" s="6">
        <v>0.88</v>
      </c>
      <c r="N691" s="6">
        <v>77.6</v>
      </c>
      <c r="O691" s="6">
        <v>0.21</v>
      </c>
      <c r="P691" s="6">
        <v>0.64</v>
      </c>
      <c r="Q691" s="7"/>
      <c r="R691" s="6"/>
      <c r="S691" s="6"/>
      <c r="T691" s="6"/>
      <c r="U691" s="5"/>
      <c r="V691" s="6"/>
      <c r="W691" s="6"/>
      <c r="X691" s="6"/>
      <c r="Y691" s="15"/>
      <c r="Z691" s="6"/>
      <c r="AA691" s="6"/>
      <c r="AB691" s="5"/>
      <c r="AC691" s="3"/>
      <c r="AD691" s="6">
        <v>0.0048592278</v>
      </c>
      <c r="AE691" s="6">
        <v>0.0203624784</v>
      </c>
      <c r="AF691" s="7">
        <v>179.5600368</v>
      </c>
      <c r="AG691" s="6">
        <v>0.0048592278</v>
      </c>
      <c r="AH691" s="7">
        <v>1.4809075200000001</v>
      </c>
      <c r="AI691" s="15">
        <v>0.030080934000000004</v>
      </c>
      <c r="AJ691" s="6">
        <v>1.3</v>
      </c>
      <c r="AK691" s="3"/>
      <c r="AL691" s="6">
        <v>111.29267306559487</v>
      </c>
      <c r="AM691" s="6">
        <v>3.9815075999999996</v>
      </c>
      <c r="AN691" s="6">
        <v>19.1094728</v>
      </c>
      <c r="AO691" s="6">
        <v>47.483215434083604</v>
      </c>
      <c r="AP691" s="6">
        <v>14.583428999999999</v>
      </c>
      <c r="AQ691" s="6">
        <v>26.135048231511256</v>
      </c>
      <c r="AR691" s="6">
        <v>0</v>
      </c>
      <c r="AS691" s="6">
        <v>0</v>
      </c>
      <c r="AT691" s="6">
        <v>0</v>
      </c>
      <c r="AU691" s="6">
        <v>0</v>
      </c>
      <c r="AV691" s="6">
        <v>0</v>
      </c>
      <c r="AW691" s="6">
        <v>0</v>
      </c>
      <c r="AX691" s="6">
        <v>0</v>
      </c>
      <c r="AY691" s="6">
        <v>0</v>
      </c>
      <c r="AZ691" s="6">
        <v>0</v>
      </c>
      <c r="BA691" s="6">
        <v>0</v>
      </c>
      <c r="BB691" s="6">
        <v>0</v>
      </c>
      <c r="BC691" s="6"/>
      <c r="BD691" s="3"/>
      <c r="BE691" s="3"/>
      <c r="BF691" s="7">
        <v>257.5221194745952</v>
      </c>
    </row>
    <row x14ac:dyDescent="0.25" r="692" customHeight="1" ht="12.75">
      <c r="A692" s="5" t="s">
        <v>553</v>
      </c>
      <c r="B692" s="3" t="s">
        <v>855</v>
      </c>
      <c r="C692" s="3" t="s">
        <v>870</v>
      </c>
      <c r="D692" s="3"/>
      <c r="E692" s="3"/>
      <c r="F692" s="6">
        <f>100*SUM(AM692:AO692)/AL692</f>
      </c>
      <c r="G692" s="6">
        <f>100*SUM(AP692)/AL692</f>
      </c>
      <c r="H692" s="6">
        <f>100*SUM(AQ692)/AL692</f>
      </c>
      <c r="I692" s="6">
        <f>100*SUM(AR692:BC692)/AL692</f>
      </c>
      <c r="J692" s="3"/>
      <c r="K692" s="6">
        <v>5.570208000000001</v>
      </c>
      <c r="L692" s="6">
        <v>0.3260586319218241</v>
      </c>
      <c r="M692" s="6">
        <v>5.604592833876221</v>
      </c>
      <c r="N692" s="7">
        <v>50.10653821185851</v>
      </c>
      <c r="O692" s="6">
        <v>0.5129641693811076</v>
      </c>
      <c r="P692" s="7">
        <v>1.371252204585538</v>
      </c>
      <c r="Q692" s="7"/>
      <c r="R692" s="6"/>
      <c r="S692" s="6"/>
      <c r="T692" s="6"/>
      <c r="U692" s="5"/>
      <c r="V692" s="6"/>
      <c r="W692" s="6"/>
      <c r="X692" s="6"/>
      <c r="Y692" s="15"/>
      <c r="Z692" s="6"/>
      <c r="AA692" s="6"/>
      <c r="AB692" s="5"/>
      <c r="AC692" s="3"/>
      <c r="AD692" s="6">
        <v>0.018162144</v>
      </c>
      <c r="AE692" s="6">
        <v>0.31218747840000005</v>
      </c>
      <c r="AF692" s="7">
        <v>279.10384000000005</v>
      </c>
      <c r="AG692" s="6">
        <v>0.028573171200000008</v>
      </c>
      <c r="AH692" s="7">
        <v>7.638160000000002</v>
      </c>
      <c r="AI692" s="15">
        <v>0.35892279360000007</v>
      </c>
      <c r="AJ692" s="6">
        <v>6.443615635179152</v>
      </c>
      <c r="AK692" s="3"/>
      <c r="AL692" s="6">
        <v>250.1666628452263</v>
      </c>
      <c r="AM692" s="6">
        <v>6.181928195439739</v>
      </c>
      <c r="AN692" s="6">
        <v>121.70547081140063</v>
      </c>
      <c r="AO692" s="6">
        <v>30.66004572899253</v>
      </c>
      <c r="AP692" s="6">
        <v>35.62274544625407</v>
      </c>
      <c r="AQ692" s="6">
        <v>55.99647266313933</v>
      </c>
      <c r="AR692" s="6">
        <v>0</v>
      </c>
      <c r="AS692" s="6">
        <v>0</v>
      </c>
      <c r="AT692" s="6">
        <v>0</v>
      </c>
      <c r="AU692" s="6">
        <v>0</v>
      </c>
      <c r="AV692" s="6">
        <v>0</v>
      </c>
      <c r="AW692" s="6">
        <v>0</v>
      </c>
      <c r="AX692" s="6">
        <v>0</v>
      </c>
      <c r="AY692" s="6">
        <v>0</v>
      </c>
      <c r="AZ692" s="6">
        <v>0</v>
      </c>
      <c r="BA692" s="6">
        <v>0</v>
      </c>
      <c r="BB692" s="6">
        <v>0</v>
      </c>
      <c r="BC692" s="6"/>
      <c r="BD692" s="3"/>
      <c r="BE692" s="3"/>
      <c r="BF692" s="7">
        <v>1393.4803467137826</v>
      </c>
    </row>
    <row x14ac:dyDescent="0.25" r="693" customHeight="1" ht="12.75">
      <c r="A693" s="5" t="s">
        <v>672</v>
      </c>
      <c r="B693" s="3" t="s">
        <v>855</v>
      </c>
      <c r="C693" s="3" t="s">
        <v>870</v>
      </c>
      <c r="D693" s="3"/>
      <c r="E693" s="3"/>
      <c r="F693" s="6">
        <f>100*SUM(AM693:AO693)/AL693</f>
      </c>
      <c r="G693" s="6">
        <f>100*SUM(AP693)/AL693</f>
      </c>
      <c r="H693" s="6">
        <f>100*SUM(AQ693)/AL693</f>
      </c>
      <c r="I693" s="6">
        <f>100*SUM(AR693:BC693)/AL693</f>
      </c>
      <c r="J693" s="3"/>
      <c r="K693" s="6">
        <v>6.619999999999999</v>
      </c>
      <c r="L693" s="7">
        <v>1.420392749244713</v>
      </c>
      <c r="M693" s="7">
        <v>2.4244712990936557</v>
      </c>
      <c r="N693" s="31">
        <v>69.14199395770393</v>
      </c>
      <c r="O693" s="7">
        <v>0.1959214501510574</v>
      </c>
      <c r="P693" s="7">
        <v>1.4836858006042297</v>
      </c>
      <c r="Q693" s="7"/>
      <c r="R693" s="6"/>
      <c r="S693" s="6"/>
      <c r="T693" s="6"/>
      <c r="U693" s="5"/>
      <c r="V693" s="6"/>
      <c r="W693" s="6"/>
      <c r="X693" s="6"/>
      <c r="Y693" s="15"/>
      <c r="Z693" s="6"/>
      <c r="AA693" s="6"/>
      <c r="AB693" s="5"/>
      <c r="AC693" s="3"/>
      <c r="AD693" s="6">
        <v>0.09402999999999999</v>
      </c>
      <c r="AE693" s="6">
        <v>0.16049999999999998</v>
      </c>
      <c r="AF693" s="7">
        <v>457.71999999999997</v>
      </c>
      <c r="AG693" s="6">
        <v>0.012969999999999999</v>
      </c>
      <c r="AH693" s="7">
        <v>9.822</v>
      </c>
      <c r="AI693" s="15">
        <v>0.26749999999999996</v>
      </c>
      <c r="AJ693" s="6">
        <v>4.040785498489426</v>
      </c>
      <c r="AK693" s="3"/>
      <c r="AL693" s="6">
        <v>196.07951136198406</v>
      </c>
      <c r="AM693" s="6">
        <v>26.930021552870087</v>
      </c>
      <c r="AN693" s="6">
        <v>52.64814584592145</v>
      </c>
      <c r="AO693" s="6">
        <v>42.30778601334747</v>
      </c>
      <c r="AP693" s="6">
        <v>13.605745513595167</v>
      </c>
      <c r="AQ693" s="6">
        <v>60.5878124362499</v>
      </c>
      <c r="AR693" s="6">
        <v>0</v>
      </c>
      <c r="AS693" s="6">
        <v>0</v>
      </c>
      <c r="AT693" s="6">
        <v>0</v>
      </c>
      <c r="AU693" s="6">
        <v>0</v>
      </c>
      <c r="AV693" s="6">
        <v>0</v>
      </c>
      <c r="AW693" s="6">
        <v>0</v>
      </c>
      <c r="AX693" s="6">
        <v>0</v>
      </c>
      <c r="AY693" s="6">
        <v>0</v>
      </c>
      <c r="AZ693" s="6">
        <v>0</v>
      </c>
      <c r="BA693" s="6">
        <v>0</v>
      </c>
      <c r="BB693" s="6">
        <v>0</v>
      </c>
      <c r="BC693" s="6"/>
      <c r="BD693" s="3"/>
      <c r="BE693" s="3"/>
      <c r="BF693" s="7">
        <v>1298.0463652163344</v>
      </c>
    </row>
    <row x14ac:dyDescent="0.25" r="694" customHeight="1" ht="12.75">
      <c r="A694" s="5" t="s">
        <v>509</v>
      </c>
      <c r="B694" s="3" t="s">
        <v>855</v>
      </c>
      <c r="C694" s="3" t="s">
        <v>870</v>
      </c>
      <c r="D694" s="3"/>
      <c r="E694" s="3"/>
      <c r="F694" s="6">
        <f>100*SUM(AM694:AO694)/AL694</f>
      </c>
      <c r="G694" s="6">
        <f>100*SUM(AP694)/AL694</f>
      </c>
      <c r="H694" s="6">
        <f>100*SUM(AQ694)/AL694</f>
      </c>
      <c r="I694" s="6">
        <f>100*SUM(AR694:BC694)/AL694</f>
      </c>
      <c r="J694" s="3"/>
      <c r="K694" s="6">
        <v>28.64</v>
      </c>
      <c r="L694" s="6">
        <v>0.6018470670391062</v>
      </c>
      <c r="M694" s="6">
        <v>1.4217737430167599</v>
      </c>
      <c r="N694" s="6">
        <v>5.369420391061452</v>
      </c>
      <c r="O694" s="6">
        <v>0.3569168994413408</v>
      </c>
      <c r="P694" s="6">
        <v>0.07399092178770951</v>
      </c>
      <c r="Q694" s="7"/>
      <c r="R694" s="6"/>
      <c r="S694" s="6"/>
      <c r="T694" s="6"/>
      <c r="U694" s="5"/>
      <c r="V694" s="6"/>
      <c r="W694" s="6"/>
      <c r="X694" s="6"/>
      <c r="Y694" s="15"/>
      <c r="Z694" s="6"/>
      <c r="AA694" s="6"/>
      <c r="AB694" s="5"/>
      <c r="AC694" s="3"/>
      <c r="AD694" s="6">
        <v>0.17236900000000002</v>
      </c>
      <c r="AE694" s="6">
        <v>0.407196</v>
      </c>
      <c r="AF694" s="7">
        <v>153.7802</v>
      </c>
      <c r="AG694" s="6">
        <v>0.102221</v>
      </c>
      <c r="AH694" s="7">
        <v>2.1191000000000004</v>
      </c>
      <c r="AI694" s="15">
        <v>0.681786</v>
      </c>
      <c r="AJ694" s="6">
        <v>2.380537709497207</v>
      </c>
      <c r="AK694" s="3"/>
      <c r="AL694" s="6">
        <v>73.37809858038473</v>
      </c>
      <c r="AM694" s="6">
        <v>11.410755578351955</v>
      </c>
      <c r="AN694" s="6">
        <v>30.874257579469276</v>
      </c>
      <c r="AO694" s="6">
        <v>3.285532798774902</v>
      </c>
      <c r="AP694" s="6">
        <v>24.786058390013967</v>
      </c>
      <c r="AQ694" s="6">
        <v>3.0214942337746327</v>
      </c>
      <c r="AR694" s="6">
        <v>0</v>
      </c>
      <c r="AS694" s="6">
        <v>0</v>
      </c>
      <c r="AT694" s="6">
        <v>0</v>
      </c>
      <c r="AU694" s="6">
        <v>0</v>
      </c>
      <c r="AV694" s="6">
        <v>0</v>
      </c>
      <c r="AW694" s="6">
        <v>0</v>
      </c>
      <c r="AX694" s="6">
        <v>0</v>
      </c>
      <c r="AY694" s="6">
        <v>0</v>
      </c>
      <c r="AZ694" s="6">
        <v>0</v>
      </c>
      <c r="BA694" s="6">
        <v>0</v>
      </c>
      <c r="BB694" s="6">
        <v>0</v>
      </c>
      <c r="BC694" s="6"/>
      <c r="BD694" s="3"/>
      <c r="BE694" s="3"/>
      <c r="BF694" s="7">
        <v>2101.5487433422186</v>
      </c>
    </row>
    <row x14ac:dyDescent="0.25" r="695" customHeight="1" ht="12.75">
      <c r="A695" s="5" t="s">
        <v>696</v>
      </c>
      <c r="B695" s="3" t="s">
        <v>855</v>
      </c>
      <c r="C695" s="3" t="s">
        <v>870</v>
      </c>
      <c r="D695" s="3"/>
      <c r="E695" s="3"/>
      <c r="F695" s="6">
        <f>100*SUM(AM695:AO695)/AL695</f>
      </c>
      <c r="G695" s="6">
        <f>100*SUM(AP695)/AL695</f>
      </c>
      <c r="H695" s="6">
        <f>100*SUM(AQ695)/AL695</f>
      </c>
      <c r="I695" s="6">
        <f>100*SUM(AR695:BC695)/AL695</f>
      </c>
      <c r="J695" s="3"/>
      <c r="K695" s="6">
        <v>2.2720000000000002</v>
      </c>
      <c r="L695" s="6">
        <v>0.3519322183098591</v>
      </c>
      <c r="M695" s="6">
        <v>4.164480633802817</v>
      </c>
      <c r="N695" s="7">
        <v>13.65376320422535</v>
      </c>
      <c r="O695" s="6">
        <v>0.9066241197183097</v>
      </c>
      <c r="P695" s="6">
        <v>0.12747359154929574</v>
      </c>
      <c r="Q695" s="7"/>
      <c r="R695" s="6"/>
      <c r="S695" s="6"/>
      <c r="T695" s="6"/>
      <c r="U695" s="5"/>
      <c r="V695" s="6"/>
      <c r="W695" s="6"/>
      <c r="X695" s="6"/>
      <c r="Y695" s="15"/>
      <c r="Z695" s="6"/>
      <c r="AA695" s="6"/>
      <c r="AB695" s="5"/>
      <c r="AC695" s="3"/>
      <c r="AD695" s="6">
        <v>0.007995899999999998</v>
      </c>
      <c r="AE695" s="6">
        <v>0.094617</v>
      </c>
      <c r="AF695" s="7">
        <v>31.021349999999998</v>
      </c>
      <c r="AG695" s="6">
        <v>0.0205985</v>
      </c>
      <c r="AH695" s="7">
        <v>0.28962</v>
      </c>
      <c r="AI695" s="15">
        <v>0.1232114</v>
      </c>
      <c r="AJ695" s="6">
        <v>5.423036971830985</v>
      </c>
      <c r="AK695" s="3"/>
      <c r="AL695" s="6">
        <v>173.6261007086358</v>
      </c>
      <c r="AM695" s="6">
        <v>6.672480008978872</v>
      </c>
      <c r="AN695" s="6">
        <v>90.43298795202465</v>
      </c>
      <c r="AO695" s="6">
        <v>8.354698192167474</v>
      </c>
      <c r="AP695" s="6">
        <v>62.96042133142605</v>
      </c>
      <c r="AQ695" s="6">
        <v>5.205513224038765</v>
      </c>
      <c r="AR695" s="6">
        <v>0</v>
      </c>
      <c r="AS695" s="6">
        <v>0</v>
      </c>
      <c r="AT695" s="6">
        <v>0</v>
      </c>
      <c r="AU695" s="6">
        <v>0</v>
      </c>
      <c r="AV695" s="6">
        <v>0</v>
      </c>
      <c r="AW695" s="6">
        <v>0</v>
      </c>
      <c r="AX695" s="6">
        <v>0</v>
      </c>
      <c r="AY695" s="6">
        <v>0</v>
      </c>
      <c r="AZ695" s="6">
        <v>0</v>
      </c>
      <c r="BA695" s="6">
        <v>0</v>
      </c>
      <c r="BB695" s="6">
        <v>0</v>
      </c>
      <c r="BC695" s="6"/>
      <c r="BD695" s="3"/>
      <c r="BE695" s="3"/>
      <c r="BF695" s="7">
        <v>394.47850081002053</v>
      </c>
    </row>
    <row x14ac:dyDescent="0.25" r="696" customHeight="1" ht="12.75">
      <c r="A696" s="5" t="s">
        <v>51</v>
      </c>
      <c r="B696" s="3" t="s">
        <v>855</v>
      </c>
      <c r="C696" s="3" t="s">
        <v>870</v>
      </c>
      <c r="D696" s="3"/>
      <c r="E696" s="3"/>
      <c r="F696" s="6">
        <f>100*SUM(AM696:AO696)/AL696</f>
      </c>
      <c r="G696" s="6">
        <f>100*SUM(AP696)/AL696</f>
      </c>
      <c r="H696" s="6">
        <f>100*SUM(AQ696)/AL696</f>
      </c>
      <c r="I696" s="6">
        <f>100*SUM(AR696:BC696)/AL696</f>
      </c>
      <c r="J696" s="3"/>
      <c r="K696" s="6">
        <v>193.323</v>
      </c>
      <c r="L696" s="7">
        <v>0.9256508537525281</v>
      </c>
      <c r="M696" s="7">
        <v>3.7785473016661233</v>
      </c>
      <c r="N696" s="31">
        <v>53.3117270060986</v>
      </c>
      <c r="O696" s="7">
        <v>1.2443439218303047</v>
      </c>
      <c r="P696" s="6"/>
      <c r="Q696" s="7"/>
      <c r="R696" s="6"/>
      <c r="S696" s="6"/>
      <c r="T696" s="6"/>
      <c r="U696" s="5"/>
      <c r="V696" s="6"/>
      <c r="W696" s="6"/>
      <c r="X696" s="6"/>
      <c r="Y696" s="15"/>
      <c r="Z696" s="6"/>
      <c r="AA696" s="6"/>
      <c r="AB696" s="5"/>
      <c r="AC696" s="3"/>
      <c r="AD696" s="6">
        <v>1.789496</v>
      </c>
      <c r="AE696" s="6">
        <v>7.304801</v>
      </c>
      <c r="AF696" s="7">
        <v>10306.383</v>
      </c>
      <c r="AG696" s="6">
        <v>2.405603</v>
      </c>
      <c r="AH696" s="7">
        <v>0</v>
      </c>
      <c r="AI696" s="15">
        <v>11.4999</v>
      </c>
      <c r="AJ696" s="6">
        <v>5.9485420772489555</v>
      </c>
      <c r="AK696" s="3"/>
      <c r="AL696" s="6">
        <v>218.63688959995108</v>
      </c>
      <c r="AM696" s="6">
        <v>17.54993290077228</v>
      </c>
      <c r="AN696" s="6">
        <v>82.05232600534339</v>
      </c>
      <c r="AO696" s="6">
        <v>32.62129147672207</v>
      </c>
      <c r="AP696" s="6">
        <v>86.41333921711333</v>
      </c>
      <c r="AQ696" s="6">
        <v>0</v>
      </c>
      <c r="AR696" s="6">
        <v>0</v>
      </c>
      <c r="AS696" s="6">
        <v>0</v>
      </c>
      <c r="AT696" s="6">
        <v>0</v>
      </c>
      <c r="AU696" s="6">
        <v>0</v>
      </c>
      <c r="AV696" s="6">
        <v>0</v>
      </c>
      <c r="AW696" s="6">
        <v>0</v>
      </c>
      <c r="AX696" s="6">
        <v>0</v>
      </c>
      <c r="AY696" s="6">
        <v>0</v>
      </c>
      <c r="AZ696" s="6">
        <v>0</v>
      </c>
      <c r="BA696" s="6">
        <v>0</v>
      </c>
      <c r="BB696" s="6">
        <v>0</v>
      </c>
      <c r="BC696" s="6"/>
      <c r="BD696" s="3"/>
      <c r="BE696" s="3"/>
      <c r="BF696" s="7">
        <v>42267.53940813134</v>
      </c>
    </row>
    <row x14ac:dyDescent="0.25" r="697" customHeight="1" ht="12.75">
      <c r="A697" s="5" t="s">
        <v>724</v>
      </c>
      <c r="B697" s="3" t="s">
        <v>855</v>
      </c>
      <c r="C697" s="3" t="s">
        <v>870</v>
      </c>
      <c r="D697" s="3"/>
      <c r="E697" s="3"/>
      <c r="F697" s="6">
        <f>100*SUM(AM697:AO697)/AL697</f>
      </c>
      <c r="G697" s="6">
        <f>100*SUM(AP697)/AL697</f>
      </c>
      <c r="H697" s="6">
        <f>100*SUM(AQ697)/AL697</f>
      </c>
      <c r="I697" s="6">
        <f>100*SUM(AR697:BC697)/AL697</f>
      </c>
      <c r="J697" s="3"/>
      <c r="K697" s="6">
        <v>4.458</v>
      </c>
      <c r="L697" s="6">
        <v>0.92</v>
      </c>
      <c r="M697" s="6">
        <v>3.24</v>
      </c>
      <c r="N697" s="6">
        <v>25.97</v>
      </c>
      <c r="O697" s="6">
        <v>0.81</v>
      </c>
      <c r="P697" s="6">
        <v>0.31</v>
      </c>
      <c r="Q697" s="7"/>
      <c r="R697" s="6"/>
      <c r="S697" s="6"/>
      <c r="T697" s="6"/>
      <c r="U697" s="5"/>
      <c r="V697" s="6"/>
      <c r="W697" s="6"/>
      <c r="X697" s="6"/>
      <c r="Y697" s="15"/>
      <c r="Z697" s="6"/>
      <c r="AA697" s="6"/>
      <c r="AB697" s="5"/>
      <c r="AC697" s="3"/>
      <c r="AD697" s="6">
        <v>0.041013600000000004</v>
      </c>
      <c r="AE697" s="6">
        <v>0.14443920000000002</v>
      </c>
      <c r="AF697" s="7">
        <v>115.77426</v>
      </c>
      <c r="AG697" s="6">
        <v>0.036109800000000004</v>
      </c>
      <c r="AH697" s="7">
        <v>1.38198</v>
      </c>
      <c r="AI697" s="15">
        <v>0.22156260000000003</v>
      </c>
      <c r="AJ697" s="6">
        <v>4.970000000000001</v>
      </c>
      <c r="AK697" s="3"/>
      <c r="AL697" s="6">
        <v>172.60090043279746</v>
      </c>
      <c r="AM697" s="6">
        <v>17.4427952</v>
      </c>
      <c r="AN697" s="6">
        <v>70.35760440000001</v>
      </c>
      <c r="AO697" s="6">
        <v>15.890967845659166</v>
      </c>
      <c r="AP697" s="6">
        <v>56.250369000000006</v>
      </c>
      <c r="AQ697" s="6">
        <v>12.659163987138264</v>
      </c>
      <c r="AR697" s="6">
        <v>0</v>
      </c>
      <c r="AS697" s="6">
        <v>0</v>
      </c>
      <c r="AT697" s="6">
        <v>0</v>
      </c>
      <c r="AU697" s="6">
        <v>0</v>
      </c>
      <c r="AV697" s="6">
        <v>0</v>
      </c>
      <c r="AW697" s="6">
        <v>0</v>
      </c>
      <c r="AX697" s="6">
        <v>0</v>
      </c>
      <c r="AY697" s="6">
        <v>0</v>
      </c>
      <c r="AZ697" s="6">
        <v>0</v>
      </c>
      <c r="BA697" s="6">
        <v>0</v>
      </c>
      <c r="BB697" s="6">
        <v>0</v>
      </c>
      <c r="BC697" s="6"/>
      <c r="BD697" s="3"/>
      <c r="BE697" s="3"/>
      <c r="BF697" s="7">
        <v>769.4548141294111</v>
      </c>
    </row>
    <row x14ac:dyDescent="0.25" r="698" customHeight="1" ht="12.75">
      <c r="A698" s="5" t="s">
        <v>559</v>
      </c>
      <c r="B698" s="3" t="s">
        <v>855</v>
      </c>
      <c r="C698" s="3" t="s">
        <v>870</v>
      </c>
      <c r="D698" s="3"/>
      <c r="E698" s="3"/>
      <c r="F698" s="6">
        <f>100*SUM(AM698:AO698)/AL698</f>
      </c>
      <c r="G698" s="6">
        <f>100*SUM(AP698)/AL698</f>
      </c>
      <c r="H698" s="6">
        <f>100*SUM(AQ698)/AL698</f>
      </c>
      <c r="I698" s="6">
        <f>100*SUM(AR698:BC698)/AL698</f>
      </c>
      <c r="J698" s="3"/>
      <c r="K698" s="6">
        <v>3.175</v>
      </c>
      <c r="L698" s="6">
        <v>0.76</v>
      </c>
      <c r="M698" s="6">
        <v>3.3</v>
      </c>
      <c r="N698" s="5">
        <v>101</v>
      </c>
      <c r="O698" s="6">
        <v>0.19</v>
      </c>
      <c r="P698" s="6">
        <v>2.1</v>
      </c>
      <c r="Q698" s="7"/>
      <c r="R698" s="6"/>
      <c r="S698" s="6"/>
      <c r="T698" s="6"/>
      <c r="U698" s="5"/>
      <c r="V698" s="6"/>
      <c r="W698" s="6"/>
      <c r="X698" s="6"/>
      <c r="Y698" s="15"/>
      <c r="Z698" s="6"/>
      <c r="AA698" s="6"/>
      <c r="AB698" s="5"/>
      <c r="AC698" s="3"/>
      <c r="AD698" s="6">
        <v>0.02413</v>
      </c>
      <c r="AE698" s="6">
        <v>0.104775</v>
      </c>
      <c r="AF698" s="7">
        <v>320.67499999999995</v>
      </c>
      <c r="AG698" s="6">
        <v>0.0060325</v>
      </c>
      <c r="AH698" s="7">
        <v>6.6674999999999995</v>
      </c>
      <c r="AI698" s="15">
        <v>0.1349375</v>
      </c>
      <c r="AJ698" s="6">
        <v>4.25</v>
      </c>
      <c r="AK698" s="3"/>
      <c r="AL698" s="6">
        <v>246.82155432668816</v>
      </c>
      <c r="AM698" s="6">
        <v>14.4092656</v>
      </c>
      <c r="AN698" s="6">
        <v>71.660523</v>
      </c>
      <c r="AO698" s="6">
        <v>61.80160771704181</v>
      </c>
      <c r="AP698" s="6">
        <v>13.194531</v>
      </c>
      <c r="AQ698" s="6">
        <v>85.75562700964632</v>
      </c>
      <c r="AR698" s="6">
        <v>0</v>
      </c>
      <c r="AS698" s="6">
        <v>0</v>
      </c>
      <c r="AT698" s="6">
        <v>0</v>
      </c>
      <c r="AU698" s="6">
        <v>0</v>
      </c>
      <c r="AV698" s="6">
        <v>0</v>
      </c>
      <c r="AW698" s="6">
        <v>0</v>
      </c>
      <c r="AX698" s="6">
        <v>0</v>
      </c>
      <c r="AY698" s="6">
        <v>0</v>
      </c>
      <c r="AZ698" s="6">
        <v>0</v>
      </c>
      <c r="BA698" s="6">
        <v>0</v>
      </c>
      <c r="BB698" s="6">
        <v>0</v>
      </c>
      <c r="BC698" s="6"/>
      <c r="BD698" s="3"/>
      <c r="BE698" s="3"/>
      <c r="BF698" s="7">
        <v>783.6584349872348</v>
      </c>
    </row>
    <row x14ac:dyDescent="0.25" r="699" customHeight="1" ht="12.75">
      <c r="A699" s="5" t="s">
        <v>211</v>
      </c>
      <c r="B699" s="3" t="s">
        <v>855</v>
      </c>
      <c r="C699" s="3" t="s">
        <v>870</v>
      </c>
      <c r="D699" s="3"/>
      <c r="E699" s="3"/>
      <c r="F699" s="6">
        <f>100*SUM(AM699:AO699)/AL699</f>
      </c>
      <c r="G699" s="6">
        <f>100*SUM(AP699)/AL699</f>
      </c>
      <c r="H699" s="6">
        <f>100*SUM(AQ699)/AL699</f>
      </c>
      <c r="I699" s="6">
        <f>100*SUM(AR699:BC699)/AL699</f>
      </c>
      <c r="J699" s="3"/>
      <c r="K699" s="6">
        <v>0.959</v>
      </c>
      <c r="L699" s="6">
        <v>2.1261313868613136</v>
      </c>
      <c r="M699" s="6">
        <v>5.034306569343067</v>
      </c>
      <c r="N699" s="31">
        <v>177.05109489051097</v>
      </c>
      <c r="O699" s="6">
        <v>0.3496350364963504</v>
      </c>
      <c r="P699" s="7">
        <v>3.659124087591241</v>
      </c>
      <c r="Q699" s="7"/>
      <c r="R699" s="6"/>
      <c r="S699" s="6"/>
      <c r="T699" s="6"/>
      <c r="U699" s="5"/>
      <c r="V699" s="6"/>
      <c r="W699" s="6"/>
      <c r="X699" s="6"/>
      <c r="Y699" s="15"/>
      <c r="Z699" s="6"/>
      <c r="AA699" s="6"/>
      <c r="AB699" s="5"/>
      <c r="AC699" s="3"/>
      <c r="AD699" s="6">
        <v>0.020389599999999997</v>
      </c>
      <c r="AE699" s="6">
        <v>0.048279</v>
      </c>
      <c r="AF699" s="7">
        <v>169.792</v>
      </c>
      <c r="AG699" s="6">
        <v>0.0033530000000000005</v>
      </c>
      <c r="AH699" s="7">
        <v>3.5091</v>
      </c>
      <c r="AI699" s="15">
        <v>0.07202159999999999</v>
      </c>
      <c r="AJ699" s="6">
        <v>7.510072992700731</v>
      </c>
      <c r="AK699" s="3"/>
      <c r="AL699" s="6">
        <v>431.6735044319431</v>
      </c>
      <c r="AM699" s="6">
        <v>40.31051559708028</v>
      </c>
      <c r="AN699" s="6">
        <v>109.32152778832119</v>
      </c>
      <c r="AO699" s="6">
        <v>108.33705259699113</v>
      </c>
      <c r="AP699" s="6">
        <v>24.280370145985405</v>
      </c>
      <c r="AQ699" s="6">
        <v>149.42403830356517</v>
      </c>
      <c r="AR699" s="6">
        <v>0</v>
      </c>
      <c r="AS699" s="6">
        <v>0</v>
      </c>
      <c r="AT699" s="6">
        <v>0</v>
      </c>
      <c r="AU699" s="6">
        <v>0</v>
      </c>
      <c r="AV699" s="6">
        <v>0</v>
      </c>
      <c r="AW699" s="6">
        <v>0</v>
      </c>
      <c r="AX699" s="6">
        <v>0</v>
      </c>
      <c r="AY699" s="6">
        <v>0</v>
      </c>
      <c r="AZ699" s="6">
        <v>0</v>
      </c>
      <c r="BA699" s="6">
        <v>0</v>
      </c>
      <c r="BB699" s="6">
        <v>0</v>
      </c>
      <c r="BC699" s="6"/>
      <c r="BD699" s="3"/>
      <c r="BE699" s="3"/>
      <c r="BF699" s="7">
        <v>413.97489075023344</v>
      </c>
    </row>
    <row x14ac:dyDescent="0.25" r="700" customHeight="1" ht="12.75">
      <c r="A700" s="5" t="s">
        <v>271</v>
      </c>
      <c r="B700" s="3" t="s">
        <v>855</v>
      </c>
      <c r="C700" s="3" t="s">
        <v>870</v>
      </c>
      <c r="D700" s="3"/>
      <c r="E700" s="3"/>
      <c r="F700" s="6">
        <f>100*SUM(AM700:AO700)/AL700</f>
      </c>
      <c r="G700" s="6">
        <f>100*SUM(AP700)/AL700</f>
      </c>
      <c r="H700" s="6">
        <f>100*SUM(AQ700)/AL700</f>
      </c>
      <c r="I700" s="6">
        <f>100*SUM(AR700:BC700)/AL700</f>
      </c>
      <c r="J700" s="3"/>
      <c r="K700" s="6">
        <v>1.003</v>
      </c>
      <c r="L700" s="6">
        <v>2.1</v>
      </c>
      <c r="M700" s="7">
        <v>7</v>
      </c>
      <c r="N700" s="7">
        <v>52</v>
      </c>
      <c r="O700" s="7">
        <v>2</v>
      </c>
      <c r="P700" s="6">
        <v>0.3</v>
      </c>
      <c r="Q700" s="7"/>
      <c r="R700" s="6"/>
      <c r="S700" s="6"/>
      <c r="T700" s="6"/>
      <c r="U700" s="5"/>
      <c r="V700" s="6"/>
      <c r="W700" s="6"/>
      <c r="X700" s="6"/>
      <c r="Y700" s="15"/>
      <c r="Z700" s="6"/>
      <c r="AA700" s="6"/>
      <c r="AB700" s="5"/>
      <c r="AC700" s="3"/>
      <c r="AD700" s="6">
        <v>0.021063000000000002</v>
      </c>
      <c r="AE700" s="6">
        <v>0.07021</v>
      </c>
      <c r="AF700" s="7">
        <v>52.15599999999999</v>
      </c>
      <c r="AG700" s="6">
        <v>0.020059999999999998</v>
      </c>
      <c r="AH700" s="7">
        <v>0.30089999999999995</v>
      </c>
      <c r="AI700" s="15">
        <v>0.11133299999999999</v>
      </c>
      <c r="AJ700" s="6">
        <v>11.1</v>
      </c>
      <c r="AK700" s="3"/>
      <c r="AL700" s="6">
        <v>374.7814993762058</v>
      </c>
      <c r="AM700" s="6">
        <v>39.815076</v>
      </c>
      <c r="AN700" s="6">
        <v>152.00717</v>
      </c>
      <c r="AO700" s="6">
        <v>31.81864951768489</v>
      </c>
      <c r="AP700" s="6">
        <v>138.8898</v>
      </c>
      <c r="AQ700" s="6">
        <v>12.2508038585209</v>
      </c>
      <c r="AR700" s="6">
        <v>0</v>
      </c>
      <c r="AS700" s="6">
        <v>0</v>
      </c>
      <c r="AT700" s="6">
        <v>0</v>
      </c>
      <c r="AU700" s="6">
        <v>0</v>
      </c>
      <c r="AV700" s="6">
        <v>0</v>
      </c>
      <c r="AW700" s="6">
        <v>0</v>
      </c>
      <c r="AX700" s="6">
        <v>0</v>
      </c>
      <c r="AY700" s="6">
        <v>0</v>
      </c>
      <c r="AZ700" s="6">
        <v>0</v>
      </c>
      <c r="BA700" s="6">
        <v>0</v>
      </c>
      <c r="BB700" s="6">
        <v>0</v>
      </c>
      <c r="BC700" s="6"/>
      <c r="BD700" s="3"/>
      <c r="BE700" s="3"/>
      <c r="BF700" s="7">
        <v>375.9058438743343</v>
      </c>
    </row>
    <row x14ac:dyDescent="0.25" r="701" customHeight="1" ht="12.75">
      <c r="A701" s="5" t="s">
        <v>169</v>
      </c>
      <c r="B701" s="3" t="s">
        <v>855</v>
      </c>
      <c r="C701" s="3" t="s">
        <v>870</v>
      </c>
      <c r="D701" s="3"/>
      <c r="E701" s="3"/>
      <c r="F701" s="6">
        <f>100*SUM(AM701:AO701)/AL701</f>
      </c>
      <c r="G701" s="6">
        <f>100*SUM(AP701)/AL701</f>
      </c>
      <c r="H701" s="6">
        <f>100*SUM(AQ701)/AL701</f>
      </c>
      <c r="I701" s="6">
        <f>100*SUM(AR701:BC701)/AL701</f>
      </c>
      <c r="J701" s="3"/>
      <c r="K701" s="23">
        <v>85.107369</v>
      </c>
      <c r="L701" s="6">
        <v>0.29</v>
      </c>
      <c r="M701" s="6">
        <v>2.57</v>
      </c>
      <c r="N701" s="7">
        <v>24.569000000000003</v>
      </c>
      <c r="O701" s="6">
        <v>0.75</v>
      </c>
      <c r="P701" s="6"/>
      <c r="Q701" s="7"/>
      <c r="R701" s="6"/>
      <c r="S701" s="6"/>
      <c r="T701" s="6"/>
      <c r="U701" s="5"/>
      <c r="V701" s="6"/>
      <c r="W701" s="6"/>
      <c r="X701" s="6"/>
      <c r="Y701" s="15"/>
      <c r="Z701" s="6"/>
      <c r="AA701" s="6"/>
      <c r="AB701" s="5"/>
      <c r="AC701" s="3"/>
      <c r="AD701" s="6">
        <v>0.2468113701</v>
      </c>
      <c r="AE701" s="6">
        <v>2.1872593833</v>
      </c>
      <c r="AF701" s="7">
        <v>2091.0029489610006</v>
      </c>
      <c r="AG701" s="6">
        <v>0.6383052675</v>
      </c>
      <c r="AH701" s="7">
        <v>0</v>
      </c>
      <c r="AI701" s="15">
        <v>3.0723760209</v>
      </c>
      <c r="AJ701" s="6">
        <v>3.61</v>
      </c>
      <c r="AK701" s="3"/>
      <c r="AL701" s="6">
        <v>128.4239941</v>
      </c>
      <c r="AM701" s="6">
        <v>5.498272399999999</v>
      </c>
      <c r="AN701" s="6">
        <v>55.808346699999994</v>
      </c>
      <c r="AO701" s="6">
        <v>15.033700000000003</v>
      </c>
      <c r="AP701" s="6">
        <v>52.083675</v>
      </c>
      <c r="AQ701" s="6">
        <v>0</v>
      </c>
      <c r="AR701" s="6">
        <v>0</v>
      </c>
      <c r="AS701" s="6">
        <v>0</v>
      </c>
      <c r="AT701" s="6">
        <v>0</v>
      </c>
      <c r="AU701" s="6">
        <v>0</v>
      </c>
      <c r="AV701" s="6">
        <v>0</v>
      </c>
      <c r="AW701" s="6">
        <v>0</v>
      </c>
      <c r="AX701" s="6">
        <v>0</v>
      </c>
      <c r="AY701" s="6">
        <v>0</v>
      </c>
      <c r="AZ701" s="6">
        <v>0</v>
      </c>
      <c r="BA701" s="6">
        <v>0</v>
      </c>
      <c r="BB701" s="6">
        <v>0</v>
      </c>
      <c r="BC701" s="6"/>
      <c r="BD701" s="3"/>
      <c r="BE701" s="3"/>
      <c r="BF701" s="7">
        <v>10929.828254322523</v>
      </c>
    </row>
    <row x14ac:dyDescent="0.25" r="702" customHeight="1" ht="12.75">
      <c r="A702" s="5" t="s">
        <v>318</v>
      </c>
      <c r="B702" s="3" t="s">
        <v>855</v>
      </c>
      <c r="C702" s="3" t="s">
        <v>870</v>
      </c>
      <c r="D702" s="3"/>
      <c r="E702" s="3"/>
      <c r="F702" s="6">
        <f>100*SUM(AM702:AO702)/AL702</f>
      </c>
      <c r="G702" s="6">
        <f>100*SUM(AP702)/AL702</f>
      </c>
      <c r="H702" s="6">
        <f>100*SUM(AQ702)/AL702</f>
      </c>
      <c r="I702" s="6">
        <f>100*SUM(AR702:BC702)/AL702</f>
      </c>
      <c r="J702" s="3"/>
      <c r="K702" s="6">
        <v>19.1</v>
      </c>
      <c r="L702" s="6">
        <v>0.868869109947644</v>
      </c>
      <c r="M702" s="6">
        <v>3.6900628272251303</v>
      </c>
      <c r="N702" s="31">
        <v>111.58848167539264</v>
      </c>
      <c r="O702" s="6">
        <v>0.7207434554973822</v>
      </c>
      <c r="P702" s="6">
        <v>1.5338010471204186</v>
      </c>
      <c r="Q702" s="7"/>
      <c r="R702" s="6"/>
      <c r="S702" s="6"/>
      <c r="T702" s="6"/>
      <c r="U702" s="5"/>
      <c r="V702" s="6"/>
      <c r="W702" s="6"/>
      <c r="X702" s="6"/>
      <c r="Y702" s="15"/>
      <c r="Z702" s="6"/>
      <c r="AA702" s="6"/>
      <c r="AB702" s="5"/>
      <c r="AC702" s="3"/>
      <c r="AD702" s="6">
        <v>0.16595400000000002</v>
      </c>
      <c r="AE702" s="6">
        <v>0.7048019999999999</v>
      </c>
      <c r="AF702" s="7">
        <v>2131.3399999999997</v>
      </c>
      <c r="AG702" s="6">
        <v>0.137662</v>
      </c>
      <c r="AH702" s="7">
        <v>29.295599999999997</v>
      </c>
      <c r="AI702" s="15">
        <v>1.008418</v>
      </c>
      <c r="AJ702" s="6">
        <v>5.279675392670157</v>
      </c>
      <c r="AK702" s="3"/>
      <c r="AL702" s="6">
        <v>277.5711797273995</v>
      </c>
      <c r="AM702" s="6">
        <v>16.473376022198952</v>
      </c>
      <c r="AN702" s="6">
        <v>80.13085821267015</v>
      </c>
      <c r="AO702" s="6">
        <v>68.28066901230619</v>
      </c>
      <c r="AP702" s="6">
        <v>50.05195719267015</v>
      </c>
      <c r="AQ702" s="6">
        <v>62.63431928755407</v>
      </c>
      <c r="AR702" s="6">
        <v>0</v>
      </c>
      <c r="AS702" s="6">
        <v>0</v>
      </c>
      <c r="AT702" s="6">
        <v>0</v>
      </c>
      <c r="AU702" s="6">
        <v>0</v>
      </c>
      <c r="AV702" s="6">
        <v>0</v>
      </c>
      <c r="AW702" s="6">
        <v>0</v>
      </c>
      <c r="AX702" s="6">
        <v>0</v>
      </c>
      <c r="AY702" s="6">
        <v>0</v>
      </c>
      <c r="AZ702" s="6">
        <v>0</v>
      </c>
      <c r="BA702" s="6">
        <v>0</v>
      </c>
      <c r="BB702" s="6">
        <v>0</v>
      </c>
      <c r="BC702" s="6"/>
      <c r="BD702" s="3"/>
      <c r="BE702" s="3"/>
      <c r="BF702" s="7">
        <v>5301.609532793331</v>
      </c>
    </row>
    <row x14ac:dyDescent="0.25" r="703" customHeight="1" ht="12.75">
      <c r="A703" s="5" t="s">
        <v>345</v>
      </c>
      <c r="B703" s="3" t="s">
        <v>855</v>
      </c>
      <c r="C703" s="3" t="s">
        <v>870</v>
      </c>
      <c r="D703" s="3"/>
      <c r="E703" s="3"/>
      <c r="F703" s="6">
        <f>100*SUM(AM703:AO703)/AL703</f>
      </c>
      <c r="G703" s="6">
        <f>100*SUM(AP703)/AL703</f>
      </c>
      <c r="H703" s="6">
        <f>100*SUM(AQ703)/AL703</f>
      </c>
      <c r="I703" s="6">
        <f>100*SUM(AR703:BC703)/AL703</f>
      </c>
      <c r="J703" s="3"/>
      <c r="K703" s="6">
        <v>9.15</v>
      </c>
      <c r="L703" s="6">
        <v>0.669846994535519</v>
      </c>
      <c r="M703" s="6">
        <v>6.221092896174864</v>
      </c>
      <c r="N703" s="7">
        <v>75.37273224043716</v>
      </c>
      <c r="O703" s="6">
        <v>0.8622513661202186</v>
      </c>
      <c r="P703" s="6">
        <v>1.8159890710382516</v>
      </c>
      <c r="Q703" s="7"/>
      <c r="R703" s="6"/>
      <c r="S703" s="6"/>
      <c r="T703" s="6"/>
      <c r="U703" s="5"/>
      <c r="V703" s="6"/>
      <c r="W703" s="6"/>
      <c r="X703" s="6"/>
      <c r="Y703" s="15"/>
      <c r="Z703" s="6"/>
      <c r="AA703" s="6"/>
      <c r="AB703" s="5"/>
      <c r="AC703" s="3"/>
      <c r="AD703" s="6">
        <v>0.06129099999999999</v>
      </c>
      <c r="AE703" s="6">
        <v>0.56923</v>
      </c>
      <c r="AF703" s="7">
        <v>689.6605000000001</v>
      </c>
      <c r="AG703" s="6">
        <v>0.07889600000000001</v>
      </c>
      <c r="AH703" s="7">
        <v>16.616300000000003</v>
      </c>
      <c r="AI703" s="15">
        <v>0.709417</v>
      </c>
      <c r="AJ703" s="6">
        <v>7.753191256830601</v>
      </c>
      <c r="AK703" s="3"/>
      <c r="AL703" s="6">
        <v>327.95003475719994</v>
      </c>
      <c r="AM703" s="6">
        <v>12.700004283715845</v>
      </c>
      <c r="AN703" s="6">
        <v>135.09296077923497</v>
      </c>
      <c r="AO703" s="6">
        <v>46.120356737476506</v>
      </c>
      <c r="AP703" s="6">
        <v>59.87895989508196</v>
      </c>
      <c r="AQ703" s="6">
        <v>74.15775306169066</v>
      </c>
      <c r="AR703" s="6">
        <v>0</v>
      </c>
      <c r="AS703" s="6">
        <v>0</v>
      </c>
      <c r="AT703" s="6">
        <v>0</v>
      </c>
      <c r="AU703" s="6">
        <v>0</v>
      </c>
      <c r="AV703" s="6">
        <v>0</v>
      </c>
      <c r="AW703" s="6">
        <v>0</v>
      </c>
      <c r="AX703" s="6">
        <v>0</v>
      </c>
      <c r="AY703" s="6">
        <v>0</v>
      </c>
      <c r="AZ703" s="6">
        <v>0</v>
      </c>
      <c r="BA703" s="6">
        <v>0</v>
      </c>
      <c r="BB703" s="6">
        <v>0</v>
      </c>
      <c r="BC703" s="6"/>
      <c r="BD703" s="3"/>
      <c r="BE703" s="3"/>
      <c r="BF703" s="7">
        <v>3000.7428180283796</v>
      </c>
    </row>
    <row x14ac:dyDescent="0.25" r="704" customHeight="1" ht="12.75">
      <c r="A704" s="5" t="s">
        <v>301</v>
      </c>
      <c r="B704" s="3" t="s">
        <v>855</v>
      </c>
      <c r="C704" s="3" t="s">
        <v>870</v>
      </c>
      <c r="D704" s="3"/>
      <c r="E704" s="3"/>
      <c r="F704" s="6">
        <f>100*SUM(AM704:AO704)/AL704</f>
      </c>
      <c r="G704" s="6">
        <f>100*SUM(AP704)/AL704</f>
      </c>
      <c r="H704" s="6">
        <f>100*SUM(AQ704)/AL704</f>
      </c>
      <c r="I704" s="6">
        <f>100*SUM(AR704:BC704)/AL704</f>
      </c>
      <c r="J704" s="3"/>
      <c r="K704" s="6">
        <v>1.05</v>
      </c>
      <c r="L704" s="6"/>
      <c r="M704" s="6">
        <v>8.572438095238095</v>
      </c>
      <c r="N704" s="7">
        <v>12.101333333333333</v>
      </c>
      <c r="O704" s="6">
        <v>1.9188952380952384</v>
      </c>
      <c r="P704" s="6">
        <v>0.053695238095238094</v>
      </c>
      <c r="Q704" s="7"/>
      <c r="R704" s="6"/>
      <c r="S704" s="6"/>
      <c r="T704" s="6"/>
      <c r="U704" s="5"/>
      <c r="V704" s="6"/>
      <c r="W704" s="6"/>
      <c r="X704" s="6"/>
      <c r="Y704" s="15"/>
      <c r="Z704" s="6"/>
      <c r="AA704" s="6"/>
      <c r="AB704" s="5"/>
      <c r="AC704" s="3"/>
      <c r="AD704" s="6">
        <v>0</v>
      </c>
      <c r="AE704" s="6">
        <v>0.09001060000000001</v>
      </c>
      <c r="AF704" s="7">
        <v>12.7064</v>
      </c>
      <c r="AG704" s="6">
        <v>0.020148400000000004</v>
      </c>
      <c r="AH704" s="7">
        <v>0.05638</v>
      </c>
      <c r="AI704" s="15">
        <v>0.110159</v>
      </c>
      <c r="AJ704" s="6">
        <v>10.491333333333333</v>
      </c>
      <c r="AK704" s="3"/>
      <c r="AL704" s="6">
        <v>329.00810889410684</v>
      </c>
      <c r="AM704" s="6">
        <v>0</v>
      </c>
      <c r="AN704" s="6">
        <v>186.15315069390473</v>
      </c>
      <c r="AO704" s="6">
        <v>7.404770846730976</v>
      </c>
      <c r="AP704" s="6">
        <v>133.25748792000002</v>
      </c>
      <c r="AQ704" s="6">
        <v>2.192699433471138</v>
      </c>
      <c r="AR704" s="6">
        <v>0</v>
      </c>
      <c r="AS704" s="6">
        <v>0</v>
      </c>
      <c r="AT704" s="6">
        <v>0</v>
      </c>
      <c r="AU704" s="6">
        <v>0</v>
      </c>
      <c r="AV704" s="6">
        <v>0</v>
      </c>
      <c r="AW704" s="6">
        <v>0</v>
      </c>
      <c r="AX704" s="6">
        <v>0</v>
      </c>
      <c r="AY704" s="6">
        <v>0</v>
      </c>
      <c r="AZ704" s="6">
        <v>0</v>
      </c>
      <c r="BA704" s="6">
        <v>0</v>
      </c>
      <c r="BB704" s="6">
        <v>0</v>
      </c>
      <c r="BC704" s="6"/>
      <c r="BD704" s="3"/>
      <c r="BE704" s="3"/>
      <c r="BF704" s="7">
        <v>345.4585143388122</v>
      </c>
    </row>
    <row x14ac:dyDescent="0.25" r="705" customHeight="1" ht="12.75">
      <c r="A705" s="5" t="s">
        <v>657</v>
      </c>
      <c r="B705" s="3" t="s">
        <v>855</v>
      </c>
      <c r="C705" s="3" t="s">
        <v>870</v>
      </c>
      <c r="D705" s="3"/>
      <c r="E705" s="3"/>
      <c r="F705" s="6">
        <f>100*SUM(AM705:AO705)/AL705</f>
      </c>
      <c r="G705" s="6">
        <f>100*SUM(AP705)/AL705</f>
      </c>
      <c r="H705" s="6">
        <f>100*SUM(AQ705)/AL705</f>
      </c>
      <c r="I705" s="6">
        <f>100*SUM(AR705:BC705)/AL705</f>
      </c>
      <c r="J705" s="3"/>
      <c r="K705" s="6">
        <v>1.55</v>
      </c>
      <c r="L705" s="6"/>
      <c r="M705" s="6">
        <v>4.723225806451612</v>
      </c>
      <c r="N705" s="31">
        <v>19.893548387096775</v>
      </c>
      <c r="O705" s="7">
        <v>1.1296774193548387</v>
      </c>
      <c r="P705" s="6">
        <v>0.04612903225806452</v>
      </c>
      <c r="Q705" s="7"/>
      <c r="R705" s="6"/>
      <c r="S705" s="6"/>
      <c r="T705" s="6"/>
      <c r="U705" s="5"/>
      <c r="V705" s="6"/>
      <c r="W705" s="6"/>
      <c r="X705" s="6"/>
      <c r="Y705" s="15"/>
      <c r="Z705" s="6"/>
      <c r="AA705" s="6"/>
      <c r="AB705" s="5"/>
      <c r="AC705" s="3"/>
      <c r="AD705" s="6">
        <v>0</v>
      </c>
      <c r="AE705" s="6">
        <v>0.07321</v>
      </c>
      <c r="AF705" s="7">
        <v>30.835</v>
      </c>
      <c r="AG705" s="6">
        <v>0.017509999999999998</v>
      </c>
      <c r="AH705" s="7">
        <v>0.07150000000000001</v>
      </c>
      <c r="AI705" s="15">
        <v>0.09072</v>
      </c>
      <c r="AJ705" s="6">
        <v>5.852903225806451</v>
      </c>
      <c r="AK705" s="3"/>
      <c r="AL705" s="6">
        <v>195.0731784493517</v>
      </c>
      <c r="AM705" s="6">
        <v>0</v>
      </c>
      <c r="AN705" s="6">
        <v>102.56631258709676</v>
      </c>
      <c r="AO705" s="6">
        <v>12.172804688310343</v>
      </c>
      <c r="AP705" s="6">
        <v>78.45033541935483</v>
      </c>
      <c r="AQ705" s="6">
        <v>1.883725754589773</v>
      </c>
      <c r="AR705" s="6">
        <v>0</v>
      </c>
      <c r="AS705" s="6">
        <v>0</v>
      </c>
      <c r="AT705" s="6">
        <v>0</v>
      </c>
      <c r="AU705" s="6">
        <v>0</v>
      </c>
      <c r="AV705" s="6">
        <v>0</v>
      </c>
      <c r="AW705" s="6">
        <v>0</v>
      </c>
      <c r="AX705" s="6">
        <v>0</v>
      </c>
      <c r="AY705" s="6">
        <v>0</v>
      </c>
      <c r="AZ705" s="6">
        <v>0</v>
      </c>
      <c r="BA705" s="6">
        <v>0</v>
      </c>
      <c r="BB705" s="6">
        <v>0</v>
      </c>
      <c r="BC705" s="6"/>
      <c r="BD705" s="3"/>
      <c r="BE705" s="3"/>
      <c r="BF705" s="7">
        <v>302.3634265964952</v>
      </c>
    </row>
    <row x14ac:dyDescent="0.25" r="706" customHeight="1" ht="12.75">
      <c r="A706" s="5" t="s">
        <v>397</v>
      </c>
      <c r="B706" s="3" t="s">
        <v>855</v>
      </c>
      <c r="C706" s="3" t="s">
        <v>870</v>
      </c>
      <c r="D706" s="3"/>
      <c r="E706" s="3"/>
      <c r="F706" s="6">
        <f>100*SUM(AM706:AO706)/AL706</f>
      </c>
      <c r="G706" s="6">
        <f>100*SUM(AP706)/AL706</f>
      </c>
      <c r="H706" s="6">
        <f>100*SUM(AQ706)/AL706</f>
      </c>
      <c r="I706" s="6">
        <f>100*SUM(AR706:BC706)/AL706</f>
      </c>
      <c r="J706" s="3"/>
      <c r="K706" s="23">
        <v>2.976637</v>
      </c>
      <c r="L706" s="6">
        <v>2.1415765161813343</v>
      </c>
      <c r="M706" s="6">
        <v>5.057954659593077</v>
      </c>
      <c r="N706" s="7">
        <v>39.29066376374061</v>
      </c>
      <c r="O706" s="6">
        <v>1.5926444352859215</v>
      </c>
      <c r="P706" s="6">
        <v>0.40780120508843704</v>
      </c>
      <c r="Q706" s="7"/>
      <c r="R706" s="6"/>
      <c r="S706" s="6"/>
      <c r="T706" s="6"/>
      <c r="U706" s="5"/>
      <c r="V706" s="6"/>
      <c r="W706" s="6"/>
      <c r="X706" s="6"/>
      <c r="Y706" s="15"/>
      <c r="Z706" s="6"/>
      <c r="AA706" s="6"/>
      <c r="AB706" s="5"/>
      <c r="AC706" s="3"/>
      <c r="AD706" s="6">
        <v>0.06374695896396458</v>
      </c>
      <c r="AE706" s="6">
        <v>0.15055694984067158</v>
      </c>
      <c r="AF706" s="7">
        <v>116.95404351370956</v>
      </c>
      <c r="AG706" s="6">
        <v>0.0474072435391618</v>
      </c>
      <c r="AH706" s="7">
        <v>1.21387615571083</v>
      </c>
      <c r="AI706" s="15">
        <v>0.261711152343798</v>
      </c>
      <c r="AJ706" s="6">
        <v>8.792175611060332</v>
      </c>
      <c r="AK706" s="3"/>
      <c r="AL706" s="6">
        <v>301.7342541062968</v>
      </c>
      <c r="AM706" s="6">
        <v>40.60334845313098</v>
      </c>
      <c r="AN706" s="6">
        <v>109.83505339900813</v>
      </c>
      <c r="AO706" s="6">
        <v>24.041843454147394</v>
      </c>
      <c r="AP706" s="6">
        <v>110.60103354398728</v>
      </c>
      <c r="AQ706" s="6">
        <v>16.65297525602299</v>
      </c>
      <c r="AR706" s="6">
        <v>0</v>
      </c>
      <c r="AS706" s="6">
        <v>0</v>
      </c>
      <c r="AT706" s="6">
        <v>0</v>
      </c>
      <c r="AU706" s="6">
        <v>0</v>
      </c>
      <c r="AV706" s="6">
        <v>0</v>
      </c>
      <c r="AW706" s="6">
        <v>0</v>
      </c>
      <c r="AX706" s="6">
        <v>0</v>
      </c>
      <c r="AY706" s="6">
        <v>0</v>
      </c>
      <c r="AZ706" s="6">
        <v>0</v>
      </c>
      <c r="BA706" s="6">
        <v>0</v>
      </c>
      <c r="BB706" s="6">
        <v>0</v>
      </c>
      <c r="BC706" s="6"/>
      <c r="BD706" s="3"/>
      <c r="BE706" s="3"/>
      <c r="BF706" s="7">
        <v>898.1533449402051</v>
      </c>
    </row>
    <row x14ac:dyDescent="0.25" r="707" customHeight="1" ht="12.75">
      <c r="A707" s="5" t="s">
        <v>690</v>
      </c>
      <c r="B707" s="3" t="s">
        <v>855</v>
      </c>
      <c r="C707" s="3" t="s">
        <v>870</v>
      </c>
      <c r="D707" s="3"/>
      <c r="E707" s="3"/>
      <c r="F707" s="6">
        <f>100*SUM(AM707:AO707)/AL707</f>
      </c>
      <c r="G707" s="6">
        <f>100*SUM(AP707)/AL707</f>
      </c>
      <c r="H707" s="6">
        <f>100*SUM(AQ707)/AL707</f>
      </c>
      <c r="I707" s="6">
        <f>100*SUM(AR707:BC707)/AL707</f>
      </c>
      <c r="J707" s="3"/>
      <c r="K707" s="6">
        <v>2.81</v>
      </c>
      <c r="L707" s="7">
        <v>0.29964412811387897</v>
      </c>
      <c r="M707" s="7">
        <v>3.547686832740214</v>
      </c>
      <c r="N707" s="31">
        <v>48.61209964412811</v>
      </c>
      <c r="O707" s="7">
        <v>0.38861209964412813</v>
      </c>
      <c r="P707" s="7">
        <v>1.3483985765124553</v>
      </c>
      <c r="Q707" s="7"/>
      <c r="R707" s="6"/>
      <c r="S707" s="6"/>
      <c r="T707" s="6"/>
      <c r="U707" s="5"/>
      <c r="V707" s="6"/>
      <c r="W707" s="6"/>
      <c r="X707" s="6"/>
      <c r="Y707" s="15"/>
      <c r="Z707" s="6"/>
      <c r="AA707" s="6"/>
      <c r="AB707" s="5"/>
      <c r="AC707" s="3"/>
      <c r="AD707" s="6">
        <v>0.00842</v>
      </c>
      <c r="AE707" s="6">
        <v>0.09969000000000001</v>
      </c>
      <c r="AF707" s="7">
        <v>136.6</v>
      </c>
      <c r="AG707" s="6">
        <v>0.010920000000000001</v>
      </c>
      <c r="AH707" s="7">
        <v>3.7889999999999997</v>
      </c>
      <c r="AI707" s="15">
        <v>0.11903000000000001</v>
      </c>
      <c r="AJ707" s="6">
        <v>4.2359430604982204</v>
      </c>
      <c r="AK707" s="3"/>
      <c r="AL707" s="6">
        <v>194.5161932874209</v>
      </c>
      <c r="AM707" s="6">
        <v>5.6811208256227745</v>
      </c>
      <c r="AN707" s="6">
        <v>77.03911935587189</v>
      </c>
      <c r="AO707" s="6">
        <v>29.74560309414013</v>
      </c>
      <c r="AP707" s="6">
        <v>26.987128398576512</v>
      </c>
      <c r="AQ707" s="6">
        <v>55.06322161320959</v>
      </c>
      <c r="AR707" s="6">
        <v>0</v>
      </c>
      <c r="AS707" s="6">
        <v>0</v>
      </c>
      <c r="AT707" s="6">
        <v>0</v>
      </c>
      <c r="AU707" s="6">
        <v>0</v>
      </c>
      <c r="AV707" s="6">
        <v>0</v>
      </c>
      <c r="AW707" s="6">
        <v>0</v>
      </c>
      <c r="AX707" s="6">
        <v>0</v>
      </c>
      <c r="AY707" s="6">
        <v>0</v>
      </c>
      <c r="AZ707" s="6">
        <v>0</v>
      </c>
      <c r="BA707" s="6">
        <v>0</v>
      </c>
      <c r="BB707" s="6">
        <v>0</v>
      </c>
      <c r="BC707" s="6"/>
      <c r="BD707" s="3"/>
      <c r="BE707" s="3"/>
      <c r="BF707" s="7">
        <v>546.5905031376527</v>
      </c>
    </row>
    <row x14ac:dyDescent="0.25" r="708" customHeight="1" ht="12.75">
      <c r="A708" s="5" t="s">
        <v>653</v>
      </c>
      <c r="B708" s="3" t="s">
        <v>855</v>
      </c>
      <c r="C708" s="3" t="s">
        <v>870</v>
      </c>
      <c r="D708" s="3"/>
      <c r="E708" s="3"/>
      <c r="F708" s="6">
        <f>100*SUM(AM708:AO708)/AL708</f>
      </c>
      <c r="G708" s="6">
        <f>100*SUM(AP708)/AL708</f>
      </c>
      <c r="H708" s="6">
        <f>100*SUM(AQ708)/AL708</f>
      </c>
      <c r="I708" s="6">
        <f>100*SUM(AR708:BC708)/AL708</f>
      </c>
      <c r="J708" s="3"/>
      <c r="K708" s="6">
        <v>5.447</v>
      </c>
      <c r="L708" s="6"/>
      <c r="M708" s="6">
        <v>4.6</v>
      </c>
      <c r="N708" s="7">
        <v>34</v>
      </c>
      <c r="O708" s="6">
        <v>1.2</v>
      </c>
      <c r="P708" s="6">
        <v>0.2</v>
      </c>
      <c r="Q708" s="7"/>
      <c r="R708" s="6"/>
      <c r="S708" s="6"/>
      <c r="T708" s="6"/>
      <c r="U708" s="5"/>
      <c r="V708" s="6"/>
      <c r="W708" s="6"/>
      <c r="X708" s="6"/>
      <c r="Y708" s="15"/>
      <c r="Z708" s="6"/>
      <c r="AA708" s="6"/>
      <c r="AB708" s="5"/>
      <c r="AC708" s="3"/>
      <c r="AD708" s="6">
        <v>0</v>
      </c>
      <c r="AE708" s="6">
        <v>0.25056199999999995</v>
      </c>
      <c r="AF708" s="7">
        <v>185.198</v>
      </c>
      <c r="AG708" s="6">
        <v>0.06536399999999999</v>
      </c>
      <c r="AH708" s="7">
        <v>1.0894000000000001</v>
      </c>
      <c r="AI708" s="15">
        <v>0.31592599999999993</v>
      </c>
      <c r="AJ708" s="6">
        <v>5.8</v>
      </c>
      <c r="AK708" s="3"/>
      <c r="AL708" s="6">
        <v>212.1960101800643</v>
      </c>
      <c r="AM708" s="6">
        <v>0</v>
      </c>
      <c r="AN708" s="6">
        <v>99.89042599999999</v>
      </c>
      <c r="AO708" s="6">
        <v>20.804501607717043</v>
      </c>
      <c r="AP708" s="6">
        <v>83.33388</v>
      </c>
      <c r="AQ708" s="6">
        <v>8.167202572347268</v>
      </c>
      <c r="AR708" s="6">
        <v>0</v>
      </c>
      <c r="AS708" s="6">
        <v>0</v>
      </c>
      <c r="AT708" s="6">
        <v>0</v>
      </c>
      <c r="AU708" s="6">
        <v>0</v>
      </c>
      <c r="AV708" s="6">
        <v>0</v>
      </c>
      <c r="AW708" s="6">
        <v>0</v>
      </c>
      <c r="AX708" s="6">
        <v>0</v>
      </c>
      <c r="AY708" s="6">
        <v>0</v>
      </c>
      <c r="AZ708" s="6">
        <v>0</v>
      </c>
      <c r="BA708" s="6">
        <v>0</v>
      </c>
      <c r="BB708" s="6">
        <v>0</v>
      </c>
      <c r="BC708" s="6"/>
      <c r="BD708" s="3"/>
      <c r="BE708" s="3"/>
      <c r="BF708" s="7">
        <v>1155.8316674508103</v>
      </c>
    </row>
    <row x14ac:dyDescent="0.25" r="709" customHeight="1" ht="12.75">
      <c r="A709" s="5" t="s">
        <v>209</v>
      </c>
      <c r="B709" s="3" t="s">
        <v>855</v>
      </c>
      <c r="C709" s="3" t="s">
        <v>870</v>
      </c>
      <c r="D709" s="3"/>
      <c r="E709" s="3"/>
      <c r="F709" s="6">
        <f>100*SUM(AM709:AO709)/AL709</f>
      </c>
      <c r="G709" s="6">
        <f>100*SUM(AP709)/AL709</f>
      </c>
      <c r="H709" s="6">
        <f>100*SUM(AQ709)/AL709</f>
      </c>
      <c r="I709" s="6">
        <f>100*SUM(AR709:BC709)/AL709</f>
      </c>
      <c r="J709" s="3"/>
      <c r="K709" s="6">
        <v>22.6</v>
      </c>
      <c r="L709" s="6">
        <v>1.3713274336283185</v>
      </c>
      <c r="M709" s="6">
        <v>7.259469026548672</v>
      </c>
      <c r="N709" s="7">
        <v>71.56637168141593</v>
      </c>
      <c r="O709" s="7">
        <v>2.1584070796460177</v>
      </c>
      <c r="P709" s="7">
        <v>0.552566371681416</v>
      </c>
      <c r="Q709" s="7"/>
      <c r="R709" s="6"/>
      <c r="S709" s="6"/>
      <c r="T709" s="6"/>
      <c r="U709" s="5"/>
      <c r="V709" s="6"/>
      <c r="W709" s="6"/>
      <c r="X709" s="6"/>
      <c r="Y709" s="15"/>
      <c r="Z709" s="6"/>
      <c r="AA709" s="6"/>
      <c r="AB709" s="5"/>
      <c r="AC709" s="3"/>
      <c r="AD709" s="6">
        <v>0.30992000000000003</v>
      </c>
      <c r="AE709" s="6">
        <v>1.6406399999999999</v>
      </c>
      <c r="AF709" s="7">
        <v>1617.4</v>
      </c>
      <c r="AG709" s="6">
        <v>0.4878</v>
      </c>
      <c r="AH709" s="7">
        <v>12.488000000000001</v>
      </c>
      <c r="AI709" s="15">
        <v>2.43836</v>
      </c>
      <c r="AJ709" s="6">
        <v>10.789203539823008</v>
      </c>
      <c r="AK709" s="3"/>
      <c r="AL709" s="6">
        <v>399.88761209728256</v>
      </c>
      <c r="AM709" s="6">
        <v>25.999764757522122</v>
      </c>
      <c r="AN709" s="6">
        <v>157.64162034690264</v>
      </c>
      <c r="AO709" s="6">
        <v>43.79125572660275</v>
      </c>
      <c r="AP709" s="6">
        <v>149.89036380530973</v>
      </c>
      <c r="AQ709" s="6">
        <v>22.564607460945282</v>
      </c>
      <c r="AR709" s="6">
        <v>0</v>
      </c>
      <c r="AS709" s="6">
        <v>0</v>
      </c>
      <c r="AT709" s="6">
        <v>0</v>
      </c>
      <c r="AU709" s="6">
        <v>0</v>
      </c>
      <c r="AV709" s="6">
        <v>0</v>
      </c>
      <c r="AW709" s="6">
        <v>0</v>
      </c>
      <c r="AX709" s="6">
        <v>0</v>
      </c>
      <c r="AY709" s="6">
        <v>0</v>
      </c>
      <c r="AZ709" s="6">
        <v>0</v>
      </c>
      <c r="BA709" s="6">
        <v>0</v>
      </c>
      <c r="BB709" s="6">
        <v>0</v>
      </c>
      <c r="BC709" s="6"/>
      <c r="BD709" s="3"/>
      <c r="BE709" s="3"/>
      <c r="BF709" s="7">
        <v>9037.460033398585</v>
      </c>
    </row>
    <row x14ac:dyDescent="0.25" r="710" customHeight="1" ht="12.75">
      <c r="A710" s="5" t="s">
        <v>215</v>
      </c>
      <c r="B710" s="3" t="s">
        <v>855</v>
      </c>
      <c r="C710" s="3" t="s">
        <v>870</v>
      </c>
      <c r="D710" s="3"/>
      <c r="E710" s="3"/>
      <c r="F710" s="6">
        <f>100*SUM(AM710:AO710)/AL710</f>
      </c>
      <c r="G710" s="6">
        <f>100*SUM(AP710)/AL710</f>
      </c>
      <c r="H710" s="6">
        <f>100*SUM(AQ710)/AL710</f>
      </c>
      <c r="I710" s="6">
        <f>100*SUM(AR710:BC710)/AL710</f>
      </c>
      <c r="J710" s="3"/>
      <c r="K710" s="5">
        <v>40</v>
      </c>
      <c r="L710" s="5">
        <v>1</v>
      </c>
      <c r="M710" s="5">
        <v>4</v>
      </c>
      <c r="N710" s="5">
        <v>33</v>
      </c>
      <c r="O710" s="6">
        <v>0.2</v>
      </c>
      <c r="P710" s="5">
        <v>2</v>
      </c>
      <c r="Q710" s="7"/>
      <c r="R710" s="6"/>
      <c r="S710" s="6"/>
      <c r="T710" s="6"/>
      <c r="U710" s="5"/>
      <c r="V710" s="6"/>
      <c r="W710" s="6"/>
      <c r="X710" s="6"/>
      <c r="Y710" s="15"/>
      <c r="Z710" s="6"/>
      <c r="AA710" s="6"/>
      <c r="AB710" s="5"/>
      <c r="AC710" s="3"/>
      <c r="AD710" s="6">
        <v>0.4</v>
      </c>
      <c r="AE710" s="6">
        <v>1.6</v>
      </c>
      <c r="AF710" s="7">
        <v>1320</v>
      </c>
      <c r="AG710" s="6">
        <v>0.08</v>
      </c>
      <c r="AH710" s="7">
        <v>80</v>
      </c>
      <c r="AI710" s="15">
        <v>2.08</v>
      </c>
      <c r="AJ710" s="6">
        <v>5.2</v>
      </c>
      <c r="AK710" s="3"/>
      <c r="AL710" s="6">
        <v>221.57441022508038</v>
      </c>
      <c r="AM710" s="6">
        <v>18.95956</v>
      </c>
      <c r="AN710" s="6">
        <v>86.86124</v>
      </c>
      <c r="AO710" s="6">
        <v>20.192604501607722</v>
      </c>
      <c r="AP710" s="6">
        <v>13.88898</v>
      </c>
      <c r="AQ710" s="6">
        <v>81.67202572347267</v>
      </c>
      <c r="AR710" s="6">
        <v>0</v>
      </c>
      <c r="AS710" s="6">
        <v>0</v>
      </c>
      <c r="AT710" s="6">
        <v>0</v>
      </c>
      <c r="AU710" s="6">
        <v>0</v>
      </c>
      <c r="AV710" s="6">
        <v>0</v>
      </c>
      <c r="AW710" s="6">
        <v>0</v>
      </c>
      <c r="AX710" s="6">
        <v>0</v>
      </c>
      <c r="AY710" s="6">
        <v>0</v>
      </c>
      <c r="AZ710" s="6">
        <v>0</v>
      </c>
      <c r="BA710" s="6">
        <v>0</v>
      </c>
      <c r="BB710" s="6">
        <v>0</v>
      </c>
      <c r="BC710" s="6"/>
      <c r="BD710" s="3"/>
      <c r="BE710" s="3"/>
      <c r="BF710" s="7">
        <v>8862.976409003215</v>
      </c>
    </row>
    <row x14ac:dyDescent="0.25" r="711" customHeight="1" ht="12.75">
      <c r="A711" s="5" t="s">
        <v>267</v>
      </c>
      <c r="B711" s="3" t="s">
        <v>855</v>
      </c>
      <c r="C711" s="3" t="s">
        <v>870</v>
      </c>
      <c r="D711" s="3"/>
      <c r="E711" s="3"/>
      <c r="F711" s="6">
        <f>100*SUM(AM711:AO711)/AL711</f>
      </c>
      <c r="G711" s="6">
        <f>100*SUM(AP711)/AL711</f>
      </c>
      <c r="H711" s="6">
        <f>100*SUM(AQ711)/AL711</f>
      </c>
      <c r="I711" s="6">
        <f>100*SUM(AR711:BC711)/AL711</f>
      </c>
      <c r="J711" s="3"/>
      <c r="K711" s="6">
        <v>40.708</v>
      </c>
      <c r="L711" s="6">
        <v>1.4328979561756903</v>
      </c>
      <c r="M711" s="6">
        <v>2.4511867446202222</v>
      </c>
      <c r="N711" s="7">
        <v>29.967205463299603</v>
      </c>
      <c r="O711" s="6">
        <v>0.9861096099046871</v>
      </c>
      <c r="P711" s="6">
        <v>0.17264542596049917</v>
      </c>
      <c r="Q711" s="7"/>
      <c r="R711" s="6"/>
      <c r="S711" s="6"/>
      <c r="T711" s="6"/>
      <c r="U711" s="5"/>
      <c r="V711" s="6"/>
      <c r="W711" s="6"/>
      <c r="X711" s="6"/>
      <c r="Y711" s="15"/>
      <c r="Z711" s="6"/>
      <c r="AA711" s="6"/>
      <c r="AB711" s="5"/>
      <c r="AC711" s="3"/>
      <c r="AD711" s="6">
        <v>0.5833041</v>
      </c>
      <c r="AE711" s="6">
        <v>0.9978291</v>
      </c>
      <c r="AF711" s="7">
        <v>1219.9050000000002</v>
      </c>
      <c r="AG711" s="6">
        <v>0.4014255</v>
      </c>
      <c r="AH711" s="7">
        <v>7.02805</v>
      </c>
      <c r="AI711" s="15">
        <v>1.9825587</v>
      </c>
      <c r="AJ711" s="6">
        <v>4.870194310700599</v>
      </c>
      <c r="AK711" s="3"/>
      <c r="AL711" s="6">
        <v>174.2626751863988</v>
      </c>
      <c r="AM711" s="6">
        <v>27.16711477399037</v>
      </c>
      <c r="AN711" s="6">
        <v>53.22828002731895</v>
      </c>
      <c r="AO711" s="6">
        <v>18.336846301176575</v>
      </c>
      <c r="AP711" s="6">
        <v>68.48028324887001</v>
      </c>
      <c r="AQ711" s="6">
        <v>7.050150835042893</v>
      </c>
      <c r="AR711" s="6">
        <v>0</v>
      </c>
      <c r="AS711" s="6">
        <v>0</v>
      </c>
      <c r="AT711" s="6">
        <v>0</v>
      </c>
      <c r="AU711" s="6">
        <v>0</v>
      </c>
      <c r="AV711" s="6">
        <v>0</v>
      </c>
      <c r="AW711" s="6">
        <v>0</v>
      </c>
      <c r="AX711" s="6">
        <v>0</v>
      </c>
      <c r="AY711" s="6">
        <v>0</v>
      </c>
      <c r="AZ711" s="6">
        <v>0</v>
      </c>
      <c r="BA711" s="6">
        <v>0</v>
      </c>
      <c r="BB711" s="6">
        <v>0</v>
      </c>
      <c r="BC711" s="6"/>
      <c r="BD711" s="3"/>
      <c r="BE711" s="3"/>
      <c r="BF711" s="7">
        <v>7093.884981487922</v>
      </c>
    </row>
    <row x14ac:dyDescent="0.25" r="712" customHeight="1" ht="12.75">
      <c r="A712" s="5" t="s">
        <v>544</v>
      </c>
      <c r="B712" s="3" t="s">
        <v>855</v>
      </c>
      <c r="C712" s="3" t="s">
        <v>870</v>
      </c>
      <c r="D712" s="3"/>
      <c r="E712" s="3"/>
      <c r="F712" s="6">
        <f>100*SUM(AM712:AO712)/AL712</f>
      </c>
      <c r="G712" s="6">
        <f>100*SUM(AP712)/AL712</f>
      </c>
      <c r="H712" s="6">
        <f>100*SUM(AQ712)/AL712</f>
      </c>
      <c r="I712" s="6">
        <f>100*SUM(AR712:BC712)/AL712</f>
      </c>
      <c r="J712" s="3"/>
      <c r="K712" s="7">
        <v>9</v>
      </c>
      <c r="L712" s="6">
        <v>1.1511111111111112</v>
      </c>
      <c r="M712" s="6">
        <v>4.032</v>
      </c>
      <c r="N712" s="7">
        <v>52.76666666666667</v>
      </c>
      <c r="O712" s="6">
        <v>1.1372222222222221</v>
      </c>
      <c r="P712" s="7">
        <v>0.8297777777777777</v>
      </c>
      <c r="Q712" s="7"/>
      <c r="R712" s="6"/>
      <c r="S712" s="6"/>
      <c r="T712" s="6"/>
      <c r="U712" s="5"/>
      <c r="V712" s="6"/>
      <c r="W712" s="6"/>
      <c r="X712" s="6"/>
      <c r="Y712" s="15"/>
      <c r="Z712" s="6"/>
      <c r="AA712" s="6"/>
      <c r="AB712" s="5"/>
      <c r="AC712" s="3"/>
      <c r="AD712" s="6">
        <v>0.10360000000000001</v>
      </c>
      <c r="AE712" s="6">
        <v>0.36288</v>
      </c>
      <c r="AF712" s="7">
        <v>474.90000000000003</v>
      </c>
      <c r="AG712" s="6">
        <v>0.10235</v>
      </c>
      <c r="AH712" s="7">
        <v>7.468</v>
      </c>
      <c r="AI712" s="15">
        <v>0.56883</v>
      </c>
      <c r="AJ712" s="6">
        <v>6.320333333333334</v>
      </c>
      <c r="AK712" s="3"/>
      <c r="AL712" s="6">
        <v>254.5275602358628</v>
      </c>
      <c r="AM712" s="6">
        <v>21.82456017777778</v>
      </c>
      <c r="AN712" s="6">
        <v>87.55612992</v>
      </c>
      <c r="AO712" s="6">
        <v>32.28777063236871</v>
      </c>
      <c r="AP712" s="6">
        <v>78.97428349999998</v>
      </c>
      <c r="AQ712" s="6">
        <v>33.884816005716324</v>
      </c>
      <c r="AR712" s="6">
        <v>0</v>
      </c>
      <c r="AS712" s="6">
        <v>0</v>
      </c>
      <c r="AT712" s="6">
        <v>0</v>
      </c>
      <c r="AU712" s="6">
        <v>0</v>
      </c>
      <c r="AV712" s="6">
        <v>0</v>
      </c>
      <c r="AW712" s="6">
        <v>0</v>
      </c>
      <c r="AX712" s="6">
        <v>0</v>
      </c>
      <c r="AY712" s="6">
        <v>0</v>
      </c>
      <c r="AZ712" s="6">
        <v>0</v>
      </c>
      <c r="BA712" s="6">
        <v>0</v>
      </c>
      <c r="BB712" s="6">
        <v>0</v>
      </c>
      <c r="BC712" s="6"/>
      <c r="BD712" s="3"/>
      <c r="BE712" s="3"/>
      <c r="BF712" s="7">
        <v>2290.748042122765</v>
      </c>
    </row>
    <row x14ac:dyDescent="0.25" r="713" customHeight="1" ht="12.75">
      <c r="A713" s="5" t="s">
        <v>806</v>
      </c>
      <c r="B713" s="3" t="s">
        <v>855</v>
      </c>
      <c r="C713" s="3" t="s">
        <v>870</v>
      </c>
      <c r="D713" s="3"/>
      <c r="E713" s="3"/>
      <c r="F713" s="6">
        <f>100*SUM(AM713:AO713)/AL713</f>
      </c>
      <c r="G713" s="6">
        <f>100*SUM(AP713)/AL713</f>
      </c>
      <c r="H713" s="6">
        <f>100*SUM(AQ713)/AL713</f>
      </c>
      <c r="I713" s="6">
        <f>100*SUM(AR713:BC713)/AL713</f>
      </c>
      <c r="J713" s="3"/>
      <c r="K713" s="6">
        <v>3.4</v>
      </c>
      <c r="L713" s="6">
        <v>0.647</v>
      </c>
      <c r="M713" s="6">
        <v>1.697</v>
      </c>
      <c r="N713" s="5">
        <v>14</v>
      </c>
      <c r="O713" s="6">
        <v>0.656</v>
      </c>
      <c r="P713" s="6">
        <v>0.022</v>
      </c>
      <c r="Q713" s="7"/>
      <c r="R713" s="6"/>
      <c r="S713" s="6"/>
      <c r="T713" s="6"/>
      <c r="U713" s="5"/>
      <c r="V713" s="6"/>
      <c r="W713" s="6"/>
      <c r="X713" s="6"/>
      <c r="Y713" s="15"/>
      <c r="Z713" s="6"/>
      <c r="AA713" s="6"/>
      <c r="AB713" s="5"/>
      <c r="AC713" s="3"/>
      <c r="AD713" s="6">
        <v>0.021998000000000004</v>
      </c>
      <c r="AE713" s="6">
        <v>0.057698</v>
      </c>
      <c r="AF713" s="7">
        <v>47.6</v>
      </c>
      <c r="AG713" s="6">
        <v>0.022304</v>
      </c>
      <c r="AH713" s="7">
        <v>0.07479999999999999</v>
      </c>
      <c r="AI713" s="15">
        <v>0.10200000000000001</v>
      </c>
      <c r="AJ713" s="6">
        <v>3.0000000000000004</v>
      </c>
      <c r="AK713" s="3"/>
      <c r="AL713" s="6">
        <v>104.13852255848873</v>
      </c>
      <c r="AM713" s="6">
        <v>12.26683532</v>
      </c>
      <c r="AN713" s="6">
        <v>36.85088107</v>
      </c>
      <c r="AO713" s="6">
        <v>8.566559485530547</v>
      </c>
      <c r="AP713" s="6">
        <v>45.555854399999994</v>
      </c>
      <c r="AQ713" s="6">
        <v>0.8983922829581993</v>
      </c>
      <c r="AR713" s="6">
        <v>0</v>
      </c>
      <c r="AS713" s="6">
        <v>0</v>
      </c>
      <c r="AT713" s="6">
        <v>0</v>
      </c>
      <c r="AU713" s="6">
        <v>0</v>
      </c>
      <c r="AV713" s="6">
        <v>0</v>
      </c>
      <c r="AW713" s="6">
        <v>0</v>
      </c>
      <c r="AX713" s="6">
        <v>0</v>
      </c>
      <c r="AY713" s="6">
        <v>0</v>
      </c>
      <c r="AZ713" s="6">
        <v>0</v>
      </c>
      <c r="BA713" s="6">
        <v>0</v>
      </c>
      <c r="BB713" s="6">
        <v>0</v>
      </c>
      <c r="BC713" s="6"/>
      <c r="BD713" s="3"/>
      <c r="BE713" s="3"/>
      <c r="BF713" s="7">
        <v>354.07097669886167</v>
      </c>
    </row>
    <row x14ac:dyDescent="0.25" r="714" customHeight="1" ht="12.75">
      <c r="A714" s="5" t="s">
        <v>735</v>
      </c>
      <c r="B714" s="3" t="s">
        <v>855</v>
      </c>
      <c r="C714" s="3" t="s">
        <v>870</v>
      </c>
      <c r="D714" s="3"/>
      <c r="E714" s="3"/>
      <c r="F714" s="6">
        <f>100*SUM(AM714:AO714)/AL714</f>
      </c>
      <c r="G714" s="6">
        <f>100*SUM(AP714)/AL714</f>
      </c>
      <c r="H714" s="6">
        <f>100*SUM(AQ714)/AL714</f>
      </c>
      <c r="I714" s="6">
        <f>100*SUM(AR714:BC714)/AL714</f>
      </c>
      <c r="J714" s="3"/>
      <c r="K714" s="6">
        <v>2.24</v>
      </c>
      <c r="L714" s="6"/>
      <c r="M714" s="6">
        <v>3.7825892857142858</v>
      </c>
      <c r="N714" s="31">
        <v>23.991071428571423</v>
      </c>
      <c r="O714" s="6">
        <v>0.6395089285714286</v>
      </c>
      <c r="P714" s="7">
        <v>0.8316964285714286</v>
      </c>
      <c r="Q714" s="7"/>
      <c r="R714" s="6"/>
      <c r="S714" s="6"/>
      <c r="T714" s="6"/>
      <c r="U714" s="5"/>
      <c r="V714" s="6"/>
      <c r="W714" s="6"/>
      <c r="X714" s="6"/>
      <c r="Y714" s="15"/>
      <c r="Z714" s="6"/>
      <c r="AA714" s="6"/>
      <c r="AB714" s="5"/>
      <c r="AC714" s="3"/>
      <c r="AD714" s="6">
        <v>0</v>
      </c>
      <c r="AE714" s="6">
        <v>0.08473000000000001</v>
      </c>
      <c r="AF714" s="7">
        <v>53.739999999999995</v>
      </c>
      <c r="AG714" s="6">
        <v>0.014325000000000001</v>
      </c>
      <c r="AH714" s="7">
        <v>1.8630000000000002</v>
      </c>
      <c r="AI714" s="15">
        <v>0.09905500000000002</v>
      </c>
      <c r="AJ714" s="6">
        <v>4.422098214285715</v>
      </c>
      <c r="AK714" s="3"/>
      <c r="AL714" s="6">
        <v>175.19396576952226</v>
      </c>
      <c r="AM714" s="6">
        <v>0</v>
      </c>
      <c r="AN714" s="6">
        <v>82.14009894196428</v>
      </c>
      <c r="AO714" s="6">
        <v>14.68006717960496</v>
      </c>
      <c r="AP714" s="6">
        <v>44.41063359375</v>
      </c>
      <c r="AQ714" s="6">
        <v>33.96316605420303</v>
      </c>
      <c r="AR714" s="6">
        <v>0</v>
      </c>
      <c r="AS714" s="6">
        <v>0</v>
      </c>
      <c r="AT714" s="6">
        <v>0</v>
      </c>
      <c r="AU714" s="6">
        <v>0</v>
      </c>
      <c r="AV714" s="6">
        <v>0</v>
      </c>
      <c r="AW714" s="6">
        <v>0</v>
      </c>
      <c r="AX714" s="6">
        <v>0</v>
      </c>
      <c r="AY714" s="6">
        <v>0</v>
      </c>
      <c r="AZ714" s="6">
        <v>0</v>
      </c>
      <c r="BA714" s="6">
        <v>0</v>
      </c>
      <c r="BB714" s="6">
        <v>0</v>
      </c>
      <c r="BC714" s="6"/>
      <c r="BD714" s="3"/>
      <c r="BE714" s="3"/>
      <c r="BF714" s="7">
        <v>392.4344833237299</v>
      </c>
    </row>
    <row x14ac:dyDescent="0.25" r="715" customHeight="1" ht="12.75">
      <c r="A715" s="5" t="s">
        <v>98</v>
      </c>
      <c r="B715" s="3" t="s">
        <v>855</v>
      </c>
      <c r="C715" s="3" t="s">
        <v>870</v>
      </c>
      <c r="D715" s="3"/>
      <c r="E715" s="3"/>
      <c r="F715" s="6">
        <f>100*SUM(AM715:AO715)/AL715</f>
      </c>
      <c r="G715" s="6">
        <f>100*SUM(AP715)/AL715</f>
      </c>
      <c r="H715" s="6">
        <f>100*SUM(AQ715)/AL715</f>
      </c>
      <c r="I715" s="6">
        <f>100*SUM(AR715:BC715)/AL715</f>
      </c>
      <c r="J715" s="3"/>
      <c r="K715" s="23">
        <v>0.7907</v>
      </c>
      <c r="L715" s="6">
        <v>0.8520462880991527</v>
      </c>
      <c r="M715" s="6">
        <v>9.28828000505881</v>
      </c>
      <c r="N715" s="7">
        <v>153.07197420007589</v>
      </c>
      <c r="O715" s="6">
        <v>0.8456342481345643</v>
      </c>
      <c r="P715" s="6">
        <v>4.805333249019856</v>
      </c>
      <c r="Q715" s="7"/>
      <c r="R715" s="6"/>
      <c r="S715" s="6"/>
      <c r="T715" s="6"/>
      <c r="U715" s="5"/>
      <c r="V715" s="6"/>
      <c r="W715" s="6"/>
      <c r="X715" s="6"/>
      <c r="Y715" s="15"/>
      <c r="Z715" s="6"/>
      <c r="AA715" s="6"/>
      <c r="AB715" s="5"/>
      <c r="AC715" s="3"/>
      <c r="AD715" s="6">
        <v>0.00673713</v>
      </c>
      <c r="AE715" s="6">
        <v>0.07344243000000002</v>
      </c>
      <c r="AF715" s="7">
        <v>121.03401</v>
      </c>
      <c r="AG715" s="6">
        <v>0.00668643</v>
      </c>
      <c r="AH715" s="7">
        <v>3.799577</v>
      </c>
      <c r="AI715" s="15">
        <v>0.08686599</v>
      </c>
      <c r="AJ715" s="6">
        <v>10.985960541292528</v>
      </c>
      <c r="AK715" s="3"/>
      <c r="AL715" s="6">
        <v>566.4722365982985</v>
      </c>
      <c r="AM715" s="6">
        <v>16.15442272199317</v>
      </c>
      <c r="AN715" s="6">
        <v>201.69787967665363</v>
      </c>
      <c r="AO715" s="6">
        <v>93.66429803946767</v>
      </c>
      <c r="AP715" s="6">
        <v>58.72498579828</v>
      </c>
      <c r="AQ715" s="6">
        <v>196.2306503619041</v>
      </c>
      <c r="AR715" s="6">
        <v>0</v>
      </c>
      <c r="AS715" s="6">
        <v>0</v>
      </c>
      <c r="AT715" s="6">
        <v>0</v>
      </c>
      <c r="AU715" s="6">
        <v>0</v>
      </c>
      <c r="AV715" s="6">
        <v>0</v>
      </c>
      <c r="AW715" s="6">
        <v>0</v>
      </c>
      <c r="AX715" s="6">
        <v>0</v>
      </c>
      <c r="AY715" s="6">
        <v>0</v>
      </c>
      <c r="AZ715" s="6">
        <v>0</v>
      </c>
      <c r="BA715" s="6">
        <v>0</v>
      </c>
      <c r="BB715" s="6">
        <v>0</v>
      </c>
      <c r="BC715" s="6"/>
      <c r="BD715" s="3"/>
      <c r="BE715" s="3"/>
      <c r="BF715" s="7">
        <v>447.90959747827463</v>
      </c>
    </row>
    <row x14ac:dyDescent="0.25" r="716" customHeight="1" ht="12.75">
      <c r="A716" s="5" t="s">
        <v>409</v>
      </c>
      <c r="B716" s="3" t="s">
        <v>855</v>
      </c>
      <c r="C716" s="3" t="s">
        <v>870</v>
      </c>
      <c r="D716" s="3"/>
      <c r="E716" s="3"/>
      <c r="F716" s="6">
        <f>100*SUM(AM716:AO716)/AL716</f>
      </c>
      <c r="G716" s="6">
        <f>100*SUM(AP716)/AL716</f>
      </c>
      <c r="H716" s="6">
        <f>100*SUM(AQ716)/AL716</f>
      </c>
      <c r="I716" s="6">
        <f>100*SUM(AR716:BC716)/AL716</f>
      </c>
      <c r="J716" s="3"/>
      <c r="K716" s="6">
        <v>30.038</v>
      </c>
      <c r="L716" s="6">
        <v>1.009140089220321</v>
      </c>
      <c r="M716" s="6">
        <v>1.4751594646780744</v>
      </c>
      <c r="N716" s="7">
        <v>31.228750249683735</v>
      </c>
      <c r="O716" s="6">
        <v>0.3084030228377389</v>
      </c>
      <c r="P716" s="6">
        <v>0.9441034689393435</v>
      </c>
      <c r="Q716" s="7"/>
      <c r="R716" s="6"/>
      <c r="S716" s="6"/>
      <c r="T716" s="6"/>
      <c r="U716" s="5"/>
      <c r="V716" s="6"/>
      <c r="W716" s="6"/>
      <c r="X716" s="6"/>
      <c r="Y716" s="15"/>
      <c r="Z716" s="6"/>
      <c r="AA716" s="6"/>
      <c r="AB716" s="5"/>
      <c r="AC716" s="3"/>
      <c r="AD716" s="6">
        <v>0.30312550000000005</v>
      </c>
      <c r="AE716" s="6">
        <v>0.4431084</v>
      </c>
      <c r="AF716" s="7">
        <v>938.0492</v>
      </c>
      <c r="AG716" s="6">
        <v>0.09263810000000001</v>
      </c>
      <c r="AH716" s="7">
        <v>28.35898</v>
      </c>
      <c r="AI716" s="15">
        <v>0.8388720000000001</v>
      </c>
      <c r="AJ716" s="6">
        <v>2.7927025767361346</v>
      </c>
      <c r="AK716" s="3"/>
      <c r="AL716" s="6">
        <v>130.2456175311702</v>
      </c>
      <c r="AM716" s="6">
        <v>19.13285206997803</v>
      </c>
      <c r="AN716" s="6">
        <v>32.033545074918436</v>
      </c>
      <c r="AO716" s="6">
        <v>19.108781905192334</v>
      </c>
      <c r="AP716" s="6">
        <v>21.417017080664497</v>
      </c>
      <c r="AQ716" s="6">
        <v>38.55342140041692</v>
      </c>
      <c r="AR716" s="6">
        <v>0</v>
      </c>
      <c r="AS716" s="6">
        <v>0</v>
      </c>
      <c r="AT716" s="6">
        <v>0</v>
      </c>
      <c r="AU716" s="6">
        <v>0</v>
      </c>
      <c r="AV716" s="6">
        <v>0</v>
      </c>
      <c r="AW716" s="6">
        <v>0</v>
      </c>
      <c r="AX716" s="6">
        <v>0</v>
      </c>
      <c r="AY716" s="6">
        <v>0</v>
      </c>
      <c r="AZ716" s="6">
        <v>0</v>
      </c>
      <c r="BA716" s="6">
        <v>0</v>
      </c>
      <c r="BB716" s="6">
        <v>0</v>
      </c>
      <c r="BC716" s="6"/>
      <c r="BD716" s="3"/>
      <c r="BE716" s="3"/>
      <c r="BF716" s="7">
        <v>3912.3178594012907</v>
      </c>
    </row>
    <row x14ac:dyDescent="0.25" r="717" customHeight="1" ht="12.75">
      <c r="A717" s="5" t="s">
        <v>272</v>
      </c>
      <c r="B717" s="3" t="s">
        <v>855</v>
      </c>
      <c r="C717" s="3" t="s">
        <v>870</v>
      </c>
      <c r="D717" s="3"/>
      <c r="E717" s="3"/>
      <c r="F717" s="6">
        <f>100*SUM(AM717:AO717)/AL717</f>
      </c>
      <c r="G717" s="6">
        <f>100*SUM(AP717)/AL717</f>
      </c>
      <c r="H717" s="6">
        <f>100*SUM(AQ717)/AL717</f>
      </c>
      <c r="I717" s="6">
        <f>100*SUM(AR717:BC717)/AL717</f>
      </c>
      <c r="J717" s="3"/>
      <c r="K717" s="6">
        <v>6.965999999999999</v>
      </c>
      <c r="L717" s="6">
        <v>1.090043066322136</v>
      </c>
      <c r="M717" s="6">
        <v>5.8352368647717485</v>
      </c>
      <c r="N717" s="31">
        <v>84.32644272179157</v>
      </c>
      <c r="O717" s="6">
        <v>1.1747717484926785</v>
      </c>
      <c r="P717" s="6">
        <v>2.3642721791559</v>
      </c>
      <c r="Q717" s="7"/>
      <c r="R717" s="6"/>
      <c r="S717" s="6"/>
      <c r="T717" s="6"/>
      <c r="U717" s="5"/>
      <c r="V717" s="6"/>
      <c r="W717" s="6"/>
      <c r="X717" s="6"/>
      <c r="Y717" s="15"/>
      <c r="Z717" s="6"/>
      <c r="AA717" s="6"/>
      <c r="AB717" s="5"/>
      <c r="AC717" s="3"/>
      <c r="AD717" s="6">
        <v>0.07593239999999998</v>
      </c>
      <c r="AE717" s="6">
        <v>0.4064825999999999</v>
      </c>
      <c r="AF717" s="7">
        <v>587.418</v>
      </c>
      <c r="AG717" s="6">
        <v>0.08183459999999998</v>
      </c>
      <c r="AH717" s="7">
        <v>16.46952</v>
      </c>
      <c r="AI717" s="15">
        <v>0.5642495999999999</v>
      </c>
      <c r="AJ717" s="6">
        <v>8.100051679586564</v>
      </c>
      <c r="AK717" s="3"/>
      <c r="AL717" s="6">
        <v>377.10917634397805</v>
      </c>
      <c r="AM717" s="6">
        <v>20.666736918518517</v>
      </c>
      <c r="AN717" s="6">
        <v>126.7139774419466</v>
      </c>
      <c r="AO717" s="6">
        <v>51.599106269958</v>
      </c>
      <c r="AP717" s="6">
        <v>81.58190659689922</v>
      </c>
      <c r="AQ717" s="6">
        <v>96.54744911665573</v>
      </c>
      <c r="AR717" s="6">
        <v>0</v>
      </c>
      <c r="AS717" s="6">
        <v>0</v>
      </c>
      <c r="AT717" s="6">
        <v>0</v>
      </c>
      <c r="AU717" s="6">
        <v>0</v>
      </c>
      <c r="AV717" s="6">
        <v>0</v>
      </c>
      <c r="AW717" s="6">
        <v>0</v>
      </c>
      <c r="AX717" s="6">
        <v>0</v>
      </c>
      <c r="AY717" s="6">
        <v>0</v>
      </c>
      <c r="AZ717" s="6">
        <v>0</v>
      </c>
      <c r="BA717" s="6">
        <v>0</v>
      </c>
      <c r="BB717" s="6">
        <v>0</v>
      </c>
      <c r="BC717" s="6"/>
      <c r="BD717" s="3"/>
      <c r="BE717" s="3"/>
      <c r="BF717" s="7">
        <v>2626.942522412151</v>
      </c>
    </row>
    <row x14ac:dyDescent="0.25" r="718" customHeight="1" ht="12.75">
      <c r="A718" s="5" t="s">
        <v>113</v>
      </c>
      <c r="B718" s="3" t="s">
        <v>855</v>
      </c>
      <c r="C718" s="3" t="s">
        <v>870</v>
      </c>
      <c r="D718" s="3"/>
      <c r="E718" s="3"/>
      <c r="F718" s="6">
        <f>100*SUM(AM718:AO718)/AL718</f>
      </c>
      <c r="G718" s="6">
        <f>100*SUM(AP718)/AL718</f>
      </c>
      <c r="H718" s="6">
        <f>100*SUM(AQ718)/AL718</f>
      </c>
      <c r="I718" s="6">
        <f>100*SUM(AR718:BC718)/AL718</f>
      </c>
      <c r="J718" s="3"/>
      <c r="K718" s="6">
        <v>1.841</v>
      </c>
      <c r="L718" s="6"/>
      <c r="M718" s="6">
        <v>10.05</v>
      </c>
      <c r="N718" s="5">
        <v>115</v>
      </c>
      <c r="O718" s="6">
        <v>1.78</v>
      </c>
      <c r="P718" s="6">
        <v>3.31</v>
      </c>
      <c r="Q718" s="7"/>
      <c r="R718" s="6"/>
      <c r="S718" s="6"/>
      <c r="T718" s="6"/>
      <c r="U718" s="5"/>
      <c r="V718" s="6"/>
      <c r="W718" s="6"/>
      <c r="X718" s="6"/>
      <c r="Y718" s="15"/>
      <c r="Z718" s="6"/>
      <c r="AA718" s="6"/>
      <c r="AB718" s="5"/>
      <c r="AC718" s="3"/>
      <c r="AD718" s="6">
        <v>0</v>
      </c>
      <c r="AE718" s="6">
        <v>0.1850205</v>
      </c>
      <c r="AF718" s="7">
        <v>211.715</v>
      </c>
      <c r="AG718" s="6">
        <v>0.0327698</v>
      </c>
      <c r="AH718" s="7">
        <v>6.09371</v>
      </c>
      <c r="AI718" s="15">
        <v>0.2177903</v>
      </c>
      <c r="AJ718" s="6">
        <v>11.83</v>
      </c>
      <c r="AK718" s="3"/>
      <c r="AL718" s="6">
        <v>547.3861572749197</v>
      </c>
      <c r="AM718" s="6">
        <v>0</v>
      </c>
      <c r="AN718" s="6">
        <v>218.2388655</v>
      </c>
      <c r="AO718" s="6">
        <v>70.36816720257237</v>
      </c>
      <c r="AP718" s="6">
        <v>123.61192199999999</v>
      </c>
      <c r="AQ718" s="6">
        <v>135.16720257234726</v>
      </c>
      <c r="AR718" s="6">
        <v>0</v>
      </c>
      <c r="AS718" s="6">
        <v>0</v>
      </c>
      <c r="AT718" s="6">
        <v>0</v>
      </c>
      <c r="AU718" s="6">
        <v>0</v>
      </c>
      <c r="AV718" s="6">
        <v>0</v>
      </c>
      <c r="AW718" s="6">
        <v>0</v>
      </c>
      <c r="AX718" s="6">
        <v>0</v>
      </c>
      <c r="AY718" s="6">
        <v>0</v>
      </c>
      <c r="AZ718" s="6">
        <v>0</v>
      </c>
      <c r="BA718" s="6">
        <v>0</v>
      </c>
      <c r="BB718" s="6">
        <v>0</v>
      </c>
      <c r="BC718" s="6"/>
      <c r="BD718" s="3"/>
      <c r="BE718" s="3"/>
      <c r="BF718" s="7">
        <v>1007.7379155431272</v>
      </c>
    </row>
    <row x14ac:dyDescent="0.25" r="719" customHeight="1" ht="12.75">
      <c r="A719" s="5" t="s">
        <v>484</v>
      </c>
      <c r="B719" s="3" t="s">
        <v>855</v>
      </c>
      <c r="C719" s="3" t="s">
        <v>870</v>
      </c>
      <c r="D719" s="3"/>
      <c r="E719" s="3"/>
      <c r="F719" s="6">
        <f>100*SUM(AM719:AO719)/AL719</f>
      </c>
      <c r="G719" s="6">
        <f>100*SUM(AP719)/AL719</f>
      </c>
      <c r="H719" s="6">
        <f>100*SUM(AQ719)/AL719</f>
      </c>
      <c r="I719" s="6">
        <f>100*SUM(AR719:BC719)/AL719</f>
      </c>
      <c r="J719" s="3"/>
      <c r="K719" s="6">
        <v>14.35</v>
      </c>
      <c r="L719" s="6">
        <v>1.385156794425087</v>
      </c>
      <c r="M719" s="6">
        <v>2.858466898954704</v>
      </c>
      <c r="N719" s="7">
        <v>35.60044599303136</v>
      </c>
      <c r="O719" s="6">
        <v>1.1033101045296168</v>
      </c>
      <c r="P719" s="6">
        <v>0.5559860627177701</v>
      </c>
      <c r="Q719" s="7"/>
      <c r="R719" s="6"/>
      <c r="S719" s="6"/>
      <c r="T719" s="6"/>
      <c r="U719" s="5"/>
      <c r="V719" s="6"/>
      <c r="W719" s="6"/>
      <c r="X719" s="6"/>
      <c r="Y719" s="15"/>
      <c r="Z719" s="6"/>
      <c r="AA719" s="6"/>
      <c r="AB719" s="5"/>
      <c r="AC719" s="3"/>
      <c r="AD719" s="6">
        <v>0.19877</v>
      </c>
      <c r="AE719" s="6">
        <v>0.41019</v>
      </c>
      <c r="AF719" s="7">
        <v>510.86639999999994</v>
      </c>
      <c r="AG719" s="6">
        <v>0.158325</v>
      </c>
      <c r="AH719" s="7">
        <v>7.978400000000001</v>
      </c>
      <c r="AI719" s="15">
        <v>0.767285</v>
      </c>
      <c r="AJ719" s="6">
        <v>5.346933797909408</v>
      </c>
      <c r="AK719" s="3"/>
      <c r="AL719" s="6">
        <v>209.44178195432514</v>
      </c>
      <c r="AM719" s="6">
        <v>26.2619633533101</v>
      </c>
      <c r="AN719" s="6">
        <v>62.07249483554007</v>
      </c>
      <c r="AO719" s="6">
        <v>21.783809879337195</v>
      </c>
      <c r="AP719" s="6">
        <v>76.61925987804878</v>
      </c>
      <c r="AQ719" s="6">
        <v>22.704254008089006</v>
      </c>
      <c r="AR719" s="6">
        <v>0</v>
      </c>
      <c r="AS719" s="6">
        <v>0</v>
      </c>
      <c r="AT719" s="6">
        <v>0</v>
      </c>
      <c r="AU719" s="6">
        <v>0</v>
      </c>
      <c r="AV719" s="6">
        <v>0</v>
      </c>
      <c r="AW719" s="6">
        <v>0</v>
      </c>
      <c r="AX719" s="6">
        <v>0</v>
      </c>
      <c r="AY719" s="6">
        <v>0</v>
      </c>
      <c r="AZ719" s="6">
        <v>0</v>
      </c>
      <c r="BA719" s="6">
        <v>0</v>
      </c>
      <c r="BB719" s="6">
        <v>0</v>
      </c>
      <c r="BC719" s="6"/>
      <c r="BD719" s="3"/>
      <c r="BE719" s="3"/>
      <c r="BF719" s="7">
        <v>3005.4895710445658</v>
      </c>
    </row>
    <row x14ac:dyDescent="0.25" r="720" customHeight="1" ht="12.75">
      <c r="A720" s="5" t="s">
        <v>494</v>
      </c>
      <c r="B720" s="3" t="s">
        <v>855</v>
      </c>
      <c r="C720" s="3" t="s">
        <v>870</v>
      </c>
      <c r="D720" s="3"/>
      <c r="E720" s="3"/>
      <c r="F720" s="6">
        <f>100*SUM(AM720:AO720)/AL720</f>
      </c>
      <c r="G720" s="6">
        <f>100*SUM(AP720)/AL720</f>
      </c>
      <c r="H720" s="6">
        <f>100*SUM(AQ720)/AL720</f>
      </c>
      <c r="I720" s="6">
        <f>100*SUM(AR720:BC720)/AL720</f>
      </c>
      <c r="J720" s="3"/>
      <c r="K720" s="6">
        <v>13.733</v>
      </c>
      <c r="L720" s="6">
        <v>0.24619675234835794</v>
      </c>
      <c r="M720" s="6">
        <v>3.837042889390519</v>
      </c>
      <c r="N720" s="7">
        <v>35.22252967305032</v>
      </c>
      <c r="O720" s="6">
        <v>1.3139437850433262</v>
      </c>
      <c r="P720" s="6">
        <v>0.19873225078278597</v>
      </c>
      <c r="Q720" s="7"/>
      <c r="R720" s="6"/>
      <c r="S720" s="6"/>
      <c r="T720" s="6"/>
      <c r="U720" s="5"/>
      <c r="V720" s="6"/>
      <c r="W720" s="6"/>
      <c r="X720" s="6"/>
      <c r="Y720" s="15"/>
      <c r="Z720" s="6"/>
      <c r="AA720" s="6"/>
      <c r="AB720" s="5"/>
      <c r="AC720" s="3"/>
      <c r="AD720" s="6">
        <v>0.0338102</v>
      </c>
      <c r="AE720" s="6">
        <v>0.5269410999999999</v>
      </c>
      <c r="AF720" s="7">
        <v>483.711</v>
      </c>
      <c r="AG720" s="6">
        <v>0.1804439</v>
      </c>
      <c r="AH720" s="7">
        <v>2.72919</v>
      </c>
      <c r="AI720" s="15">
        <v>0.7411951999999999</v>
      </c>
      <c r="AJ720" s="6">
        <v>5.397183426782203</v>
      </c>
      <c r="AK720" s="3"/>
      <c r="AL720" s="6">
        <v>208.9050494081169</v>
      </c>
      <c r="AM720" s="6">
        <v>4.667782097953833</v>
      </c>
      <c r="AN720" s="6">
        <v>83.32257582641083</v>
      </c>
      <c r="AO720" s="6">
        <v>21.552563976789312</v>
      </c>
      <c r="AP720" s="6">
        <v>91.24669475795528</v>
      </c>
      <c r="AQ720" s="6">
        <v>8.115432749007658</v>
      </c>
      <c r="AR720" s="6">
        <v>0</v>
      </c>
      <c r="AS720" s="6">
        <v>0</v>
      </c>
      <c r="AT720" s="6">
        <v>0</v>
      </c>
      <c r="AU720" s="6">
        <v>0</v>
      </c>
      <c r="AV720" s="6">
        <v>0</v>
      </c>
      <c r="AW720" s="6">
        <v>0</v>
      </c>
      <c r="AX720" s="6">
        <v>0</v>
      </c>
      <c r="AY720" s="6">
        <v>0</v>
      </c>
      <c r="AZ720" s="6">
        <v>0</v>
      </c>
      <c r="BA720" s="6">
        <v>0</v>
      </c>
      <c r="BB720" s="6">
        <v>0</v>
      </c>
      <c r="BC720" s="6"/>
      <c r="BD720" s="3"/>
      <c r="BE720" s="3"/>
      <c r="BF720" s="7">
        <v>2868.8930435216694</v>
      </c>
    </row>
    <row x14ac:dyDescent="0.25" r="721" customHeight="1" ht="12.75">
      <c r="A721" s="5" t="s">
        <v>229</v>
      </c>
      <c r="B721" s="3" t="s">
        <v>855</v>
      </c>
      <c r="C721" s="3" t="s">
        <v>870</v>
      </c>
      <c r="D721" s="3"/>
      <c r="E721" s="3"/>
      <c r="F721" s="6">
        <f>100*SUM(AM721:AO721)/AL721</f>
      </c>
      <c r="G721" s="6">
        <f>100*SUM(AP721)/AL721</f>
      </c>
      <c r="H721" s="6">
        <f>100*SUM(AQ721)/AL721</f>
      </c>
      <c r="I721" s="6">
        <f>100*SUM(AR721:BC721)/AL721</f>
      </c>
      <c r="J721" s="3"/>
      <c r="K721" s="6">
        <v>2.009</v>
      </c>
      <c r="L721" s="6">
        <v>3.6861174713787954</v>
      </c>
      <c r="M721" s="6">
        <v>5.7080338476854156</v>
      </c>
      <c r="N721" s="31">
        <v>35.480836236933804</v>
      </c>
      <c r="O721" s="6">
        <v>2.5517670482827284</v>
      </c>
      <c r="P721" s="6">
        <v>0.477033349925336</v>
      </c>
      <c r="Q721" s="7"/>
      <c r="R721" s="6"/>
      <c r="S721" s="6"/>
      <c r="T721" s="6"/>
      <c r="U721" s="5"/>
      <c r="V721" s="6"/>
      <c r="W721" s="6"/>
      <c r="X721" s="6"/>
      <c r="Y721" s="15"/>
      <c r="Z721" s="6"/>
      <c r="AA721" s="6"/>
      <c r="AB721" s="5"/>
      <c r="AC721" s="3"/>
      <c r="AD721" s="6">
        <v>0.0740541</v>
      </c>
      <c r="AE721" s="6">
        <v>0.1146744</v>
      </c>
      <c r="AF721" s="7">
        <v>71.281</v>
      </c>
      <c r="AG721" s="6">
        <v>0.05126500000000001</v>
      </c>
      <c r="AH721" s="7">
        <v>0.95836</v>
      </c>
      <c r="AI721" s="15">
        <v>0.2399935</v>
      </c>
      <c r="AJ721" s="6">
        <v>11.94591836734694</v>
      </c>
      <c r="AK721" s="3"/>
      <c r="AL721" s="6">
        <v>412.2368583786722</v>
      </c>
      <c r="AM721" s="6">
        <v>69.88716536565455</v>
      </c>
      <c r="AN721" s="6">
        <v>123.95172449298158</v>
      </c>
      <c r="AO721" s="6">
        <v>21.71062101571866</v>
      </c>
      <c r="AP721" s="6">
        <v>177.20720749128924</v>
      </c>
      <c r="AQ721" s="6">
        <v>19.480140013028194</v>
      </c>
      <c r="AR721" s="6">
        <v>0</v>
      </c>
      <c r="AS721" s="6">
        <v>0</v>
      </c>
      <c r="AT721" s="6">
        <v>0</v>
      </c>
      <c r="AU721" s="6">
        <v>0</v>
      </c>
      <c r="AV721" s="6">
        <v>0</v>
      </c>
      <c r="AW721" s="6">
        <v>0</v>
      </c>
      <c r="AX721" s="6">
        <v>0</v>
      </c>
      <c r="AY721" s="6">
        <v>0</v>
      </c>
      <c r="AZ721" s="6">
        <v>0</v>
      </c>
      <c r="BA721" s="6">
        <v>0</v>
      </c>
      <c r="BB721" s="6">
        <v>0</v>
      </c>
      <c r="BC721" s="6"/>
      <c r="BD721" s="3"/>
      <c r="BE721" s="3"/>
      <c r="BF721" s="7">
        <v>828.1838484827524</v>
      </c>
    </row>
    <row x14ac:dyDescent="0.25" r="722" customHeight="1" ht="12.75">
      <c r="A722" s="5" t="s">
        <v>580</v>
      </c>
      <c r="B722" s="3" t="s">
        <v>855</v>
      </c>
      <c r="C722" s="3" t="s">
        <v>870</v>
      </c>
      <c r="D722" s="3"/>
      <c r="E722" s="3"/>
      <c r="F722" s="6">
        <f>100*SUM(AM722:AO722)/AL722</f>
      </c>
      <c r="G722" s="6">
        <f>100*SUM(AP722)/AL722</f>
      </c>
      <c r="H722" s="6">
        <f>100*SUM(AQ722)/AL722</f>
      </c>
      <c r="I722" s="6">
        <f>100*SUM(AR722:BC722)/AL722</f>
      </c>
      <c r="J722" s="3"/>
      <c r="K722" s="23">
        <v>0.275922</v>
      </c>
      <c r="L722" s="6"/>
      <c r="M722" s="6">
        <v>4.385592884945745</v>
      </c>
      <c r="N722" s="7">
        <v>48.06089416574249</v>
      </c>
      <c r="O722" s="6">
        <v>0.8715495683562746</v>
      </c>
      <c r="P722" s="6">
        <v>1.3052360449692302</v>
      </c>
      <c r="Q722" s="7"/>
      <c r="R722" s="6"/>
      <c r="S722" s="6"/>
      <c r="T722" s="6"/>
      <c r="U722" s="5"/>
      <c r="V722" s="6"/>
      <c r="W722" s="6"/>
      <c r="X722" s="6"/>
      <c r="Y722" s="15"/>
      <c r="Z722" s="6"/>
      <c r="AA722" s="6"/>
      <c r="AB722" s="5"/>
      <c r="AC722" s="3"/>
      <c r="AD722" s="6">
        <v>0</v>
      </c>
      <c r="AE722" s="6">
        <v>0.012100815599999998</v>
      </c>
      <c r="AF722" s="7">
        <v>13.26105804</v>
      </c>
      <c r="AG722" s="6">
        <v>0.002404797</v>
      </c>
      <c r="AH722" s="7">
        <v>0.3601433399999999</v>
      </c>
      <c r="AI722" s="15">
        <v>0.014505612599999999</v>
      </c>
      <c r="AJ722" s="6">
        <v>5.25714245330202</v>
      </c>
      <c r="AK722" s="3"/>
      <c r="AL722" s="6">
        <v>238.46813962694554</v>
      </c>
      <c r="AM722" s="6">
        <v>0</v>
      </c>
      <c r="AN722" s="6">
        <v>95.23450903039118</v>
      </c>
      <c r="AO722" s="6">
        <v>29.408322057044362</v>
      </c>
      <c r="AP722" s="6">
        <v>60.52467261954465</v>
      </c>
      <c r="AQ722" s="6">
        <v>53.30063591996535</v>
      </c>
      <c r="AR722" s="6">
        <v>0</v>
      </c>
      <c r="AS722" s="6">
        <v>0</v>
      </c>
      <c r="AT722" s="6">
        <v>0</v>
      </c>
      <c r="AU722" s="6">
        <v>0</v>
      </c>
      <c r="AV722" s="6">
        <v>0</v>
      </c>
      <c r="AW722" s="6">
        <v>0</v>
      </c>
      <c r="AX722" s="6">
        <v>0</v>
      </c>
      <c r="AY722" s="6">
        <v>0</v>
      </c>
      <c r="AZ722" s="6">
        <v>0</v>
      </c>
      <c r="BA722" s="6">
        <v>0</v>
      </c>
      <c r="BB722" s="6">
        <v>0</v>
      </c>
      <c r="BC722" s="6"/>
      <c r="BD722" s="3"/>
      <c r="BE722" s="3"/>
      <c r="BF722" s="7">
        <v>65.79860602214607</v>
      </c>
    </row>
    <row x14ac:dyDescent="0.25" r="723" customHeight="1" ht="12.75">
      <c r="A723" s="5" t="s">
        <v>527</v>
      </c>
      <c r="B723" s="3" t="s">
        <v>855</v>
      </c>
      <c r="C723" s="3" t="s">
        <v>870</v>
      </c>
      <c r="D723" s="3"/>
      <c r="E723" s="3"/>
      <c r="F723" s="6">
        <f>100*SUM(AM723:AO723)/AL723</f>
      </c>
      <c r="G723" s="6">
        <f>100*SUM(AP723)/AL723</f>
      </c>
      <c r="H723" s="6">
        <f>100*SUM(AQ723)/AL723</f>
      </c>
      <c r="I723" s="6">
        <f>100*SUM(AR723:BC723)/AL723</f>
      </c>
      <c r="J723" s="3"/>
      <c r="K723" s="7">
        <v>10</v>
      </c>
      <c r="L723" s="7">
        <v>0.43999999999999995</v>
      </c>
      <c r="M723" s="7">
        <v>4.032</v>
      </c>
      <c r="N723" s="31">
        <v>52.31999999999999</v>
      </c>
      <c r="O723" s="7">
        <v>1.8239999999999998</v>
      </c>
      <c r="P723" s="6">
        <v>0.06159999999999999</v>
      </c>
      <c r="Q723" s="7"/>
      <c r="R723" s="6"/>
      <c r="S723" s="6"/>
      <c r="T723" s="6"/>
      <c r="U723" s="5"/>
      <c r="V723" s="6"/>
      <c r="W723" s="6"/>
      <c r="X723" s="6"/>
      <c r="Y723" s="15"/>
      <c r="Z723" s="6"/>
      <c r="AA723" s="6"/>
      <c r="AB723" s="5"/>
      <c r="AC723" s="3"/>
      <c r="AD723" s="6">
        <v>0.044</v>
      </c>
      <c r="AE723" s="6">
        <v>0.4032</v>
      </c>
      <c r="AF723" s="7">
        <v>523.1999999999999</v>
      </c>
      <c r="AG723" s="6">
        <v>0.18239999999999998</v>
      </c>
      <c r="AH723" s="7">
        <v>0.6159999999999999</v>
      </c>
      <c r="AI723" s="15">
        <v>0.6295999999999999</v>
      </c>
      <c r="AJ723" s="6">
        <v>6.295999999999999</v>
      </c>
      <c r="AK723" s="3"/>
      <c r="AL723" s="6">
        <v>257.0957889039228</v>
      </c>
      <c r="AM723" s="6">
        <v>8.342206399999998</v>
      </c>
      <c r="AN723" s="6">
        <v>87.55612992</v>
      </c>
      <c r="AO723" s="6">
        <v>32.01445659163987</v>
      </c>
      <c r="AP723" s="6">
        <v>126.66749759999999</v>
      </c>
      <c r="AQ723" s="6">
        <v>2.5154983922829577</v>
      </c>
      <c r="AR723" s="6">
        <v>0</v>
      </c>
      <c r="AS723" s="6">
        <v>0</v>
      </c>
      <c r="AT723" s="6">
        <v>0</v>
      </c>
      <c r="AU723" s="6">
        <v>0</v>
      </c>
      <c r="AV723" s="6">
        <v>0</v>
      </c>
      <c r="AW723" s="6">
        <v>0</v>
      </c>
      <c r="AX723" s="6">
        <v>0</v>
      </c>
      <c r="AY723" s="6">
        <v>0</v>
      </c>
      <c r="AZ723" s="6">
        <v>0</v>
      </c>
      <c r="BA723" s="6">
        <v>0</v>
      </c>
      <c r="BB723" s="6">
        <v>0</v>
      </c>
      <c r="BC723" s="6"/>
      <c r="BD723" s="3"/>
      <c r="BE723" s="3"/>
      <c r="BF723" s="7">
        <v>2570.957889039228</v>
      </c>
    </row>
    <row x14ac:dyDescent="0.25" r="724" customHeight="1" ht="12.75">
      <c r="A724" s="5" t="s">
        <v>293</v>
      </c>
      <c r="B724" s="3" t="s">
        <v>855</v>
      </c>
      <c r="C724" s="3" t="s">
        <v>870</v>
      </c>
      <c r="D724" s="3"/>
      <c r="E724" s="3"/>
      <c r="F724" s="6">
        <f>100*SUM(AM724:AO724)/AL724</f>
      </c>
      <c r="G724" s="6">
        <f>100*SUM(AP724)/AL724</f>
      </c>
      <c r="H724" s="6">
        <f>100*SUM(AQ724)/AL724</f>
      </c>
      <c r="I724" s="6">
        <f>100*SUM(AR724:BC724)/AL724</f>
      </c>
      <c r="J724" s="3"/>
      <c r="K724" s="6">
        <v>21.47</v>
      </c>
      <c r="L724" s="6"/>
      <c r="M724" s="6">
        <v>4.927293898462972</v>
      </c>
      <c r="N724" s="31">
        <v>52.69306008383792</v>
      </c>
      <c r="O724" s="6">
        <v>2.0357708430367953</v>
      </c>
      <c r="P724" s="6"/>
      <c r="Q724" s="7"/>
      <c r="R724" s="6"/>
      <c r="S724" s="6"/>
      <c r="T724" s="6"/>
      <c r="U724" s="5"/>
      <c r="V724" s="6"/>
      <c r="W724" s="6"/>
      <c r="X724" s="6"/>
      <c r="Y724" s="15"/>
      <c r="Z724" s="6"/>
      <c r="AA724" s="6"/>
      <c r="AB724" s="5"/>
      <c r="AC724" s="3"/>
      <c r="AD724" s="6">
        <v>0</v>
      </c>
      <c r="AE724" s="6">
        <v>1.05789</v>
      </c>
      <c r="AF724" s="7">
        <v>1131.3200000000002</v>
      </c>
      <c r="AG724" s="6">
        <v>0.4370799999999999</v>
      </c>
      <c r="AH724" s="7">
        <v>0</v>
      </c>
      <c r="AI724" s="15">
        <v>1.49497</v>
      </c>
      <c r="AJ724" s="6">
        <v>6.9630647414997675</v>
      </c>
      <c r="AK724" s="3"/>
      <c r="AL724" s="6">
        <v>280.6143480611831</v>
      </c>
      <c r="AM724" s="6">
        <v>0</v>
      </c>
      <c r="AN724" s="6">
        <v>106.99771446623195</v>
      </c>
      <c r="AO724" s="6">
        <v>32.242730977345204</v>
      </c>
      <c r="AP724" s="6">
        <v>141.37390261760592</v>
      </c>
      <c r="AQ724" s="6">
        <v>0</v>
      </c>
      <c r="AR724" s="6">
        <v>0</v>
      </c>
      <c r="AS724" s="6">
        <v>0</v>
      </c>
      <c r="AT724" s="6">
        <v>0</v>
      </c>
      <c r="AU724" s="6">
        <v>0</v>
      </c>
      <c r="AV724" s="6">
        <v>0</v>
      </c>
      <c r="AW724" s="6">
        <v>0</v>
      </c>
      <c r="AX724" s="6">
        <v>0</v>
      </c>
      <c r="AY724" s="6">
        <v>0</v>
      </c>
      <c r="AZ724" s="6">
        <v>0</v>
      </c>
      <c r="BA724" s="6">
        <v>0</v>
      </c>
      <c r="BB724" s="6">
        <v>0</v>
      </c>
      <c r="BC724" s="6"/>
      <c r="BD724" s="3"/>
      <c r="BE724" s="3"/>
      <c r="BF724" s="7">
        <v>6024.7900528736</v>
      </c>
    </row>
    <row x14ac:dyDescent="0.25" r="725" customHeight="1" ht="12.75">
      <c r="A725" s="5" t="s">
        <v>490</v>
      </c>
      <c r="B725" s="3" t="s">
        <v>855</v>
      </c>
      <c r="C725" s="3" t="s">
        <v>870</v>
      </c>
      <c r="D725" s="3"/>
      <c r="E725" s="3"/>
      <c r="F725" s="6">
        <f>100*SUM(AM725:AO725)/AL725</f>
      </c>
      <c r="G725" s="6">
        <f>100*SUM(AP725)/AL725</f>
      </c>
      <c r="H725" s="6">
        <f>100*SUM(AQ725)/AL725</f>
      </c>
      <c r="I725" s="6">
        <f>100*SUM(AR725:BC725)/AL725</f>
      </c>
      <c r="J725" s="3"/>
      <c r="K725" s="6">
        <v>12.831</v>
      </c>
      <c r="L725" s="6">
        <v>0.2</v>
      </c>
      <c r="M725" s="6">
        <v>4.1</v>
      </c>
      <c r="N725" s="6">
        <v>17.6</v>
      </c>
      <c r="O725" s="6">
        <v>1.5</v>
      </c>
      <c r="P725" s="6">
        <v>0.1</v>
      </c>
      <c r="Q725" s="7"/>
      <c r="R725" s="6"/>
      <c r="S725" s="6"/>
      <c r="T725" s="6"/>
      <c r="U725" s="5"/>
      <c r="V725" s="6"/>
      <c r="W725" s="6"/>
      <c r="X725" s="6"/>
      <c r="Y725" s="15"/>
      <c r="Z725" s="6"/>
      <c r="AA725" s="6"/>
      <c r="AB725" s="5"/>
      <c r="AC725" s="3"/>
      <c r="AD725" s="6">
        <v>0.025662000000000004</v>
      </c>
      <c r="AE725" s="6">
        <v>0.526071</v>
      </c>
      <c r="AF725" s="7">
        <v>225.8256</v>
      </c>
      <c r="AG725" s="6">
        <v>0.19246499999999997</v>
      </c>
      <c r="AH725" s="7">
        <v>1.2831000000000001</v>
      </c>
      <c r="AI725" s="15">
        <v>0.7441979999999999</v>
      </c>
      <c r="AJ725" s="6">
        <v>5.8</v>
      </c>
      <c r="AK725" s="3"/>
      <c r="AL725" s="6">
        <v>211.84502335369774</v>
      </c>
      <c r="AM725" s="6">
        <v>3.791912</v>
      </c>
      <c r="AN725" s="6">
        <v>89.03277099999998</v>
      </c>
      <c r="AO725" s="6">
        <v>10.769389067524118</v>
      </c>
      <c r="AP725" s="6">
        <v>104.16735</v>
      </c>
      <c r="AQ725" s="6">
        <v>4.083601286173634</v>
      </c>
      <c r="AR725" s="6">
        <v>0</v>
      </c>
      <c r="AS725" s="6">
        <v>0</v>
      </c>
      <c r="AT725" s="6">
        <v>0</v>
      </c>
      <c r="AU725" s="6">
        <v>0</v>
      </c>
      <c r="AV725" s="6">
        <v>0</v>
      </c>
      <c r="AW725" s="6">
        <v>0</v>
      </c>
      <c r="AX725" s="6">
        <v>0</v>
      </c>
      <c r="AY725" s="6">
        <v>0</v>
      </c>
      <c r="AZ725" s="6">
        <v>0</v>
      </c>
      <c r="BA725" s="6">
        <v>0</v>
      </c>
      <c r="BB725" s="6">
        <v>0</v>
      </c>
      <c r="BC725" s="6"/>
      <c r="BD725" s="3"/>
      <c r="BE725" s="3"/>
      <c r="BF725" s="7">
        <v>2718.1834946512954</v>
      </c>
    </row>
    <row x14ac:dyDescent="0.25" r="726" customHeight="1" ht="12.75">
      <c r="A726" s="5" t="s">
        <v>543</v>
      </c>
      <c r="B726" s="3" t="s">
        <v>855</v>
      </c>
      <c r="C726" s="3" t="s">
        <v>870</v>
      </c>
      <c r="D726" s="3"/>
      <c r="E726" s="3"/>
      <c r="F726" s="6">
        <f>100*SUM(AM726:AO726)/AL726</f>
      </c>
      <c r="G726" s="6">
        <f>100*SUM(AP726)/AL726</f>
      </c>
      <c r="H726" s="6">
        <f>100*SUM(AQ726)/AL726</f>
      </c>
      <c r="I726" s="6">
        <f>100*SUM(AR726:BC726)/AL726</f>
      </c>
      <c r="J726" s="3"/>
      <c r="K726" s="6">
        <v>10.036</v>
      </c>
      <c r="L726" s="6"/>
      <c r="M726" s="6">
        <v>4.421666998804305</v>
      </c>
      <c r="N726" s="7">
        <v>32.73968911917098</v>
      </c>
      <c r="O726" s="6">
        <v>1.1973824232762056</v>
      </c>
      <c r="P726" s="6">
        <v>0.9826175767237944</v>
      </c>
      <c r="Q726" s="7"/>
      <c r="R726" s="6"/>
      <c r="S726" s="6"/>
      <c r="T726" s="6"/>
      <c r="U726" s="5"/>
      <c r="V726" s="6"/>
      <c r="W726" s="6"/>
      <c r="X726" s="6"/>
      <c r="Y726" s="15"/>
      <c r="Z726" s="6"/>
      <c r="AA726" s="6"/>
      <c r="AB726" s="5"/>
      <c r="AC726" s="3"/>
      <c r="AD726" s="6">
        <v>0</v>
      </c>
      <c r="AE726" s="6">
        <v>0.44375850000000006</v>
      </c>
      <c r="AF726" s="7">
        <v>328.57552</v>
      </c>
      <c r="AG726" s="6">
        <v>0.12016929999999998</v>
      </c>
      <c r="AH726" s="7">
        <v>9.86155</v>
      </c>
      <c r="AI726" s="15">
        <v>0.5639278000000001</v>
      </c>
      <c r="AJ726" s="6">
        <v>5.6190494220805105</v>
      </c>
      <c r="AK726" s="3"/>
      <c r="AL726" s="6">
        <v>239.3294772701796</v>
      </c>
      <c r="AM726" s="6">
        <v>0</v>
      </c>
      <c r="AN726" s="6">
        <v>96.01786959580511</v>
      </c>
      <c r="AO726" s="6">
        <v>20.033321026939674</v>
      </c>
      <c r="AP726" s="6">
        <v>83.15210264617376</v>
      </c>
      <c r="AQ726" s="6">
        <v>40.12618400126105</v>
      </c>
      <c r="AR726" s="6">
        <v>0</v>
      </c>
      <c r="AS726" s="6">
        <v>0</v>
      </c>
      <c r="AT726" s="6">
        <v>0</v>
      </c>
      <c r="AU726" s="6">
        <v>0</v>
      </c>
      <c r="AV726" s="6">
        <v>0</v>
      </c>
      <c r="AW726" s="6">
        <v>0</v>
      </c>
      <c r="AX726" s="6">
        <v>0</v>
      </c>
      <c r="AY726" s="6">
        <v>0</v>
      </c>
      <c r="AZ726" s="6">
        <v>0</v>
      </c>
      <c r="BA726" s="6">
        <v>0</v>
      </c>
      <c r="BB726" s="6">
        <v>0</v>
      </c>
      <c r="BC726" s="6"/>
      <c r="BD726" s="3"/>
      <c r="BE726" s="3"/>
      <c r="BF726" s="7">
        <v>2401.9106338835227</v>
      </c>
    </row>
    <row x14ac:dyDescent="0.25" r="727" customHeight="1" ht="12.75">
      <c r="A727" s="5" t="s">
        <v>540</v>
      </c>
      <c r="B727" s="3" t="s">
        <v>855</v>
      </c>
      <c r="C727" s="3" t="s">
        <v>870</v>
      </c>
      <c r="D727" s="3"/>
      <c r="E727" s="3"/>
      <c r="F727" s="6">
        <f>100*SUM(AM727:AO727)/AL727</f>
      </c>
      <c r="G727" s="6">
        <f>100*SUM(AP727)/AL727</f>
      </c>
      <c r="H727" s="6">
        <f>100*SUM(AQ727)/AL727</f>
      </c>
      <c r="I727" s="6">
        <f>100*SUM(AR727:BC727)/AL727</f>
      </c>
      <c r="J727" s="3"/>
      <c r="K727" s="6">
        <v>17.3</v>
      </c>
      <c r="L727" s="6"/>
      <c r="M727" s="7">
        <v>2.3023121387283236</v>
      </c>
      <c r="N727" s="31">
        <v>25.416184971098268</v>
      </c>
      <c r="O727" s="7">
        <v>0.9017341040462428</v>
      </c>
      <c r="P727" s="7">
        <v>0.35260115606936415</v>
      </c>
      <c r="Q727" s="7"/>
      <c r="R727" s="6"/>
      <c r="S727" s="6"/>
      <c r="T727" s="6"/>
      <c r="U727" s="5"/>
      <c r="V727" s="6"/>
      <c r="W727" s="6"/>
      <c r="X727" s="6"/>
      <c r="Y727" s="15"/>
      <c r="Z727" s="6"/>
      <c r="AA727" s="6"/>
      <c r="AB727" s="5"/>
      <c r="AC727" s="3"/>
      <c r="AD727" s="6">
        <v>0</v>
      </c>
      <c r="AE727" s="6">
        <v>0.3983</v>
      </c>
      <c r="AF727" s="7">
        <v>439.70000000000005</v>
      </c>
      <c r="AG727" s="6">
        <v>0.156</v>
      </c>
      <c r="AH727" s="7">
        <v>6.1</v>
      </c>
      <c r="AI727" s="15">
        <v>0.5543</v>
      </c>
      <c r="AJ727" s="6">
        <v>3.2040462427745666</v>
      </c>
      <c r="AK727" s="3"/>
      <c r="AL727" s="6">
        <v>142.56717186779548</v>
      </c>
      <c r="AM727" s="6">
        <v>0</v>
      </c>
      <c r="AN727" s="6">
        <v>49.995421809248555</v>
      </c>
      <c r="AO727" s="6">
        <v>15.552090032154345</v>
      </c>
      <c r="AP727" s="6">
        <v>62.620834682080925</v>
      </c>
      <c r="AQ727" s="6">
        <v>14.398825344311655</v>
      </c>
      <c r="AR727" s="6">
        <v>0</v>
      </c>
      <c r="AS727" s="6">
        <v>0</v>
      </c>
      <c r="AT727" s="6">
        <v>0</v>
      </c>
      <c r="AU727" s="6">
        <v>0</v>
      </c>
      <c r="AV727" s="6">
        <v>0</v>
      </c>
      <c r="AW727" s="6">
        <v>0</v>
      </c>
      <c r="AX727" s="6">
        <v>0</v>
      </c>
      <c r="AY727" s="6">
        <v>0</v>
      </c>
      <c r="AZ727" s="6">
        <v>0</v>
      </c>
      <c r="BA727" s="6">
        <v>0</v>
      </c>
      <c r="BB727" s="6">
        <v>0</v>
      </c>
      <c r="BC727" s="6"/>
      <c r="BD727" s="3"/>
      <c r="BE727" s="3"/>
      <c r="BF727" s="7">
        <v>2466.412073312862</v>
      </c>
    </row>
    <row x14ac:dyDescent="0.25" r="728" customHeight="1" ht="12.75">
      <c r="A728" s="5" t="s">
        <v>193</v>
      </c>
      <c r="B728" s="3" t="s">
        <v>855</v>
      </c>
      <c r="C728" s="3" t="s">
        <v>870</v>
      </c>
      <c r="D728" s="3"/>
      <c r="E728" s="3"/>
      <c r="F728" s="6">
        <f>100*SUM(AM728:AO728)/AL728</f>
      </c>
      <c r="G728" s="6">
        <f>100*SUM(AP728)/AL728</f>
      </c>
      <c r="H728" s="6">
        <f>100*SUM(AQ728)/AL728</f>
      </c>
      <c r="I728" s="6">
        <f>100*SUM(AR728:BC728)/AL728</f>
      </c>
      <c r="J728" s="3"/>
      <c r="K728" s="6">
        <v>38.120000000000005</v>
      </c>
      <c r="L728" s="7">
        <v>0.9852334732423921</v>
      </c>
      <c r="M728" s="7">
        <v>3.4497376705141654</v>
      </c>
      <c r="N728" s="7">
        <v>45.271668415529895</v>
      </c>
      <c r="O728" s="7">
        <v>1.7255587618048263</v>
      </c>
      <c r="P728" s="7">
        <v>0.5895514165792235</v>
      </c>
      <c r="Q728" s="7"/>
      <c r="R728" s="6"/>
      <c r="S728" s="6"/>
      <c r="T728" s="6"/>
      <c r="U728" s="5"/>
      <c r="V728" s="6"/>
      <c r="W728" s="6"/>
      <c r="X728" s="6"/>
      <c r="Y728" s="15"/>
      <c r="Z728" s="6"/>
      <c r="AA728" s="6"/>
      <c r="AB728" s="5"/>
      <c r="AC728" s="3"/>
      <c r="AD728" s="6">
        <v>0.37557099999999993</v>
      </c>
      <c r="AE728" s="6">
        <v>1.31504</v>
      </c>
      <c r="AF728" s="7">
        <v>1725.7559999999999</v>
      </c>
      <c r="AG728" s="6">
        <v>0.6577829999999999</v>
      </c>
      <c r="AH728" s="7">
        <v>22.4737</v>
      </c>
      <c r="AI728" s="15">
        <v>2.348394</v>
      </c>
      <c r="AJ728" s="6">
        <v>6.1605299055613845</v>
      </c>
      <c r="AK728" s="3"/>
      <c r="AL728" s="6">
        <v>265.19950386378815</v>
      </c>
      <c r="AM728" s="6">
        <v>18.679593149947525</v>
      </c>
      <c r="AN728" s="6">
        <v>74.91212293389296</v>
      </c>
      <c r="AO728" s="6">
        <v>27.701602892203667</v>
      </c>
      <c r="AP728" s="6">
        <v>119.83125565765997</v>
      </c>
      <c r="AQ728" s="6">
        <v>24.074929230084045</v>
      </c>
      <c r="AR728" s="6">
        <v>0</v>
      </c>
      <c r="AS728" s="6">
        <v>0</v>
      </c>
      <c r="AT728" s="6">
        <v>0</v>
      </c>
      <c r="AU728" s="6">
        <v>0</v>
      </c>
      <c r="AV728" s="6">
        <v>0</v>
      </c>
      <c r="AW728" s="6">
        <v>0</v>
      </c>
      <c r="AX728" s="6">
        <v>0</v>
      </c>
      <c r="AY728" s="6">
        <v>0</v>
      </c>
      <c r="AZ728" s="6">
        <v>0</v>
      </c>
      <c r="BA728" s="6">
        <v>0</v>
      </c>
      <c r="BB728" s="6">
        <v>0</v>
      </c>
      <c r="BC728" s="6"/>
      <c r="BD728" s="3"/>
      <c r="BE728" s="3"/>
      <c r="BF728" s="7">
        <v>10109.405087287605</v>
      </c>
    </row>
    <row x14ac:dyDescent="0.25" r="729" customHeight="1" ht="12.75">
      <c r="A729" s="5" t="s">
        <v>155</v>
      </c>
      <c r="B729" s="3" t="s">
        <v>855</v>
      </c>
      <c r="C729" s="3" t="s">
        <v>870</v>
      </c>
      <c r="D729" s="3"/>
      <c r="E729" s="3"/>
      <c r="F729" s="6">
        <f>100*SUM(AM729:AO729)/AL729</f>
      </c>
      <c r="G729" s="6">
        <f>100*SUM(AP729)/AL729</f>
      </c>
      <c r="H729" s="6">
        <f>100*SUM(AQ729)/AL729</f>
      </c>
      <c r="I729" s="6">
        <f>100*SUM(AR729:BC729)/AL729</f>
      </c>
      <c r="J729" s="3"/>
      <c r="K729" s="7">
        <v>134.082009</v>
      </c>
      <c r="L729" s="6">
        <v>0.45</v>
      </c>
      <c r="M729" s="6">
        <v>1.1</v>
      </c>
      <c r="N729" s="6">
        <v>26.8</v>
      </c>
      <c r="O729" s="6">
        <v>0.54</v>
      </c>
      <c r="P729" s="6">
        <v>0.51</v>
      </c>
      <c r="Q729" s="7"/>
      <c r="R729" s="6"/>
      <c r="S729" s="6"/>
      <c r="T729" s="6"/>
      <c r="U729" s="5"/>
      <c r="V729" s="6"/>
      <c r="W729" s="6"/>
      <c r="X729" s="6"/>
      <c r="Y729" s="15"/>
      <c r="Z729" s="6"/>
      <c r="AA729" s="6"/>
      <c r="AB729" s="5"/>
      <c r="AC729" s="3"/>
      <c r="AD729" s="6">
        <v>0.6033690405000001</v>
      </c>
      <c r="AE729" s="6">
        <v>1.4749020990000004</v>
      </c>
      <c r="AF729" s="7">
        <v>3593.3978412</v>
      </c>
      <c r="AG729" s="6">
        <v>0.7240428486</v>
      </c>
      <c r="AH729" s="7">
        <v>68.38182459000001</v>
      </c>
      <c r="AI729" s="15">
        <v>2.8023139881000003</v>
      </c>
      <c r="AJ729" s="6">
        <v>2.09</v>
      </c>
      <c r="AK729" s="3"/>
      <c r="AL729" s="6">
        <v>107.14409800321545</v>
      </c>
      <c r="AM729" s="6">
        <v>8.531802</v>
      </c>
      <c r="AN729" s="6">
        <v>23.886841</v>
      </c>
      <c r="AO729" s="6">
        <v>16.398842443729908</v>
      </c>
      <c r="AP729" s="6">
        <v>37.500246000000004</v>
      </c>
      <c r="AQ729" s="6">
        <v>20.826366559485532</v>
      </c>
      <c r="AR729" s="6">
        <v>0</v>
      </c>
      <c r="AS729" s="6">
        <v>0</v>
      </c>
      <c r="AT729" s="6">
        <v>0</v>
      </c>
      <c r="AU729" s="6">
        <v>0</v>
      </c>
      <c r="AV729" s="6">
        <v>0</v>
      </c>
      <c r="AW729" s="6">
        <v>0</v>
      </c>
      <c r="AX729" s="6">
        <v>0</v>
      </c>
      <c r="AY729" s="6">
        <v>0</v>
      </c>
      <c r="AZ729" s="6">
        <v>0</v>
      </c>
      <c r="BA729" s="6">
        <v>0</v>
      </c>
      <c r="BB729" s="6">
        <v>0</v>
      </c>
      <c r="BC729" s="6"/>
      <c r="BD729" s="3"/>
      <c r="BE729" s="3"/>
      <c r="BF729" s="7">
        <v>14366.095912764016</v>
      </c>
    </row>
    <row x14ac:dyDescent="0.25" r="730" customHeight="1" ht="12.75">
      <c r="A730" s="5" t="s">
        <v>618</v>
      </c>
      <c r="B730" s="3" t="s">
        <v>855</v>
      </c>
      <c r="C730" s="3" t="s">
        <v>870</v>
      </c>
      <c r="D730" s="3"/>
      <c r="E730" s="3"/>
      <c r="F730" s="6">
        <f>100*SUM(AM730:AO730)/AL730</f>
      </c>
      <c r="G730" s="6">
        <f>100*SUM(AP730)/AL730</f>
      </c>
      <c r="H730" s="6">
        <f>100*SUM(AQ730)/AL730</f>
      </c>
      <c r="I730" s="6">
        <f>100*SUM(AR730:BC730)/AL730</f>
      </c>
      <c r="J730" s="3"/>
      <c r="K730" s="6">
        <v>3.53</v>
      </c>
      <c r="L730" s="6"/>
      <c r="M730" s="6">
        <v>4.050991501416431</v>
      </c>
      <c r="N730" s="31">
        <v>19.416430594900852</v>
      </c>
      <c r="O730" s="6">
        <v>1.6297450424929176</v>
      </c>
      <c r="P730" s="6">
        <v>0.26974504249291786</v>
      </c>
      <c r="Q730" s="7"/>
      <c r="R730" s="6"/>
      <c r="S730" s="6"/>
      <c r="T730" s="6"/>
      <c r="U730" s="5"/>
      <c r="V730" s="6"/>
      <c r="W730" s="6"/>
      <c r="X730" s="6"/>
      <c r="Y730" s="15"/>
      <c r="Z730" s="6"/>
      <c r="AA730" s="6"/>
      <c r="AB730" s="5"/>
      <c r="AC730" s="3"/>
      <c r="AD730" s="6">
        <v>0</v>
      </c>
      <c r="AE730" s="6">
        <v>0.14300000000000002</v>
      </c>
      <c r="AF730" s="7">
        <v>68.54</v>
      </c>
      <c r="AG730" s="6">
        <v>0.05752999999999999</v>
      </c>
      <c r="AH730" s="7">
        <v>0.9522</v>
      </c>
      <c r="AI730" s="15">
        <v>0.20053</v>
      </c>
      <c r="AJ730" s="6">
        <v>5.680736543909348</v>
      </c>
      <c r="AK730" s="3"/>
      <c r="AL730" s="6">
        <v>224.04218747866247</v>
      </c>
      <c r="AM730" s="6">
        <v>0</v>
      </c>
      <c r="AN730" s="6">
        <v>87.96853626062324</v>
      </c>
      <c r="AO730" s="6">
        <v>11.880857691992388</v>
      </c>
      <c r="AP730" s="6">
        <v>113.17748150141641</v>
      </c>
      <c r="AQ730" s="6">
        <v>11.015312024630408</v>
      </c>
      <c r="AR730" s="6">
        <v>0</v>
      </c>
      <c r="AS730" s="6">
        <v>0</v>
      </c>
      <c r="AT730" s="6">
        <v>0</v>
      </c>
      <c r="AU730" s="6">
        <v>0</v>
      </c>
      <c r="AV730" s="6">
        <v>0</v>
      </c>
      <c r="AW730" s="6">
        <v>0</v>
      </c>
      <c r="AX730" s="6">
        <v>0</v>
      </c>
      <c r="AY730" s="6">
        <v>0</v>
      </c>
      <c r="AZ730" s="6">
        <v>0</v>
      </c>
      <c r="BA730" s="6">
        <v>0</v>
      </c>
      <c r="BB730" s="6">
        <v>0</v>
      </c>
      <c r="BC730" s="6"/>
      <c r="BD730" s="3"/>
      <c r="BE730" s="3"/>
      <c r="BF730" s="7">
        <v>790.8689217996784</v>
      </c>
    </row>
    <row x14ac:dyDescent="0.25" r="731" customHeight="1" ht="12.75">
      <c r="A731" s="5" t="s">
        <v>236</v>
      </c>
      <c r="B731" s="3" t="s">
        <v>855</v>
      </c>
      <c r="C731" s="3" t="s">
        <v>870</v>
      </c>
      <c r="D731" s="3"/>
      <c r="E731" s="3"/>
      <c r="F731" s="6">
        <f>100*SUM(AM731:AO731)/AL731</f>
      </c>
      <c r="G731" s="6">
        <f>100*SUM(AP731)/AL731</f>
      </c>
      <c r="H731" s="6">
        <f>100*SUM(AQ731)/AL731</f>
      </c>
      <c r="I731" s="6">
        <f>100*SUM(AR731:BC731)/AL731</f>
      </c>
      <c r="J731" s="3"/>
      <c r="K731" s="6">
        <v>30.280000000000005</v>
      </c>
      <c r="L731" s="6"/>
      <c r="M731" s="6">
        <v>4.277770805812417</v>
      </c>
      <c r="N731" s="31">
        <v>41.22820343461029</v>
      </c>
      <c r="O731" s="6">
        <v>1.6739960369881108</v>
      </c>
      <c r="P731" s="7">
        <v>0.7557133421400263</v>
      </c>
      <c r="Q731" s="7"/>
      <c r="R731" s="6"/>
      <c r="S731" s="6"/>
      <c r="T731" s="6"/>
      <c r="U731" s="5"/>
      <c r="V731" s="6"/>
      <c r="W731" s="6"/>
      <c r="X731" s="6"/>
      <c r="Y731" s="15"/>
      <c r="Z731" s="6"/>
      <c r="AA731" s="6"/>
      <c r="AB731" s="5"/>
      <c r="AC731" s="3"/>
      <c r="AD731" s="6">
        <v>0</v>
      </c>
      <c r="AE731" s="6">
        <v>1.295309</v>
      </c>
      <c r="AF731" s="7">
        <v>1248.3899999999999</v>
      </c>
      <c r="AG731" s="6">
        <v>0.5068860000000001</v>
      </c>
      <c r="AH731" s="7">
        <v>22.883</v>
      </c>
      <c r="AI731" s="15">
        <v>1.8021950000000002</v>
      </c>
      <c r="AJ731" s="6">
        <v>5.951766842800528</v>
      </c>
      <c r="AK731" s="3"/>
      <c r="AL731" s="6">
        <v>265.2313446773425</v>
      </c>
      <c r="AM731" s="6">
        <v>0</v>
      </c>
      <c r="AN731" s="6">
        <v>92.89311915716644</v>
      </c>
      <c r="AO731" s="6">
        <v>25.227418371724568</v>
      </c>
      <c r="AP731" s="6">
        <v>116.25048738903567</v>
      </c>
      <c r="AQ731" s="6">
        <v>30.860319759415862</v>
      </c>
      <c r="AR731" s="6">
        <v>0</v>
      </c>
      <c r="AS731" s="6">
        <v>0</v>
      </c>
      <c r="AT731" s="6">
        <v>0</v>
      </c>
      <c r="AU731" s="6">
        <v>0</v>
      </c>
      <c r="AV731" s="6">
        <v>0</v>
      </c>
      <c r="AW731" s="6">
        <v>0</v>
      </c>
      <c r="AX731" s="6">
        <v>0</v>
      </c>
      <c r="AY731" s="6">
        <v>0</v>
      </c>
      <c r="AZ731" s="6">
        <v>0</v>
      </c>
      <c r="BA731" s="6">
        <v>0</v>
      </c>
      <c r="BB731" s="6">
        <v>0</v>
      </c>
      <c r="BC731" s="6"/>
      <c r="BD731" s="3"/>
      <c r="BE731" s="3"/>
      <c r="BF731" s="7">
        <v>8031.205116829933</v>
      </c>
    </row>
    <row x14ac:dyDescent="0.25" r="732" customHeight="1" ht="12.75">
      <c r="A732" s="5" t="s">
        <v>767</v>
      </c>
      <c r="B732" s="3" t="s">
        <v>855</v>
      </c>
      <c r="C732" s="3" t="s">
        <v>870</v>
      </c>
      <c r="D732" s="3"/>
      <c r="E732" s="3"/>
      <c r="F732" s="6">
        <f>100*SUM(AM732:AO732)/AL732</f>
      </c>
      <c r="G732" s="6">
        <f>100*SUM(AP732)/AL732</f>
      </c>
      <c r="H732" s="6">
        <f>100*SUM(AQ732)/AL732</f>
      </c>
      <c r="I732" s="6">
        <f>100*SUM(AR732:BC732)/AL732</f>
      </c>
      <c r="J732" s="3"/>
      <c r="K732" s="6">
        <v>4.607</v>
      </c>
      <c r="L732" s="6">
        <v>0.5</v>
      </c>
      <c r="M732" s="6">
        <v>1.3</v>
      </c>
      <c r="N732" s="6">
        <v>24.1</v>
      </c>
      <c r="O732" s="6">
        <v>0.9</v>
      </c>
      <c r="P732" s="6">
        <v>0.1</v>
      </c>
      <c r="Q732" s="7"/>
      <c r="R732" s="6"/>
      <c r="S732" s="6"/>
      <c r="T732" s="6"/>
      <c r="U732" s="5"/>
      <c r="V732" s="6"/>
      <c r="W732" s="6"/>
      <c r="X732" s="6"/>
      <c r="Y732" s="15"/>
      <c r="Z732" s="6"/>
      <c r="AA732" s="6"/>
      <c r="AB732" s="5"/>
      <c r="AC732" s="3"/>
      <c r="AD732" s="6">
        <v>0.023035</v>
      </c>
      <c r="AE732" s="6">
        <v>0.05989100000000001</v>
      </c>
      <c r="AF732" s="7">
        <v>111.02870000000001</v>
      </c>
      <c r="AG732" s="6">
        <v>0.041463</v>
      </c>
      <c r="AH732" s="7">
        <v>0.46070000000000005</v>
      </c>
      <c r="AI732" s="15">
        <v>0.124389</v>
      </c>
      <c r="AJ732" s="6">
        <v>2.7</v>
      </c>
      <c r="AK732" s="3"/>
      <c r="AL732" s="6">
        <v>119.04041454340836</v>
      </c>
      <c r="AM732" s="6">
        <v>9.47978</v>
      </c>
      <c r="AN732" s="6">
        <v>28.229903</v>
      </c>
      <c r="AO732" s="6">
        <v>14.746720257234731</v>
      </c>
      <c r="AP732" s="6">
        <v>62.50041</v>
      </c>
      <c r="AQ732" s="6">
        <v>4.083601286173634</v>
      </c>
      <c r="AR732" s="6">
        <v>0</v>
      </c>
      <c r="AS732" s="6">
        <v>0</v>
      </c>
      <c r="AT732" s="6">
        <v>0</v>
      </c>
      <c r="AU732" s="6">
        <v>0</v>
      </c>
      <c r="AV732" s="6">
        <v>0</v>
      </c>
      <c r="AW732" s="6">
        <v>0</v>
      </c>
      <c r="AX732" s="6">
        <v>0</v>
      </c>
      <c r="AY732" s="6">
        <v>0</v>
      </c>
      <c r="AZ732" s="6">
        <v>0</v>
      </c>
      <c r="BA732" s="6">
        <v>0</v>
      </c>
      <c r="BB732" s="6">
        <v>0</v>
      </c>
      <c r="BC732" s="6"/>
      <c r="BD732" s="3"/>
      <c r="BE732" s="3"/>
      <c r="BF732" s="7">
        <v>548.4191898014824</v>
      </c>
    </row>
    <row x14ac:dyDescent="0.25" r="733" customHeight="1" ht="12.75">
      <c r="A733" s="5" t="s">
        <v>86</v>
      </c>
      <c r="B733" s="3" t="s">
        <v>855</v>
      </c>
      <c r="C733" s="3" t="s">
        <v>870</v>
      </c>
      <c r="D733" s="3"/>
      <c r="E733" s="3"/>
      <c r="F733" s="6">
        <f>100*SUM(AM733:AO733)/AL733</f>
      </c>
      <c r="G733" s="6">
        <f>100*SUM(AP733)/AL733</f>
      </c>
      <c r="H733" s="6">
        <f>100*SUM(AQ733)/AL733</f>
      </c>
      <c r="I733" s="6">
        <f>100*SUM(AR733:BC733)/AL733</f>
      </c>
      <c r="J733" s="3"/>
      <c r="K733" s="6">
        <v>91.807</v>
      </c>
      <c r="L733" s="6">
        <v>0.87</v>
      </c>
      <c r="M733" s="6">
        <v>3.64</v>
      </c>
      <c r="N733" s="6">
        <v>55.49</v>
      </c>
      <c r="O733" s="6">
        <v>1.86</v>
      </c>
      <c r="P733" s="6">
        <v>0.87</v>
      </c>
      <c r="Q733" s="7"/>
      <c r="R733" s="6"/>
      <c r="S733" s="6"/>
      <c r="T733" s="6"/>
      <c r="U733" s="5"/>
      <c r="V733" s="6"/>
      <c r="W733" s="6"/>
      <c r="X733" s="6"/>
      <c r="Y733" s="15"/>
      <c r="Z733" s="6"/>
      <c r="AA733" s="6"/>
      <c r="AB733" s="5"/>
      <c r="AC733" s="3"/>
      <c r="AD733" s="6">
        <v>0.7987209</v>
      </c>
      <c r="AE733" s="6">
        <v>3.3417748</v>
      </c>
      <c r="AF733" s="7">
        <v>5094.37043</v>
      </c>
      <c r="AG733" s="6">
        <v>1.7076102</v>
      </c>
      <c r="AH733" s="7">
        <v>79.87209</v>
      </c>
      <c r="AI733" s="15">
        <v>5.8481059</v>
      </c>
      <c r="AJ733" s="6">
        <v>6.37</v>
      </c>
      <c r="AK733" s="3"/>
      <c r="AL733" s="6">
        <v>294.18756120771707</v>
      </c>
      <c r="AM733" s="6">
        <v>16.494817199999996</v>
      </c>
      <c r="AN733" s="6">
        <v>79.0437284</v>
      </c>
      <c r="AO733" s="6">
        <v>33.954170418006434</v>
      </c>
      <c r="AP733" s="6">
        <v>129.167514</v>
      </c>
      <c r="AQ733" s="6">
        <v>35.527331189710615</v>
      </c>
      <c r="AR733" s="6">
        <v>0</v>
      </c>
      <c r="AS733" s="6">
        <v>0</v>
      </c>
      <c r="AT733" s="6">
        <v>0</v>
      </c>
      <c r="AU733" s="6">
        <v>0</v>
      </c>
      <c r="AV733" s="6">
        <v>0</v>
      </c>
      <c r="AW733" s="6">
        <v>0</v>
      </c>
      <c r="AX733" s="6">
        <v>0</v>
      </c>
      <c r="AY733" s="6">
        <v>0</v>
      </c>
      <c r="AZ733" s="6">
        <v>0</v>
      </c>
      <c r="BA733" s="6">
        <v>0</v>
      </c>
      <c r="BB733" s="6">
        <v>0</v>
      </c>
      <c r="BC733" s="6"/>
      <c r="BD733" s="3"/>
      <c r="BE733" s="3"/>
      <c r="BF733" s="7">
        <v>27008.47743179688</v>
      </c>
    </row>
    <row x14ac:dyDescent="0.25" r="734" customHeight="1" ht="12.75">
      <c r="A734" s="5" t="s">
        <v>451</v>
      </c>
      <c r="B734" s="3" t="s">
        <v>855</v>
      </c>
      <c r="C734" s="3" t="s">
        <v>870</v>
      </c>
      <c r="D734" s="3"/>
      <c r="E734" s="3"/>
      <c r="F734" s="6">
        <f>100*SUM(AM734:AO734)/AL734</f>
      </c>
      <c r="G734" s="6">
        <f>100*SUM(AP734)/AL734</f>
      </c>
      <c r="H734" s="6">
        <f>100*SUM(AQ734)/AL734</f>
      </c>
      <c r="I734" s="6">
        <f>100*SUM(AR734:BC734)/AL734</f>
      </c>
      <c r="J734" s="3"/>
      <c r="K734" s="23">
        <v>17.470781</v>
      </c>
      <c r="L734" s="6">
        <v>0.23775716746721282</v>
      </c>
      <c r="M734" s="6">
        <v>2.9464997353581395</v>
      </c>
      <c r="N734" s="7">
        <v>24.754246068850616</v>
      </c>
      <c r="O734" s="6">
        <v>0.33509290277292125</v>
      </c>
      <c r="P734" s="6">
        <v>2.035222250796916</v>
      </c>
      <c r="Q734" s="7"/>
      <c r="R734" s="6"/>
      <c r="S734" s="6"/>
      <c r="T734" s="6"/>
      <c r="U734" s="5"/>
      <c r="V734" s="6"/>
      <c r="W734" s="6"/>
      <c r="X734" s="6"/>
      <c r="Y734" s="15"/>
      <c r="Z734" s="6"/>
      <c r="AA734" s="6"/>
      <c r="AB734" s="5"/>
      <c r="AC734" s="3"/>
      <c r="AD734" s="6">
        <v>0.04153803404</v>
      </c>
      <c r="AE734" s="6">
        <v>0.5147765159300001</v>
      </c>
      <c r="AF734" s="7">
        <v>432.476011889</v>
      </c>
      <c r="AG734" s="6">
        <v>0.05854334719</v>
      </c>
      <c r="AH734" s="7">
        <v>35.55692223</v>
      </c>
      <c r="AI734" s="15">
        <v>0.61485789716</v>
      </c>
      <c r="AJ734" s="6">
        <v>3.5193498055982735</v>
      </c>
      <c r="AK734" s="3"/>
      <c r="AL734" s="6">
        <v>190.01983311750251</v>
      </c>
      <c r="AM734" s="6">
        <v>4.507771282024669</v>
      </c>
      <c r="AN734" s="6">
        <v>63.98415516821996</v>
      </c>
      <c r="AO734" s="6">
        <v>15.147051533447822</v>
      </c>
      <c r="AP734" s="6">
        <v>23.27049312377524</v>
      </c>
      <c r="AQ734" s="6">
        <v>83.11036201003485</v>
      </c>
      <c r="AR734" s="6">
        <v>0</v>
      </c>
      <c r="AS734" s="6">
        <v>0</v>
      </c>
      <c r="AT734" s="6">
        <v>0</v>
      </c>
      <c r="AU734" s="6">
        <v>0</v>
      </c>
      <c r="AV734" s="6">
        <v>0</v>
      </c>
      <c r="AW734" s="6">
        <v>0</v>
      </c>
      <c r="AX734" s="6">
        <v>0</v>
      </c>
      <c r="AY734" s="6">
        <v>0</v>
      </c>
      <c r="AZ734" s="6">
        <v>0</v>
      </c>
      <c r="BA734" s="6">
        <v>0</v>
      </c>
      <c r="BB734" s="6">
        <v>0</v>
      </c>
      <c r="BC734" s="6"/>
      <c r="BD734" s="3"/>
      <c r="BE734" s="3"/>
      <c r="BF734" s="7">
        <v>3319.7948900524334</v>
      </c>
    </row>
    <row x14ac:dyDescent="0.25" r="735" customHeight="1" ht="12.75">
      <c r="A735" s="5" t="s">
        <v>432</v>
      </c>
      <c r="B735" s="3" t="s">
        <v>855</v>
      </c>
      <c r="C735" s="3" t="s">
        <v>870</v>
      </c>
      <c r="D735" s="3"/>
      <c r="E735" s="3"/>
      <c r="F735" s="6">
        <f>100*SUM(AM735:AO735)/AL735</f>
      </c>
      <c r="G735" s="6">
        <f>100*SUM(AP735)/AL735</f>
      </c>
      <c r="H735" s="6">
        <f>100*SUM(AQ735)/AL735</f>
      </c>
      <c r="I735" s="6">
        <f>100*SUM(AR735:BC735)/AL735</f>
      </c>
      <c r="J735" s="3"/>
      <c r="K735" s="6">
        <v>26.01</v>
      </c>
      <c r="L735" s="6">
        <v>0.49</v>
      </c>
      <c r="M735" s="6">
        <v>1.76</v>
      </c>
      <c r="N735" s="6">
        <v>21.7</v>
      </c>
      <c r="O735" s="6">
        <v>0.64</v>
      </c>
      <c r="P735" s="6">
        <v>0.84</v>
      </c>
      <c r="Q735" s="7"/>
      <c r="R735" s="6"/>
      <c r="S735" s="6"/>
      <c r="T735" s="6"/>
      <c r="U735" s="5"/>
      <c r="V735" s="6"/>
      <c r="W735" s="6"/>
      <c r="X735" s="6"/>
      <c r="Y735" s="15"/>
      <c r="Z735" s="6"/>
      <c r="AA735" s="6"/>
      <c r="AB735" s="5"/>
      <c r="AC735" s="3"/>
      <c r="AD735" s="6">
        <v>0.127449</v>
      </c>
      <c r="AE735" s="6">
        <v>0.457776</v>
      </c>
      <c r="AF735" s="7">
        <v>564.417</v>
      </c>
      <c r="AG735" s="6">
        <v>0.166464</v>
      </c>
      <c r="AH735" s="7">
        <v>21.8484</v>
      </c>
      <c r="AI735" s="15">
        <v>0.751689</v>
      </c>
      <c r="AJ735" s="6">
        <v>2.89</v>
      </c>
      <c r="AK735" s="3"/>
      <c r="AL735" s="6">
        <v>139.53428400643088</v>
      </c>
      <c r="AM735" s="6">
        <v>9.2901844</v>
      </c>
      <c r="AN735" s="6">
        <v>38.2189456</v>
      </c>
      <c r="AO735" s="6">
        <v>13.278167202572348</v>
      </c>
      <c r="AP735" s="6">
        <v>44.444736</v>
      </c>
      <c r="AQ735" s="6">
        <v>34.30225080385852</v>
      </c>
      <c r="AR735" s="6">
        <v>0</v>
      </c>
      <c r="AS735" s="6">
        <v>0</v>
      </c>
      <c r="AT735" s="6">
        <v>0</v>
      </c>
      <c r="AU735" s="6">
        <v>0</v>
      </c>
      <c r="AV735" s="6">
        <v>0</v>
      </c>
      <c r="AW735" s="6">
        <v>0</v>
      </c>
      <c r="AX735" s="6">
        <v>0</v>
      </c>
      <c r="AY735" s="6">
        <v>0</v>
      </c>
      <c r="AZ735" s="6">
        <v>0</v>
      </c>
      <c r="BA735" s="6">
        <v>0</v>
      </c>
      <c r="BB735" s="6">
        <v>0</v>
      </c>
      <c r="BC735" s="6"/>
      <c r="BD735" s="3"/>
      <c r="BE735" s="3"/>
      <c r="BF735" s="7">
        <v>3629.2867270072675</v>
      </c>
    </row>
    <row x14ac:dyDescent="0.25" r="736" customHeight="1" ht="12.75">
      <c r="A736" s="5" t="s">
        <v>685</v>
      </c>
      <c r="B736" s="3" t="s">
        <v>855</v>
      </c>
      <c r="C736" s="3" t="s">
        <v>870</v>
      </c>
      <c r="D736" s="3"/>
      <c r="E736" s="3"/>
      <c r="F736" s="6">
        <f>100*SUM(AM736:AO736)/AL736</f>
      </c>
      <c r="G736" s="6">
        <f>100*SUM(AP736)/AL736</f>
      </c>
      <c r="H736" s="6">
        <f>100*SUM(AQ736)/AL736</f>
      </c>
      <c r="I736" s="6">
        <f>100*SUM(AR736:BC736)/AL736</f>
      </c>
      <c r="J736" s="3"/>
      <c r="K736" s="6">
        <v>1.554</v>
      </c>
      <c r="L736" s="6"/>
      <c r="M736" s="6">
        <v>2.5</v>
      </c>
      <c r="N736" s="5">
        <v>49</v>
      </c>
      <c r="O736" s="6">
        <v>1.6</v>
      </c>
      <c r="P736" s="6"/>
      <c r="Q736" s="7"/>
      <c r="R736" s="6"/>
      <c r="S736" s="6"/>
      <c r="T736" s="6"/>
      <c r="U736" s="5"/>
      <c r="V736" s="6"/>
      <c r="W736" s="6"/>
      <c r="X736" s="6"/>
      <c r="Y736" s="15"/>
      <c r="Z736" s="6"/>
      <c r="AA736" s="6"/>
      <c r="AB736" s="5"/>
      <c r="AC736" s="3"/>
      <c r="AD736" s="6">
        <v>0</v>
      </c>
      <c r="AE736" s="6">
        <v>0.03885</v>
      </c>
      <c r="AF736" s="7">
        <v>76.146</v>
      </c>
      <c r="AG736" s="6">
        <v>0.024864</v>
      </c>
      <c r="AH736" s="7">
        <v>0</v>
      </c>
      <c r="AI736" s="15">
        <v>0.063714</v>
      </c>
      <c r="AJ736" s="6">
        <v>4.1</v>
      </c>
      <c r="AK736" s="3"/>
      <c r="AL736" s="6">
        <v>195.38307319935691</v>
      </c>
      <c r="AM736" s="6">
        <v>0</v>
      </c>
      <c r="AN736" s="6">
        <v>54.288275</v>
      </c>
      <c r="AO736" s="6">
        <v>29.982958199356915</v>
      </c>
      <c r="AP736" s="6">
        <v>111.11184</v>
      </c>
      <c r="AQ736" s="6">
        <v>0</v>
      </c>
      <c r="AR736" s="6">
        <v>0</v>
      </c>
      <c r="AS736" s="6">
        <v>0</v>
      </c>
      <c r="AT736" s="6">
        <v>0</v>
      </c>
      <c r="AU736" s="6">
        <v>0</v>
      </c>
      <c r="AV736" s="6">
        <v>0</v>
      </c>
      <c r="AW736" s="6">
        <v>0</v>
      </c>
      <c r="AX736" s="6">
        <v>0</v>
      </c>
      <c r="AY736" s="6">
        <v>0</v>
      </c>
      <c r="AZ736" s="6">
        <v>0</v>
      </c>
      <c r="BA736" s="6">
        <v>0</v>
      </c>
      <c r="BB736" s="6">
        <v>0</v>
      </c>
      <c r="BC736" s="6"/>
      <c r="BD736" s="3"/>
      <c r="BE736" s="3"/>
      <c r="BF736" s="7">
        <v>303.62529575180065</v>
      </c>
    </row>
    <row x14ac:dyDescent="0.25" r="737" customHeight="1" ht="12.75">
      <c r="A737" s="5" t="s">
        <v>262</v>
      </c>
      <c r="B737" s="3" t="s">
        <v>855</v>
      </c>
      <c r="C737" s="3" t="s">
        <v>870</v>
      </c>
      <c r="D737" s="3"/>
      <c r="E737" s="3"/>
      <c r="F737" s="6">
        <f>100*SUM(AM737:AO737)/AL737</f>
      </c>
      <c r="G737" s="6">
        <f>100*SUM(AP737)/AL737</f>
      </c>
      <c r="H737" s="6">
        <f>100*SUM(AQ737)/AL737</f>
      </c>
      <c r="I737" s="6">
        <f>100*SUM(AR737:BC737)/AL737</f>
      </c>
      <c r="J737" s="3"/>
      <c r="K737" s="6">
        <v>25.308999999999997</v>
      </c>
      <c r="L737" s="6"/>
      <c r="M737" s="6">
        <v>5.011759058042594</v>
      </c>
      <c r="N737" s="7">
        <v>25.0422158125568</v>
      </c>
      <c r="O737" s="6">
        <v>0.7938282824291755</v>
      </c>
      <c r="P737" s="6">
        <v>2.9010660239440518</v>
      </c>
      <c r="Q737" s="7"/>
      <c r="R737" s="6"/>
      <c r="S737" s="6"/>
      <c r="T737" s="6"/>
      <c r="U737" s="5"/>
      <c r="V737" s="6"/>
      <c r="W737" s="6"/>
      <c r="X737" s="6"/>
      <c r="Y737" s="15"/>
      <c r="Z737" s="6"/>
      <c r="AA737" s="6"/>
      <c r="AB737" s="5"/>
      <c r="AC737" s="3"/>
      <c r="AD737" s="6">
        <v>0</v>
      </c>
      <c r="AE737" s="6">
        <v>1.2684261000000001</v>
      </c>
      <c r="AF737" s="7">
        <v>633.79344</v>
      </c>
      <c r="AG737" s="6">
        <v>0.20091</v>
      </c>
      <c r="AH737" s="7">
        <v>73.42308</v>
      </c>
      <c r="AI737" s="15">
        <v>1.4693361</v>
      </c>
      <c r="AJ737" s="6">
        <v>5.80558734047177</v>
      </c>
      <c r="AK737" s="3"/>
      <c r="AL737" s="6">
        <v>297.75045613396304</v>
      </c>
      <c r="AM737" s="6">
        <v>0</v>
      </c>
      <c r="AN737" s="6">
        <v>108.83190159070294</v>
      </c>
      <c r="AO737" s="6">
        <v>15.323259386268681</v>
      </c>
      <c r="AP737" s="6">
        <v>55.127325690465845</v>
      </c>
      <c r="AQ737" s="6">
        <v>118.46796946652559</v>
      </c>
      <c r="AR737" s="6">
        <v>0</v>
      </c>
      <c r="AS737" s="6">
        <v>0</v>
      </c>
      <c r="AT737" s="6">
        <v>0</v>
      </c>
      <c r="AU737" s="6">
        <v>0</v>
      </c>
      <c r="AV737" s="6">
        <v>0</v>
      </c>
      <c r="AW737" s="6">
        <v>0</v>
      </c>
      <c r="AX737" s="6">
        <v>0</v>
      </c>
      <c r="AY737" s="6">
        <v>0</v>
      </c>
      <c r="AZ737" s="6">
        <v>0</v>
      </c>
      <c r="BA737" s="6">
        <v>0</v>
      </c>
      <c r="BB737" s="6">
        <v>0</v>
      </c>
      <c r="BC737" s="6"/>
      <c r="BD737" s="3"/>
      <c r="BE737" s="3"/>
      <c r="BF737" s="7">
        <v>7535.76629429447</v>
      </c>
    </row>
    <row x14ac:dyDescent="0.25" r="738" customHeight="1" ht="12.75">
      <c r="A738" s="5" t="s">
        <v>573</v>
      </c>
      <c r="B738" s="3" t="s">
        <v>855</v>
      </c>
      <c r="C738" s="3" t="s">
        <v>870</v>
      </c>
      <c r="D738" s="3"/>
      <c r="E738" s="3"/>
      <c r="F738" s="6">
        <f>100*SUM(AM738:AO738)/AL738</f>
      </c>
      <c r="G738" s="6">
        <f>100*SUM(AP738)/AL738</f>
      </c>
      <c r="H738" s="6">
        <f>100*SUM(AQ738)/AL738</f>
      </c>
      <c r="I738" s="6">
        <f>100*SUM(AR738:BC738)/AL738</f>
      </c>
      <c r="J738" s="3"/>
      <c r="K738" s="6">
        <v>19.367</v>
      </c>
      <c r="L738" s="6">
        <v>0.02</v>
      </c>
      <c r="M738" s="6">
        <v>1.63</v>
      </c>
      <c r="N738" s="6">
        <v>15.42</v>
      </c>
      <c r="O738" s="6">
        <v>0.37</v>
      </c>
      <c r="P738" s="6">
        <v>0.95</v>
      </c>
      <c r="Q738" s="7"/>
      <c r="R738" s="6"/>
      <c r="S738" s="6"/>
      <c r="T738" s="6"/>
      <c r="U738" s="5"/>
      <c r="V738" s="6"/>
      <c r="W738" s="6"/>
      <c r="X738" s="6"/>
      <c r="Y738" s="15"/>
      <c r="Z738" s="6"/>
      <c r="AA738" s="6"/>
      <c r="AB738" s="5"/>
      <c r="AC738" s="3"/>
      <c r="AD738" s="6">
        <v>0.0038734000000000004</v>
      </c>
      <c r="AE738" s="6">
        <v>0.3156821</v>
      </c>
      <c r="AF738" s="7">
        <v>298.63914</v>
      </c>
      <c r="AG738" s="6">
        <v>0.0716579</v>
      </c>
      <c r="AH738" s="7">
        <v>18.39865</v>
      </c>
      <c r="AI738" s="15">
        <v>0.39121340000000004</v>
      </c>
      <c r="AJ738" s="6">
        <v>2.02</v>
      </c>
      <c r="AK738" s="3"/>
      <c r="AL738" s="6">
        <v>109.69942509485531</v>
      </c>
      <c r="AM738" s="6">
        <v>0.3791912</v>
      </c>
      <c r="AN738" s="6">
        <v>35.3959553</v>
      </c>
      <c r="AO738" s="6">
        <v>9.43545337620579</v>
      </c>
      <c r="AP738" s="6">
        <v>25.694613</v>
      </c>
      <c r="AQ738" s="6">
        <v>38.79421221864951</v>
      </c>
      <c r="AR738" s="6">
        <v>0</v>
      </c>
      <c r="AS738" s="6">
        <v>0</v>
      </c>
      <c r="AT738" s="6">
        <v>0</v>
      </c>
      <c r="AU738" s="6">
        <v>0</v>
      </c>
      <c r="AV738" s="6">
        <v>0</v>
      </c>
      <c r="AW738" s="6">
        <v>0</v>
      </c>
      <c r="AX738" s="6">
        <v>0</v>
      </c>
      <c r="AY738" s="6">
        <v>0</v>
      </c>
      <c r="AZ738" s="6">
        <v>0</v>
      </c>
      <c r="BA738" s="6">
        <v>0</v>
      </c>
      <c r="BB738" s="6">
        <v>0</v>
      </c>
      <c r="BC738" s="6"/>
      <c r="BD738" s="3"/>
      <c r="BE738" s="3"/>
      <c r="BF738" s="7">
        <v>2124.548765812063</v>
      </c>
    </row>
    <row x14ac:dyDescent="0.25" r="739" customHeight="1" ht="12.75">
      <c r="A739" s="5" t="s">
        <v>822</v>
      </c>
      <c r="B739" s="3" t="s">
        <v>855</v>
      </c>
      <c r="C739" s="3" t="s">
        <v>870</v>
      </c>
      <c r="D739" s="3"/>
      <c r="E739" s="3"/>
      <c r="F739" s="6">
        <f>100*SUM(AM739:AO739)/AL739</f>
      </c>
      <c r="G739" s="6">
        <f>100*SUM(AP739)/AL739</f>
      </c>
      <c r="H739" s="6">
        <f>100*SUM(AQ739)/AL739</f>
      </c>
      <c r="I739" s="6">
        <f>100*SUM(AR739:BC739)/AL739</f>
      </c>
      <c r="J739" s="3"/>
      <c r="K739" s="23">
        <v>0.876831</v>
      </c>
      <c r="L739" s="6"/>
      <c r="M739" s="6">
        <v>1.97</v>
      </c>
      <c r="N739" s="5">
        <v>6</v>
      </c>
      <c r="O739" s="6">
        <v>0.96</v>
      </c>
      <c r="P739" s="6"/>
      <c r="Q739" s="7"/>
      <c r="R739" s="6"/>
      <c r="S739" s="6"/>
      <c r="T739" s="6"/>
      <c r="U739" s="5"/>
      <c r="V739" s="6"/>
      <c r="W739" s="6"/>
      <c r="X739" s="6"/>
      <c r="Y739" s="15"/>
      <c r="Z739" s="6"/>
      <c r="AA739" s="6"/>
      <c r="AB739" s="5"/>
      <c r="AC739" s="3"/>
      <c r="AD739" s="6">
        <v>0</v>
      </c>
      <c r="AE739" s="6">
        <v>0.0172735707</v>
      </c>
      <c r="AF739" s="7">
        <v>5.260986</v>
      </c>
      <c r="AG739" s="6">
        <v>0.0084175776</v>
      </c>
      <c r="AH739" s="7">
        <v>0</v>
      </c>
      <c r="AI739" s="15">
        <v>0.0256911483</v>
      </c>
      <c r="AJ739" s="6">
        <v>2.9299999999999997</v>
      </c>
      <c r="AK739" s="3"/>
      <c r="AL739" s="6">
        <v>113.11764733665595</v>
      </c>
      <c r="AM739" s="6">
        <v>0</v>
      </c>
      <c r="AN739" s="6">
        <v>42.7791607</v>
      </c>
      <c r="AO739" s="6">
        <v>3.671382636655949</v>
      </c>
      <c r="AP739" s="6">
        <v>66.667104</v>
      </c>
      <c r="AQ739" s="6">
        <v>0</v>
      </c>
      <c r="AR739" s="6">
        <v>0</v>
      </c>
      <c r="AS739" s="6">
        <v>0</v>
      </c>
      <c r="AT739" s="6">
        <v>0</v>
      </c>
      <c r="AU739" s="6">
        <v>0</v>
      </c>
      <c r="AV739" s="6">
        <v>0</v>
      </c>
      <c r="AW739" s="6">
        <v>0</v>
      </c>
      <c r="AX739" s="6">
        <v>0</v>
      </c>
      <c r="AY739" s="6">
        <v>0</v>
      </c>
      <c r="AZ739" s="6">
        <v>0</v>
      </c>
      <c r="BA739" s="6">
        <v>0</v>
      </c>
      <c r="BB739" s="6">
        <v>0</v>
      </c>
      <c r="BC739" s="6"/>
      <c r="BD739" s="3"/>
      <c r="BE739" s="3"/>
      <c r="BF739" s="7">
        <v>99.18505983184737</v>
      </c>
    </row>
    <row x14ac:dyDescent="0.25" r="740" customHeight="1" ht="12.75">
      <c r="A740" s="5" t="s">
        <v>507</v>
      </c>
      <c r="B740" s="3" t="s">
        <v>855</v>
      </c>
      <c r="C740" s="3" t="s">
        <v>870</v>
      </c>
      <c r="D740" s="3"/>
      <c r="E740" s="3"/>
      <c r="F740" s="6">
        <f>100*SUM(AM740:AO740)/AL740</f>
      </c>
      <c r="G740" s="6">
        <f>100*SUM(AP740)/AL740</f>
      </c>
      <c r="H740" s="6">
        <f>100*SUM(AQ740)/AL740</f>
      </c>
      <c r="I740" s="6">
        <f>100*SUM(AR740:BC740)/AL740</f>
      </c>
      <c r="J740" s="3"/>
      <c r="K740" s="6">
        <v>0.657</v>
      </c>
      <c r="L740" s="6">
        <v>0.3</v>
      </c>
      <c r="M740" s="6">
        <v>3.7</v>
      </c>
      <c r="N740" s="6">
        <v>35.9</v>
      </c>
      <c r="O740" s="6">
        <v>1.8</v>
      </c>
      <c r="P740" s="6">
        <v>0.8</v>
      </c>
      <c r="Q740" s="7"/>
      <c r="R740" s="6"/>
      <c r="S740" s="6"/>
      <c r="T740" s="6"/>
      <c r="U740" s="5"/>
      <c r="V740" s="6"/>
      <c r="W740" s="6"/>
      <c r="X740" s="6"/>
      <c r="Y740" s="15"/>
      <c r="Z740" s="6"/>
      <c r="AA740" s="6"/>
      <c r="AB740" s="5"/>
      <c r="AC740" s="3"/>
      <c r="AD740" s="6">
        <v>0.001971</v>
      </c>
      <c r="AE740" s="6">
        <v>0.024309000000000004</v>
      </c>
      <c r="AF740" s="7">
        <v>23.5863</v>
      </c>
      <c r="AG740" s="6">
        <v>0.011826000000000001</v>
      </c>
      <c r="AH740" s="7">
        <v>0.5256000000000001</v>
      </c>
      <c r="AI740" s="15">
        <v>0.03810600000000001</v>
      </c>
      <c r="AJ740" s="6">
        <v>5.8</v>
      </c>
      <c r="AK740" s="3"/>
      <c r="AL740" s="6">
        <v>265.6712513987138</v>
      </c>
      <c r="AM740" s="6">
        <v>5.687868</v>
      </c>
      <c r="AN740" s="6">
        <v>80.346647</v>
      </c>
      <c r="AO740" s="6">
        <v>21.96710610932476</v>
      </c>
      <c r="AP740" s="6">
        <v>125.00082</v>
      </c>
      <c r="AQ740" s="6">
        <v>32.66881028938907</v>
      </c>
      <c r="AR740" s="6">
        <v>0</v>
      </c>
      <c r="AS740" s="6">
        <v>0</v>
      </c>
      <c r="AT740" s="6">
        <v>0</v>
      </c>
      <c r="AU740" s="6">
        <v>0</v>
      </c>
      <c r="AV740" s="6">
        <v>0</v>
      </c>
      <c r="AW740" s="6">
        <v>0</v>
      </c>
      <c r="AX740" s="6">
        <v>0</v>
      </c>
      <c r="AY740" s="6">
        <v>0</v>
      </c>
      <c r="AZ740" s="6">
        <v>0</v>
      </c>
      <c r="BA740" s="6">
        <v>0</v>
      </c>
      <c r="BB740" s="6">
        <v>0</v>
      </c>
      <c r="BC740" s="6"/>
      <c r="BD740" s="3"/>
      <c r="BE740" s="3"/>
      <c r="BF740" s="7">
        <v>174.54601216895497</v>
      </c>
    </row>
    <row x14ac:dyDescent="0.25" r="741" customHeight="1" ht="12.75">
      <c r="A741" s="5" t="s">
        <v>631</v>
      </c>
      <c r="B741" s="3" t="s">
        <v>855</v>
      </c>
      <c r="C741" s="3" t="s">
        <v>870</v>
      </c>
      <c r="D741" s="3"/>
      <c r="E741" s="3"/>
      <c r="F741" s="6">
        <f>100*SUM(AM741:AO741)/AL741</f>
      </c>
      <c r="G741" s="6">
        <f>100*SUM(AP741)/AL741</f>
      </c>
      <c r="H741" s="6">
        <f>100*SUM(AQ741)/AL741</f>
      </c>
      <c r="I741" s="6">
        <f>100*SUM(AR741:BC741)/AL741</f>
      </c>
      <c r="J741" s="3"/>
      <c r="K741" s="23">
        <v>2.5</v>
      </c>
      <c r="L741" s="6">
        <v>1.2</v>
      </c>
      <c r="M741" s="7">
        <v>2</v>
      </c>
      <c r="N741" s="31">
        <v>36</v>
      </c>
      <c r="O741" s="6">
        <v>1.8</v>
      </c>
      <c r="P741" s="6">
        <v>0.14</v>
      </c>
      <c r="Q741" s="7"/>
      <c r="R741" s="6"/>
      <c r="S741" s="6"/>
      <c r="T741" s="6"/>
      <c r="U741" s="5"/>
      <c r="V741" s="6"/>
      <c r="W741" s="6"/>
      <c r="X741" s="6"/>
      <c r="Y741" s="15"/>
      <c r="Z741" s="6"/>
      <c r="AA741" s="6"/>
      <c r="AB741" s="5"/>
      <c r="AC741" s="3"/>
      <c r="AD741" s="6">
        <v>0.03</v>
      </c>
      <c r="AE741" s="6">
        <v>0.05</v>
      </c>
      <c r="AF741" s="7">
        <v>90</v>
      </c>
      <c r="AG741" s="6">
        <v>0.045</v>
      </c>
      <c r="AH741" s="7">
        <v>0.35000000000000003</v>
      </c>
      <c r="AI741" s="15">
        <v>0.125</v>
      </c>
      <c r="AJ741" s="6">
        <v>5</v>
      </c>
      <c r="AK741" s="3"/>
      <c r="AL741" s="6">
        <v>218.92824962057875</v>
      </c>
      <c r="AM741" s="6">
        <v>22.751472</v>
      </c>
      <c r="AN741" s="6">
        <v>43.43062</v>
      </c>
      <c r="AO741" s="6">
        <v>22.028295819935696</v>
      </c>
      <c r="AP741" s="6">
        <v>125.00082</v>
      </c>
      <c r="AQ741" s="6">
        <v>5.717041800643087</v>
      </c>
      <c r="AR741" s="6">
        <v>0</v>
      </c>
      <c r="AS741" s="6">
        <v>0</v>
      </c>
      <c r="AT741" s="6">
        <v>0</v>
      </c>
      <c r="AU741" s="6">
        <v>0</v>
      </c>
      <c r="AV741" s="6">
        <v>0</v>
      </c>
      <c r="AW741" s="6">
        <v>0</v>
      </c>
      <c r="AX741" s="6">
        <v>0</v>
      </c>
      <c r="AY741" s="6">
        <v>0</v>
      </c>
      <c r="AZ741" s="6">
        <v>0</v>
      </c>
      <c r="BA741" s="6">
        <v>0</v>
      </c>
      <c r="BB741" s="6">
        <v>0</v>
      </c>
      <c r="BC741" s="6"/>
      <c r="BD741" s="3"/>
      <c r="BE741" s="3"/>
      <c r="BF741" s="7">
        <v>547.3206240514469</v>
      </c>
    </row>
    <row x14ac:dyDescent="0.25" r="742" customHeight="1" ht="12.75">
      <c r="A742" s="5" t="s">
        <v>382</v>
      </c>
      <c r="B742" s="3" t="s">
        <v>855</v>
      </c>
      <c r="C742" s="3" t="s">
        <v>870</v>
      </c>
      <c r="D742" s="3"/>
      <c r="E742" s="3"/>
      <c r="F742" s="6">
        <f>100*SUM(AM742:AO742)/AL742</f>
      </c>
      <c r="G742" s="6">
        <f>100*SUM(AP742)/AL742</f>
      </c>
      <c r="H742" s="6">
        <f>100*SUM(AQ742)/AL742</f>
      </c>
      <c r="I742" s="6">
        <f>100*SUM(AR742:BC742)/AL742</f>
      </c>
      <c r="J742" s="3"/>
      <c r="K742" s="6">
        <v>13.986</v>
      </c>
      <c r="L742" s="7">
        <v>0.6515151515151514</v>
      </c>
      <c r="M742" s="7">
        <v>4</v>
      </c>
      <c r="N742" s="5">
        <v>40</v>
      </c>
      <c r="O742" s="7">
        <v>2</v>
      </c>
      <c r="P742" s="6">
        <v>1.1</v>
      </c>
      <c r="Q742" s="7"/>
      <c r="R742" s="6"/>
      <c r="S742" s="6"/>
      <c r="T742" s="6"/>
      <c r="U742" s="5"/>
      <c r="V742" s="6"/>
      <c r="W742" s="6"/>
      <c r="X742" s="6"/>
      <c r="Y742" s="15"/>
      <c r="Z742" s="6"/>
      <c r="AA742" s="6"/>
      <c r="AB742" s="5"/>
      <c r="AC742" s="3"/>
      <c r="AD742" s="6">
        <v>0.09112090909090907</v>
      </c>
      <c r="AE742" s="6">
        <v>0.55944</v>
      </c>
      <c r="AF742" s="7">
        <v>559.44</v>
      </c>
      <c r="AG742" s="6">
        <v>0.27972</v>
      </c>
      <c r="AH742" s="7">
        <v>15.384600000000002</v>
      </c>
      <c r="AI742" s="15">
        <v>0.9302809090909092</v>
      </c>
      <c r="AJ742" s="6">
        <v>6.651515151515151</v>
      </c>
      <c r="AK742" s="3"/>
      <c r="AL742" s="6">
        <v>307.49897899834355</v>
      </c>
      <c r="AM742" s="6">
        <v>12.352440606060602</v>
      </c>
      <c r="AN742" s="6">
        <v>86.86124</v>
      </c>
      <c r="AO742" s="6">
        <v>24.475884244372995</v>
      </c>
      <c r="AP742" s="6">
        <v>138.8898</v>
      </c>
      <c r="AQ742" s="6">
        <v>44.91961414790997</v>
      </c>
      <c r="AR742" s="6">
        <v>0</v>
      </c>
      <c r="AS742" s="6">
        <v>0</v>
      </c>
      <c r="AT742" s="6">
        <v>0</v>
      </c>
      <c r="AU742" s="6">
        <v>0</v>
      </c>
      <c r="AV742" s="6">
        <v>0</v>
      </c>
      <c r="AW742" s="6">
        <v>0</v>
      </c>
      <c r="AX742" s="6">
        <v>0</v>
      </c>
      <c r="AY742" s="6">
        <v>0</v>
      </c>
      <c r="AZ742" s="6">
        <v>0</v>
      </c>
      <c r="BA742" s="6">
        <v>0</v>
      </c>
      <c r="BB742" s="6">
        <v>0</v>
      </c>
      <c r="BC742" s="6"/>
      <c r="BD742" s="3"/>
      <c r="BE742" s="3"/>
      <c r="BF742" s="7">
        <v>4300.680720270833</v>
      </c>
    </row>
    <row x14ac:dyDescent="0.25" r="743" customHeight="1" ht="12.75">
      <c r="A743" s="5" t="s">
        <v>780</v>
      </c>
      <c r="B743" s="3" t="s">
        <v>855</v>
      </c>
      <c r="C743" s="3" t="s">
        <v>870</v>
      </c>
      <c r="D743" s="3"/>
      <c r="E743" s="3"/>
      <c r="F743" s="6">
        <f>100*SUM(AM743:AO743)/AL743</f>
      </c>
      <c r="G743" s="6">
        <f>100*SUM(AP743)/AL743</f>
      </c>
      <c r="H743" s="6">
        <f>100*SUM(AQ743)/AL743</f>
      </c>
      <c r="I743" s="6">
        <f>100*SUM(AR743:BC743)/AL743</f>
      </c>
      <c r="J743" s="3"/>
      <c r="K743" s="6">
        <v>6.1</v>
      </c>
      <c r="L743" s="6"/>
      <c r="M743" s="6">
        <v>0.5</v>
      </c>
      <c r="N743" s="5">
        <v>36</v>
      </c>
      <c r="O743" s="6"/>
      <c r="P743" s="6">
        <v>1.2</v>
      </c>
      <c r="Q743" s="7"/>
      <c r="R743" s="6"/>
      <c r="S743" s="6"/>
      <c r="T743" s="6"/>
      <c r="U743" s="5"/>
      <c r="V743" s="6"/>
      <c r="W743" s="6"/>
      <c r="X743" s="6"/>
      <c r="Y743" s="15"/>
      <c r="Z743" s="6"/>
      <c r="AA743" s="6"/>
      <c r="AB743" s="5"/>
      <c r="AC743" s="3"/>
      <c r="AD743" s="6">
        <v>0</v>
      </c>
      <c r="AE743" s="6">
        <v>0.0305</v>
      </c>
      <c r="AF743" s="7">
        <v>219.6</v>
      </c>
      <c r="AG743" s="6">
        <v>0</v>
      </c>
      <c r="AH743" s="7">
        <v>7.319999999999999</v>
      </c>
      <c r="AI743" s="15">
        <v>0.0305</v>
      </c>
      <c r="AJ743" s="6">
        <v>0.5</v>
      </c>
      <c r="AK743" s="3"/>
      <c r="AL743" s="6">
        <v>81.8891662540193</v>
      </c>
      <c r="AM743" s="6">
        <v>0</v>
      </c>
      <c r="AN743" s="6">
        <v>10.857655</v>
      </c>
      <c r="AO743" s="6">
        <v>22.028295819935696</v>
      </c>
      <c r="AP743" s="6">
        <v>0</v>
      </c>
      <c r="AQ743" s="6">
        <v>49.0032154340836</v>
      </c>
      <c r="AR743" s="6">
        <v>0</v>
      </c>
      <c r="AS743" s="6">
        <v>0</v>
      </c>
      <c r="AT743" s="6">
        <v>0</v>
      </c>
      <c r="AU743" s="6">
        <v>0</v>
      </c>
      <c r="AV743" s="6">
        <v>0</v>
      </c>
      <c r="AW743" s="6">
        <v>0</v>
      </c>
      <c r="AX743" s="6">
        <v>0</v>
      </c>
      <c r="AY743" s="6">
        <v>0</v>
      </c>
      <c r="AZ743" s="6">
        <v>0</v>
      </c>
      <c r="BA743" s="6">
        <v>0</v>
      </c>
      <c r="BB743" s="6">
        <v>0</v>
      </c>
      <c r="BC743" s="6"/>
      <c r="BD743" s="3"/>
      <c r="BE743" s="3"/>
      <c r="BF743" s="7">
        <v>499.5239141495177</v>
      </c>
    </row>
    <row x14ac:dyDescent="0.25" r="744" customHeight="1" ht="12.75">
      <c r="A744" s="5" t="s">
        <v>273</v>
      </c>
      <c r="B744" s="3" t="s">
        <v>855</v>
      </c>
      <c r="C744" s="3" t="s">
        <v>870</v>
      </c>
      <c r="D744" s="3"/>
      <c r="E744" s="3"/>
      <c r="F744" s="6">
        <f>100*SUM(AM744:AO744)/AL744</f>
      </c>
      <c r="G744" s="6">
        <f>100*SUM(AP744)/AL744</f>
      </c>
      <c r="H744" s="6">
        <f>100*SUM(AQ744)/AL744</f>
      </c>
      <c r="I744" s="6">
        <f>100*SUM(AR744:BC744)/AL744</f>
      </c>
      <c r="J744" s="3"/>
      <c r="K744" s="6">
        <v>30.35</v>
      </c>
      <c r="L744" s="6">
        <v>0.67</v>
      </c>
      <c r="M744" s="6">
        <v>2.35</v>
      </c>
      <c r="N744" s="7">
        <v>46.56</v>
      </c>
      <c r="O744" s="6">
        <v>0.67</v>
      </c>
      <c r="P744" s="6">
        <v>2.31</v>
      </c>
      <c r="Q744" s="7"/>
      <c r="R744" s="6"/>
      <c r="S744" s="6"/>
      <c r="T744" s="6"/>
      <c r="U744" s="5"/>
      <c r="V744" s="6"/>
      <c r="W744" s="6"/>
      <c r="X744" s="6"/>
      <c r="Y744" s="15"/>
      <c r="Z744" s="6"/>
      <c r="AA744" s="6"/>
      <c r="AB744" s="5"/>
      <c r="AC744" s="3"/>
      <c r="AD744" s="6">
        <v>0.20334500000000003</v>
      </c>
      <c r="AE744" s="6">
        <v>0.713225</v>
      </c>
      <c r="AF744" s="7">
        <v>1413.0960000000002</v>
      </c>
      <c r="AG744" s="6">
        <v>0.20334500000000003</v>
      </c>
      <c r="AH744" s="7">
        <v>70.1085</v>
      </c>
      <c r="AI744" s="15">
        <v>1.119915</v>
      </c>
      <c r="AJ744" s="6">
        <v>3.69</v>
      </c>
      <c r="AK744" s="3"/>
      <c r="AL744" s="6">
        <v>233.0830856710611</v>
      </c>
      <c r="AM744" s="6">
        <v>12.7029052</v>
      </c>
      <c r="AN744" s="6">
        <v>51.030978499999996</v>
      </c>
      <c r="AO744" s="6">
        <v>28.489929260450165</v>
      </c>
      <c r="AP744" s="6">
        <v>46.528083</v>
      </c>
      <c r="AQ744" s="6">
        <v>94.33118971061093</v>
      </c>
      <c r="AR744" s="6">
        <v>0</v>
      </c>
      <c r="AS744" s="6">
        <v>0</v>
      </c>
      <c r="AT744" s="6">
        <v>0</v>
      </c>
      <c r="AU744" s="6">
        <v>0</v>
      </c>
      <c r="AV744" s="6">
        <v>0</v>
      </c>
      <c r="AW744" s="6">
        <v>0</v>
      </c>
      <c r="AX744" s="6">
        <v>0</v>
      </c>
      <c r="AY744" s="6">
        <v>0</v>
      </c>
      <c r="AZ744" s="6">
        <v>0</v>
      </c>
      <c r="BA744" s="6">
        <v>0</v>
      </c>
      <c r="BB744" s="6">
        <v>0</v>
      </c>
      <c r="BC744" s="6"/>
      <c r="BD744" s="3"/>
      <c r="BE744" s="3"/>
      <c r="BF744" s="7">
        <v>7074.071650116704</v>
      </c>
    </row>
    <row x14ac:dyDescent="0.25" r="745" customHeight="1" ht="12.75">
      <c r="A745" s="5" t="s">
        <v>505</v>
      </c>
      <c r="B745" s="3" t="s">
        <v>855</v>
      </c>
      <c r="C745" s="3" t="s">
        <v>870</v>
      </c>
      <c r="D745" s="3"/>
      <c r="E745" s="3"/>
      <c r="F745" s="6">
        <f>100*SUM(AM745:AO745)/AL745</f>
      </c>
      <c r="G745" s="6">
        <f>100*SUM(AP745)/AL745</f>
      </c>
      <c r="H745" s="6">
        <f>100*SUM(AQ745)/AL745</f>
      </c>
      <c r="I745" s="6">
        <f>100*SUM(AR745:BC745)/AL745</f>
      </c>
      <c r="J745" s="3"/>
      <c r="K745" s="23">
        <v>25.775326</v>
      </c>
      <c r="L745" s="6">
        <v>0.5745920307661676</v>
      </c>
      <c r="M745" s="6">
        <v>1.09514995426246</v>
      </c>
      <c r="N745" s="7">
        <v>13.334541613557088</v>
      </c>
      <c r="O745" s="6">
        <v>0.8532225540037787</v>
      </c>
      <c r="P745" s="6">
        <v>0.1521822680341657</v>
      </c>
      <c r="Q745" s="7"/>
      <c r="R745" s="6"/>
      <c r="S745" s="6"/>
      <c r="T745" s="6"/>
      <c r="U745" s="5"/>
      <c r="V745" s="6"/>
      <c r="W745" s="6"/>
      <c r="X745" s="6"/>
      <c r="Y745" s="15"/>
      <c r="Z745" s="6"/>
      <c r="AA745" s="6"/>
      <c r="AB745" s="5"/>
      <c r="AC745" s="3"/>
      <c r="AD745" s="6">
        <v>0.1481029691</v>
      </c>
      <c r="AE745" s="6">
        <v>0.28227847089999997</v>
      </c>
      <c r="AF745" s="7">
        <v>343.70215714999995</v>
      </c>
      <c r="AG745" s="6">
        <v>0.21992089480000002</v>
      </c>
      <c r="AH745" s="7">
        <v>3.9225475700000003</v>
      </c>
      <c r="AI745" s="15">
        <v>0.6503023348</v>
      </c>
      <c r="AJ745" s="6">
        <v>2.5229645390324063</v>
      </c>
      <c r="AK745" s="3"/>
      <c r="AL745" s="6">
        <v>108.30137225606649</v>
      </c>
      <c r="AM745" s="6">
        <v>10.894012082833001</v>
      </c>
      <c r="AN745" s="6">
        <v>23.781520753295144</v>
      </c>
      <c r="AO745" s="6">
        <v>8.159367424629949</v>
      </c>
      <c r="AP745" s="6">
        <v>59.251954940537004</v>
      </c>
      <c r="AQ745" s="6">
        <v>6.214517054771397</v>
      </c>
      <c r="AR745" s="6">
        <v>0</v>
      </c>
      <c r="AS745" s="6">
        <v>0</v>
      </c>
      <c r="AT745" s="6">
        <v>0</v>
      </c>
      <c r="AU745" s="6">
        <v>0</v>
      </c>
      <c r="AV745" s="6">
        <v>0</v>
      </c>
      <c r="AW745" s="6">
        <v>0</v>
      </c>
      <c r="AX745" s="6">
        <v>0</v>
      </c>
      <c r="AY745" s="6">
        <v>0</v>
      </c>
      <c r="AZ745" s="6">
        <v>0</v>
      </c>
      <c r="BA745" s="6">
        <v>0</v>
      </c>
      <c r="BB745" s="6">
        <v>0</v>
      </c>
      <c r="BC745" s="6"/>
      <c r="BD745" s="3"/>
      <c r="BE745" s="3"/>
      <c r="BF745" s="7">
        <v>2791.5031761474693</v>
      </c>
    </row>
    <row x14ac:dyDescent="0.25" r="746" customHeight="1" ht="12.75">
      <c r="A746" s="5" t="s">
        <v>368</v>
      </c>
      <c r="B746" s="3" t="s">
        <v>855</v>
      </c>
      <c r="C746" s="3" t="s">
        <v>870</v>
      </c>
      <c r="D746" s="3"/>
      <c r="E746" s="3"/>
      <c r="F746" s="6">
        <f>100*SUM(AM746:AO746)/AL746</f>
      </c>
      <c r="G746" s="6">
        <f>100*SUM(AP746)/AL746</f>
      </c>
      <c r="H746" s="6">
        <f>100*SUM(AQ746)/AL746</f>
      </c>
      <c r="I746" s="6">
        <f>100*SUM(AR746:BC746)/AL746</f>
      </c>
      <c r="J746" s="3"/>
      <c r="K746" s="6">
        <v>25.211</v>
      </c>
      <c r="L746" s="6"/>
      <c r="M746" s="6">
        <v>2.804596009678315</v>
      </c>
      <c r="N746" s="31">
        <v>17</v>
      </c>
      <c r="O746" s="6">
        <v>1.2979461346237755</v>
      </c>
      <c r="P746" s="6">
        <v>0.46308079806433705</v>
      </c>
      <c r="Q746" s="7"/>
      <c r="R746" s="6"/>
      <c r="S746" s="6"/>
      <c r="T746" s="6"/>
      <c r="U746" s="5"/>
      <c r="V746" s="6"/>
      <c r="W746" s="6"/>
      <c r="X746" s="6"/>
      <c r="Y746" s="15"/>
      <c r="Z746" s="6"/>
      <c r="AA746" s="6"/>
      <c r="AB746" s="5"/>
      <c r="AC746" s="3"/>
      <c r="AD746" s="6">
        <v>0</v>
      </c>
      <c r="AE746" s="6">
        <v>0.7070667</v>
      </c>
      <c r="AF746" s="7">
        <v>428.587</v>
      </c>
      <c r="AG746" s="6">
        <v>0.32722520000000005</v>
      </c>
      <c r="AH746" s="7">
        <v>11.67473</v>
      </c>
      <c r="AI746" s="15">
        <v>1.0342919000000002</v>
      </c>
      <c r="AJ746" s="6">
        <v>4.102542144302091</v>
      </c>
      <c r="AK746" s="3"/>
      <c r="AL746" s="6">
        <v>180.35103552889916</v>
      </c>
      <c r="AM746" s="6">
        <v>0</v>
      </c>
      <c r="AN746" s="6">
        <v>60.90267177492761</v>
      </c>
      <c r="AO746" s="6">
        <v>10.402250803858522</v>
      </c>
      <c r="AP746" s="6">
        <v>90.13573952433462</v>
      </c>
      <c r="AQ746" s="6">
        <v>18.910373425778396</v>
      </c>
      <c r="AR746" s="6">
        <v>0</v>
      </c>
      <c r="AS746" s="6">
        <v>0</v>
      </c>
      <c r="AT746" s="6">
        <v>0</v>
      </c>
      <c r="AU746" s="6">
        <v>0</v>
      </c>
      <c r="AV746" s="6">
        <v>0</v>
      </c>
      <c r="AW746" s="6">
        <v>0</v>
      </c>
      <c r="AX746" s="6">
        <v>0</v>
      </c>
      <c r="AY746" s="6">
        <v>0</v>
      </c>
      <c r="AZ746" s="6">
        <v>0</v>
      </c>
      <c r="BA746" s="6">
        <v>0</v>
      </c>
      <c r="BB746" s="6">
        <v>0</v>
      </c>
      <c r="BC746" s="6"/>
      <c r="BD746" s="3"/>
      <c r="BE746" s="3"/>
      <c r="BF746" s="7">
        <v>4546.829956719076</v>
      </c>
    </row>
    <row x14ac:dyDescent="0.25" r="747" customHeight="1" ht="12.75">
      <c r="A747" s="5" t="s">
        <v>292</v>
      </c>
      <c r="B747" s="3" t="s">
        <v>855</v>
      </c>
      <c r="C747" s="3" t="s">
        <v>870</v>
      </c>
      <c r="D747" s="3"/>
      <c r="E747" s="3"/>
      <c r="F747" s="6">
        <f>100*SUM(AM747:AO747)/AL747</f>
      </c>
      <c r="G747" s="6">
        <f>100*SUM(AP747)/AL747</f>
      </c>
      <c r="H747" s="6">
        <f>100*SUM(AQ747)/AL747</f>
      </c>
      <c r="I747" s="6">
        <f>100*SUM(AR747:BC747)/AL747</f>
      </c>
      <c r="J747" s="3"/>
      <c r="K747" s="6">
        <v>13.9</v>
      </c>
      <c r="L747" s="7">
        <v>0.3431654676258993</v>
      </c>
      <c r="M747" s="7">
        <v>3.8453237410071943</v>
      </c>
      <c r="N747" s="31">
        <v>83.431654676259</v>
      </c>
      <c r="O747" s="7">
        <v>2.4820143884892087</v>
      </c>
      <c r="P747" s="7">
        <v>1.3</v>
      </c>
      <c r="Q747" s="7"/>
      <c r="R747" s="6"/>
      <c r="S747" s="6"/>
      <c r="T747" s="6"/>
      <c r="U747" s="5"/>
      <c r="V747" s="6"/>
      <c r="W747" s="6"/>
      <c r="X747" s="6"/>
      <c r="Y747" s="15"/>
      <c r="Z747" s="6"/>
      <c r="AA747" s="6"/>
      <c r="AB747" s="5"/>
      <c r="AC747" s="3"/>
      <c r="AD747" s="6">
        <v>0.047700000000000006</v>
      </c>
      <c r="AE747" s="6">
        <v>0.5345</v>
      </c>
      <c r="AF747" s="7">
        <v>1159.7</v>
      </c>
      <c r="AG747" s="6">
        <v>0.345</v>
      </c>
      <c r="AH747" s="7">
        <v>18.07</v>
      </c>
      <c r="AI747" s="15">
        <v>0.9271999999999999</v>
      </c>
      <c r="AJ747" s="6">
        <v>6.670503597122302</v>
      </c>
      <c r="AK747" s="3"/>
      <c r="AL747" s="6">
        <v>366.51030914147907</v>
      </c>
      <c r="AM747" s="6">
        <v>6.506266273381295</v>
      </c>
      <c r="AN747" s="6">
        <v>83.50239708633093</v>
      </c>
      <c r="AO747" s="6">
        <v>51.0515880543154</v>
      </c>
      <c r="AP747" s="6">
        <v>172.36324100719423</v>
      </c>
      <c r="AQ747" s="6">
        <v>53.08681672025724</v>
      </c>
      <c r="AR747" s="6">
        <v>0</v>
      </c>
      <c r="AS747" s="6">
        <v>0</v>
      </c>
      <c r="AT747" s="6">
        <v>0</v>
      </c>
      <c r="AU747" s="6">
        <v>0</v>
      </c>
      <c r="AV747" s="6">
        <v>0</v>
      </c>
      <c r="AW747" s="6">
        <v>0</v>
      </c>
      <c r="AX747" s="6">
        <v>0</v>
      </c>
      <c r="AY747" s="6">
        <v>0</v>
      </c>
      <c r="AZ747" s="6">
        <v>0</v>
      </c>
      <c r="BA747" s="6">
        <v>0</v>
      </c>
      <c r="BB747" s="6">
        <v>0</v>
      </c>
      <c r="BC747" s="6"/>
      <c r="BD747" s="3"/>
      <c r="BE747" s="3"/>
      <c r="BF747" s="7">
        <v>5094.4932970665595</v>
      </c>
    </row>
    <row x14ac:dyDescent="0.25" r="748" customHeight="1" ht="12.75">
      <c r="A748" s="5" t="s">
        <v>750</v>
      </c>
      <c r="B748" s="3" t="s">
        <v>855</v>
      </c>
      <c r="C748" s="3" t="s">
        <v>870</v>
      </c>
      <c r="D748" s="3"/>
      <c r="E748" s="3"/>
      <c r="F748" s="6">
        <f>100*SUM(AM748:AO748)/AL748</f>
      </c>
      <c r="G748" s="6">
        <f>100*SUM(AP748)/AL748</f>
      </c>
      <c r="H748" s="6">
        <f>100*SUM(AQ748)/AL748</f>
      </c>
      <c r="I748" s="6">
        <f>100*SUM(AR748:BC748)/AL748</f>
      </c>
      <c r="J748" s="3"/>
      <c r="K748" s="6">
        <v>3.85</v>
      </c>
      <c r="L748" s="6">
        <v>0.4426753246753247</v>
      </c>
      <c r="M748" s="6">
        <v>2.1495324675324676</v>
      </c>
      <c r="N748" s="7">
        <v>14.596623376623377</v>
      </c>
      <c r="O748" s="7">
        <v>1.2077662337662338</v>
      </c>
      <c r="P748" s="7">
        <v>0.46581818181818185</v>
      </c>
      <c r="Q748" s="7"/>
      <c r="R748" s="6"/>
      <c r="S748" s="6"/>
      <c r="T748" s="6"/>
      <c r="U748" s="5"/>
      <c r="V748" s="6"/>
      <c r="W748" s="6"/>
      <c r="X748" s="6"/>
      <c r="Y748" s="15"/>
      <c r="Z748" s="6"/>
      <c r="AA748" s="6"/>
      <c r="AB748" s="5"/>
      <c r="AC748" s="3"/>
      <c r="AD748" s="6">
        <v>0.017043000000000003</v>
      </c>
      <c r="AE748" s="6">
        <v>0.08275700000000001</v>
      </c>
      <c r="AF748" s="7">
        <v>56.197</v>
      </c>
      <c r="AG748" s="6">
        <v>0.046499000000000006</v>
      </c>
      <c r="AH748" s="7">
        <v>1.7934</v>
      </c>
      <c r="AI748" s="15">
        <v>0.146299</v>
      </c>
      <c r="AJ748" s="6">
        <v>3.7999740259740262</v>
      </c>
      <c r="AK748" s="3"/>
      <c r="AL748" s="6">
        <v>166.89768746058797</v>
      </c>
      <c r="AM748" s="6">
        <v>8.3929293787013</v>
      </c>
      <c r="AN748" s="6">
        <v>46.67776388753247</v>
      </c>
      <c r="AO748" s="6">
        <v>8.931631603123567</v>
      </c>
      <c r="AP748" s="6">
        <v>83.87320532727273</v>
      </c>
      <c r="AQ748" s="6">
        <v>19.022157263957908</v>
      </c>
      <c r="AR748" s="6">
        <v>0</v>
      </c>
      <c r="AS748" s="6">
        <v>0</v>
      </c>
      <c r="AT748" s="6">
        <v>0</v>
      </c>
      <c r="AU748" s="6">
        <v>0</v>
      </c>
      <c r="AV748" s="6">
        <v>0</v>
      </c>
      <c r="AW748" s="6">
        <v>0</v>
      </c>
      <c r="AX748" s="6">
        <v>0</v>
      </c>
      <c r="AY748" s="6">
        <v>0</v>
      </c>
      <c r="AZ748" s="6">
        <v>0</v>
      </c>
      <c r="BA748" s="6">
        <v>0</v>
      </c>
      <c r="BB748" s="6">
        <v>0</v>
      </c>
      <c r="BC748" s="6"/>
      <c r="BD748" s="3"/>
      <c r="BE748" s="3"/>
      <c r="BF748" s="7">
        <v>642.5560967232637</v>
      </c>
    </row>
    <row x14ac:dyDescent="0.25" r="749" customHeight="1" ht="12.75">
      <c r="A749" s="5" t="s">
        <v>62</v>
      </c>
      <c r="B749" s="3" t="s">
        <v>855</v>
      </c>
      <c r="C749" s="3" t="s">
        <v>870</v>
      </c>
      <c r="D749" s="3"/>
      <c r="E749" s="3"/>
      <c r="F749" s="6">
        <f>100*SUM(AM749:AO749)/AL749</f>
      </c>
      <c r="G749" s="6">
        <f>100*SUM(AP749)/AL749</f>
      </c>
      <c r="H749" s="6">
        <f>100*SUM(AQ749)/AL749</f>
      </c>
      <c r="I749" s="6">
        <f>100*SUM(AR749:BC749)/AL749</f>
      </c>
      <c r="J749" s="3"/>
      <c r="K749" s="6">
        <v>0.05</v>
      </c>
      <c r="L749" s="7">
        <v>1</v>
      </c>
      <c r="M749" s="6">
        <v>7.1</v>
      </c>
      <c r="N749" s="5">
        <v>130</v>
      </c>
      <c r="O749" s="6">
        <v>4.7</v>
      </c>
      <c r="P749" s="7">
        <v>2</v>
      </c>
      <c r="Q749" s="7"/>
      <c r="R749" s="6"/>
      <c r="S749" s="6"/>
      <c r="T749" s="6"/>
      <c r="U749" s="5"/>
      <c r="V749" s="6"/>
      <c r="W749" s="6"/>
      <c r="X749" s="6"/>
      <c r="Y749" s="15"/>
      <c r="Z749" s="6"/>
      <c r="AA749" s="6"/>
      <c r="AB749" s="5"/>
      <c r="AC749" s="3"/>
      <c r="AD749" s="6">
        <v>0.0005</v>
      </c>
      <c r="AE749" s="6">
        <v>0.0035499999999999998</v>
      </c>
      <c r="AF749" s="7">
        <v>6.5</v>
      </c>
      <c r="AG749" s="6">
        <v>0.00235</v>
      </c>
      <c r="AH749" s="7">
        <v>0.1</v>
      </c>
      <c r="AI749" s="15">
        <v>0.0063999999999999994</v>
      </c>
      <c r="AJ749" s="6">
        <v>12.8</v>
      </c>
      <c r="AK749" s="3"/>
      <c r="AL749" s="6">
        <v>660.7479405176848</v>
      </c>
      <c r="AM749" s="6">
        <v>18.95956</v>
      </c>
      <c r="AN749" s="6">
        <v>154.178701</v>
      </c>
      <c r="AO749" s="6">
        <v>79.54662379421222</v>
      </c>
      <c r="AP749" s="6">
        <v>326.39103</v>
      </c>
      <c r="AQ749" s="6">
        <v>81.67202572347267</v>
      </c>
      <c r="AR749" s="6">
        <v>0</v>
      </c>
      <c r="AS749" s="6">
        <v>0</v>
      </c>
      <c r="AT749" s="6">
        <v>0</v>
      </c>
      <c r="AU749" s="6">
        <v>0</v>
      </c>
      <c r="AV749" s="6">
        <v>0</v>
      </c>
      <c r="AW749" s="6">
        <v>0</v>
      </c>
      <c r="AX749" s="6">
        <v>0</v>
      </c>
      <c r="AY749" s="6">
        <v>0</v>
      </c>
      <c r="AZ749" s="6">
        <v>0</v>
      </c>
      <c r="BA749" s="6">
        <v>0</v>
      </c>
      <c r="BB749" s="6">
        <v>0</v>
      </c>
      <c r="BC749" s="6"/>
      <c r="BD749" s="3"/>
      <c r="BE749" s="3"/>
      <c r="BF749" s="7">
        <v>33.03739702588424</v>
      </c>
    </row>
    <row x14ac:dyDescent="0.25" r="750" customHeight="1" ht="12.75">
      <c r="A750" s="5" t="s">
        <v>249</v>
      </c>
      <c r="B750" s="3" t="s">
        <v>855</v>
      </c>
      <c r="C750" s="3" t="s">
        <v>870</v>
      </c>
      <c r="D750" s="3"/>
      <c r="E750" s="3"/>
      <c r="F750" s="6">
        <f>100*SUM(AM750:AO750)/AL750</f>
      </c>
      <c r="G750" s="6">
        <f>100*SUM(AP750)/AL750</f>
      </c>
      <c r="H750" s="6">
        <f>100*SUM(AQ750)/AL750</f>
      </c>
      <c r="I750" s="6">
        <f>100*SUM(AR750:BC750)/AL750</f>
      </c>
      <c r="J750" s="3"/>
      <c r="K750" s="7">
        <v>26.1</v>
      </c>
      <c r="L750" s="7">
        <v>0.28505747126436776</v>
      </c>
      <c r="M750" s="7">
        <v>3.855172413793103</v>
      </c>
      <c r="N750" s="31">
        <v>35.22222222222222</v>
      </c>
      <c r="O750" s="7">
        <v>2.2329501915708816</v>
      </c>
      <c r="P750" s="7">
        <v>0.6609195402298849</v>
      </c>
      <c r="Q750" s="7"/>
      <c r="R750" s="6"/>
      <c r="S750" s="6"/>
      <c r="T750" s="6"/>
      <c r="U750" s="5"/>
      <c r="V750" s="6"/>
      <c r="W750" s="6"/>
      <c r="X750" s="6"/>
      <c r="Y750" s="15"/>
      <c r="Z750" s="6"/>
      <c r="AA750" s="6"/>
      <c r="AB750" s="5"/>
      <c r="AC750" s="3"/>
      <c r="AD750" s="6">
        <v>0.07439999999999998</v>
      </c>
      <c r="AE750" s="6">
        <v>1.0062</v>
      </c>
      <c r="AF750" s="7">
        <v>919.3000000000001</v>
      </c>
      <c r="AG750" s="6">
        <v>0.5828000000000002</v>
      </c>
      <c r="AH750" s="7">
        <v>17.249999999999996</v>
      </c>
      <c r="AI750" s="15">
        <v>1.6634000000000002</v>
      </c>
      <c r="AJ750" s="6">
        <v>6.373180076628352</v>
      </c>
      <c r="AK750" s="3"/>
      <c r="AL750" s="6">
        <v>292.729525751389</v>
      </c>
      <c r="AM750" s="6">
        <v>5.404564229885056</v>
      </c>
      <c r="AN750" s="6">
        <v>83.7162640689655</v>
      </c>
      <c r="AO750" s="6">
        <v>21.55237584851733</v>
      </c>
      <c r="AP750" s="6">
        <v>155.0670027586207</v>
      </c>
      <c r="AQ750" s="6">
        <v>26.989318845400444</v>
      </c>
      <c r="AR750" s="6">
        <v>0</v>
      </c>
      <c r="AS750" s="6">
        <v>0</v>
      </c>
      <c r="AT750" s="6">
        <v>0</v>
      </c>
      <c r="AU750" s="6">
        <v>0</v>
      </c>
      <c r="AV750" s="6">
        <v>0</v>
      </c>
      <c r="AW750" s="6">
        <v>0</v>
      </c>
      <c r="AX750" s="6">
        <v>0</v>
      </c>
      <c r="AY750" s="6">
        <v>0</v>
      </c>
      <c r="AZ750" s="6">
        <v>0</v>
      </c>
      <c r="BA750" s="6">
        <v>0</v>
      </c>
      <c r="BB750" s="6">
        <v>0</v>
      </c>
      <c r="BC750" s="6"/>
      <c r="BD750" s="3"/>
      <c r="BE750" s="3"/>
      <c r="BF750" s="7">
        <v>7640.240622111254</v>
      </c>
    </row>
    <row x14ac:dyDescent="0.25" r="751" customHeight="1" ht="12.75">
      <c r="A751" s="5" t="s">
        <v>511</v>
      </c>
      <c r="B751" s="3" t="s">
        <v>855</v>
      </c>
      <c r="C751" s="3" t="s">
        <v>870</v>
      </c>
      <c r="D751" s="3"/>
      <c r="E751" s="3"/>
      <c r="F751" s="6">
        <f>100*SUM(AM751:AO751)/AL751</f>
      </c>
      <c r="G751" s="6">
        <f>100*SUM(AP751)/AL751</f>
      </c>
      <c r="H751" s="6">
        <f>100*SUM(AQ751)/AL751</f>
      </c>
      <c r="I751" s="6">
        <f>100*SUM(AR751:BC751)/AL751</f>
      </c>
      <c r="J751" s="3"/>
      <c r="K751" s="6">
        <v>0.74</v>
      </c>
      <c r="L751" s="6"/>
      <c r="M751" s="6">
        <v>3.5</v>
      </c>
      <c r="N751" s="6">
        <v>38.62</v>
      </c>
      <c r="O751" s="6">
        <v>1.88</v>
      </c>
      <c r="P751" s="6">
        <v>0.84</v>
      </c>
      <c r="Q751" s="7"/>
      <c r="R751" s="6"/>
      <c r="S751" s="6"/>
      <c r="T751" s="6"/>
      <c r="U751" s="5"/>
      <c r="V751" s="6"/>
      <c r="W751" s="6"/>
      <c r="X751" s="6"/>
      <c r="Y751" s="15"/>
      <c r="Z751" s="6"/>
      <c r="AA751" s="6"/>
      <c r="AB751" s="5"/>
      <c r="AC751" s="3"/>
      <c r="AD751" s="6">
        <v>0</v>
      </c>
      <c r="AE751" s="6">
        <v>0.0259</v>
      </c>
      <c r="AF751" s="7">
        <v>28.578799999999998</v>
      </c>
      <c r="AG751" s="6">
        <v>0.013912</v>
      </c>
      <c r="AH751" s="7">
        <v>0.6215999999999999</v>
      </c>
      <c r="AI751" s="15">
        <v>0.039812</v>
      </c>
      <c r="AJ751" s="6">
        <v>5.38</v>
      </c>
      <c r="AK751" s="3"/>
      <c r="AL751" s="6">
        <v>264.4937140418006</v>
      </c>
      <c r="AM751" s="6">
        <v>0</v>
      </c>
      <c r="AN751" s="6">
        <v>76.003585</v>
      </c>
      <c r="AO751" s="6">
        <v>23.631466237942124</v>
      </c>
      <c r="AP751" s="6">
        <v>130.55641199999997</v>
      </c>
      <c r="AQ751" s="6">
        <v>34.30225080385852</v>
      </c>
      <c r="AR751" s="6">
        <v>0</v>
      </c>
      <c r="AS751" s="6">
        <v>0</v>
      </c>
      <c r="AT751" s="6">
        <v>0</v>
      </c>
      <c r="AU751" s="6">
        <v>0</v>
      </c>
      <c r="AV751" s="6">
        <v>0</v>
      </c>
      <c r="AW751" s="6">
        <v>0</v>
      </c>
      <c r="AX751" s="6">
        <v>0</v>
      </c>
      <c r="AY751" s="6">
        <v>0</v>
      </c>
      <c r="AZ751" s="6">
        <v>0</v>
      </c>
      <c r="BA751" s="6">
        <v>0</v>
      </c>
      <c r="BB751" s="6">
        <v>0</v>
      </c>
      <c r="BC751" s="6"/>
      <c r="BD751" s="3"/>
      <c r="BE751" s="3"/>
      <c r="BF751" s="7">
        <v>195.72534839093245</v>
      </c>
    </row>
    <row x14ac:dyDescent="0.25" r="752" customHeight="1" ht="12.75">
      <c r="A752" s="5" t="s">
        <v>582</v>
      </c>
      <c r="B752" s="3" t="s">
        <v>855</v>
      </c>
      <c r="C752" s="3" t="s">
        <v>870</v>
      </c>
      <c r="D752" s="3"/>
      <c r="E752" s="3"/>
      <c r="F752" s="6">
        <f>100*SUM(AM752:AO752)/AL752</f>
      </c>
      <c r="G752" s="6">
        <f>100*SUM(AP752)/AL752</f>
      </c>
      <c r="H752" s="6">
        <f>100*SUM(AQ752)/AL752</f>
      </c>
      <c r="I752" s="6">
        <f>100*SUM(AR752:BC752)/AL752</f>
      </c>
      <c r="J752" s="3"/>
      <c r="K752" s="23">
        <v>1.8163</v>
      </c>
      <c r="L752" s="6">
        <v>0.5283873809392721</v>
      </c>
      <c r="M752" s="6">
        <v>2.733503826460386</v>
      </c>
      <c r="N752" s="7">
        <v>32.97737323129439</v>
      </c>
      <c r="O752" s="6">
        <v>0.9947007652920774</v>
      </c>
      <c r="P752" s="6">
        <v>1.9441936904696362</v>
      </c>
      <c r="Q752" s="7"/>
      <c r="R752" s="6"/>
      <c r="S752" s="6"/>
      <c r="T752" s="6"/>
      <c r="U752" s="5"/>
      <c r="V752" s="6"/>
      <c r="W752" s="6"/>
      <c r="X752" s="6"/>
      <c r="Y752" s="15"/>
      <c r="Z752" s="6"/>
      <c r="AA752" s="6"/>
      <c r="AB752" s="5"/>
      <c r="AC752" s="3"/>
      <c r="AD752" s="6">
        <v>0.009597099999999999</v>
      </c>
      <c r="AE752" s="6">
        <v>0.04964862999999999</v>
      </c>
      <c r="AF752" s="7">
        <v>59.896803000000006</v>
      </c>
      <c r="AG752" s="6">
        <v>0.018066750000000003</v>
      </c>
      <c r="AH752" s="7">
        <v>3.5312390000000002</v>
      </c>
      <c r="AI752" s="15">
        <v>0.07731247999999999</v>
      </c>
      <c r="AJ752" s="6">
        <v>4.256591972691735</v>
      </c>
      <c r="AK752" s="3"/>
      <c r="AL752" s="6">
        <v>238.0256482026071</v>
      </c>
      <c r="AM752" s="6">
        <v>10.017992252160985</v>
      </c>
      <c r="AN752" s="6">
        <v>59.35888297777349</v>
      </c>
      <c r="AO752" s="6">
        <v>20.178759247316155</v>
      </c>
      <c r="AP752" s="6">
        <v>69.07689517563178</v>
      </c>
      <c r="AQ752" s="6">
        <v>79.3931185497247</v>
      </c>
      <c r="AR752" s="6">
        <v>0</v>
      </c>
      <c r="AS752" s="6">
        <v>0</v>
      </c>
      <c r="AT752" s="6">
        <v>0</v>
      </c>
      <c r="AU752" s="6">
        <v>0</v>
      </c>
      <c r="AV752" s="6">
        <v>0</v>
      </c>
      <c r="AW752" s="6">
        <v>0</v>
      </c>
      <c r="AX752" s="6">
        <v>0</v>
      </c>
      <c r="AY752" s="6">
        <v>0</v>
      </c>
      <c r="AZ752" s="6">
        <v>0</v>
      </c>
      <c r="BA752" s="6">
        <v>0</v>
      </c>
      <c r="BB752" s="6">
        <v>0</v>
      </c>
      <c r="BC752" s="6"/>
      <c r="BD752" s="3"/>
      <c r="BE752" s="3"/>
      <c r="BF752" s="7">
        <v>432.32598483039527</v>
      </c>
    </row>
    <row x14ac:dyDescent="0.25" r="753" customHeight="1" ht="12.75">
      <c r="A753" s="5" t="s">
        <v>251</v>
      </c>
      <c r="B753" s="3" t="s">
        <v>855</v>
      </c>
      <c r="C753" s="3" t="s">
        <v>870</v>
      </c>
      <c r="D753" s="3"/>
      <c r="E753" s="3"/>
      <c r="F753" s="6">
        <f>100*SUM(AM753:AO753)/AL753</f>
      </c>
      <c r="G753" s="6">
        <f>100*SUM(AP753)/AL753</f>
      </c>
      <c r="H753" s="6">
        <f>100*SUM(AQ753)/AL753</f>
      </c>
      <c r="I753" s="6">
        <f>100*SUM(AR753:BC753)/AL753</f>
      </c>
      <c r="J753" s="3"/>
      <c r="K753" s="6">
        <v>85.03</v>
      </c>
      <c r="L753" s="6"/>
      <c r="M753" s="6">
        <v>1.2854263201223097</v>
      </c>
      <c r="N753" s="7">
        <v>8.57979536634129</v>
      </c>
      <c r="O753" s="6">
        <v>0.6733741032576738</v>
      </c>
      <c r="P753" s="6">
        <v>0.23294719510760908</v>
      </c>
      <c r="Q753" s="7"/>
      <c r="R753" s="6"/>
      <c r="S753" s="6"/>
      <c r="T753" s="6"/>
      <c r="U753" s="5"/>
      <c r="V753" s="6"/>
      <c r="W753" s="6"/>
      <c r="X753" s="6"/>
      <c r="Y753" s="15"/>
      <c r="Z753" s="6"/>
      <c r="AA753" s="6"/>
      <c r="AB753" s="5"/>
      <c r="AC753" s="3"/>
      <c r="AD753" s="6">
        <v>0</v>
      </c>
      <c r="AE753" s="6">
        <v>1.0929980000000001</v>
      </c>
      <c r="AF753" s="7">
        <v>729.54</v>
      </c>
      <c r="AG753" s="6">
        <v>0.57257</v>
      </c>
      <c r="AH753" s="7">
        <v>19.8075</v>
      </c>
      <c r="AI753" s="15">
        <v>1.6655680000000002</v>
      </c>
      <c r="AJ753" s="6">
        <v>1.9588004233799836</v>
      </c>
      <c r="AK753" s="3"/>
      <c r="AL753" s="6">
        <v>89.43841489812819</v>
      </c>
      <c r="AM753" s="6">
        <v>0</v>
      </c>
      <c r="AN753" s="6">
        <v>27.913431023615193</v>
      </c>
      <c r="AO753" s="6">
        <v>5.2499519556744305</v>
      </c>
      <c r="AP753" s="6">
        <v>46.76239726331883</v>
      </c>
      <c r="AQ753" s="6">
        <v>9.512634655519728</v>
      </c>
      <c r="AR753" s="6">
        <v>0</v>
      </c>
      <c r="AS753" s="6">
        <v>0</v>
      </c>
      <c r="AT753" s="6">
        <v>0</v>
      </c>
      <c r="AU753" s="6">
        <v>0</v>
      </c>
      <c r="AV753" s="6">
        <v>0</v>
      </c>
      <c r="AW753" s="6">
        <v>0</v>
      </c>
      <c r="AX753" s="6">
        <v>0</v>
      </c>
      <c r="AY753" s="6">
        <v>0</v>
      </c>
      <c r="AZ753" s="6">
        <v>0</v>
      </c>
      <c r="BA753" s="6">
        <v>0</v>
      </c>
      <c r="BB753" s="6">
        <v>0</v>
      </c>
      <c r="BC753" s="6"/>
      <c r="BD753" s="3"/>
      <c r="BE753" s="3"/>
      <c r="BF753" s="7">
        <v>7604.94841878784</v>
      </c>
    </row>
    <row x14ac:dyDescent="0.25" r="754" customHeight="1" ht="12.75">
      <c r="A754" s="5" t="s">
        <v>671</v>
      </c>
      <c r="B754" s="3" t="s">
        <v>855</v>
      </c>
      <c r="C754" s="3" t="s">
        <v>870</v>
      </c>
      <c r="D754" s="3"/>
      <c r="E754" s="3"/>
      <c r="F754" s="6">
        <f>100*SUM(AM754:AO754)/AL754</f>
      </c>
      <c r="G754" s="6">
        <f>100*SUM(AP754)/AL754</f>
      </c>
      <c r="H754" s="6">
        <f>100*SUM(AQ754)/AL754</f>
      </c>
      <c r="I754" s="6">
        <f>100*SUM(AR754:BC754)/AL754</f>
      </c>
      <c r="J754" s="3"/>
      <c r="K754" s="23">
        <v>4.867</v>
      </c>
      <c r="L754" s="6">
        <v>1.684857201561537</v>
      </c>
      <c r="M754" s="6">
        <v>0.935196219437025</v>
      </c>
      <c r="N754" s="31">
        <v>33.25518800082186</v>
      </c>
      <c r="O754" s="6">
        <v>1.208506266694062</v>
      </c>
      <c r="P754" s="6">
        <v>1.1089089788370656</v>
      </c>
      <c r="Q754" s="7"/>
      <c r="R754" s="6"/>
      <c r="S754" s="6"/>
      <c r="T754" s="6"/>
      <c r="U754" s="5"/>
      <c r="V754" s="6"/>
      <c r="W754" s="6"/>
      <c r="X754" s="6"/>
      <c r="Y754" s="15"/>
      <c r="Z754" s="6"/>
      <c r="AA754" s="6"/>
      <c r="AB754" s="5"/>
      <c r="AC754" s="3"/>
      <c r="AD754" s="6">
        <v>0.082002</v>
      </c>
      <c r="AE754" s="6">
        <v>0.04551600000000001</v>
      </c>
      <c r="AF754" s="7">
        <v>161.85299999999998</v>
      </c>
      <c r="AG754" s="6">
        <v>0.058818</v>
      </c>
      <c r="AH754" s="7">
        <v>5.397059999999998</v>
      </c>
      <c r="AI754" s="15">
        <v>0.18633600000000003</v>
      </c>
      <c r="AJ754" s="6">
        <v>3.828559687692624</v>
      </c>
      <c r="AK754" s="3"/>
      <c r="AL754" s="6">
        <v>201.80899848339328</v>
      </c>
      <c r="AM754" s="6">
        <v>31.94415120443805</v>
      </c>
      <c r="AN754" s="6">
        <v>20.308075815903024</v>
      </c>
      <c r="AO754" s="6">
        <v>20.34875330082444</v>
      </c>
      <c r="AP754" s="6">
        <v>83.92459683994247</v>
      </c>
      <c r="AQ754" s="6">
        <v>45.283421322285314</v>
      </c>
      <c r="AR754" s="6">
        <v>0</v>
      </c>
      <c r="AS754" s="6">
        <v>0</v>
      </c>
      <c r="AT754" s="6">
        <v>0</v>
      </c>
      <c r="AU754" s="6">
        <v>0</v>
      </c>
      <c r="AV754" s="6">
        <v>0</v>
      </c>
      <c r="AW754" s="6">
        <v>0</v>
      </c>
      <c r="AX754" s="6">
        <v>0</v>
      </c>
      <c r="AY754" s="6">
        <v>0</v>
      </c>
      <c r="AZ754" s="6">
        <v>0</v>
      </c>
      <c r="BA754" s="6">
        <v>0</v>
      </c>
      <c r="BB754" s="6">
        <v>0</v>
      </c>
      <c r="BC754" s="6"/>
      <c r="BD754" s="3"/>
      <c r="BE754" s="3"/>
      <c r="BF754" s="7">
        <v>982.2043956186751</v>
      </c>
    </row>
    <row x14ac:dyDescent="0.25" r="755" customHeight="1" ht="12.75">
      <c r="A755" s="5" t="s">
        <v>829</v>
      </c>
      <c r="B755" s="3" t="s">
        <v>855</v>
      </c>
      <c r="C755" s="3" t="s">
        <v>870</v>
      </c>
      <c r="D755" s="3"/>
      <c r="E755" s="3"/>
      <c r="F755" s="6">
        <f>100*SUM(AM755:AO755)/AL755</f>
      </c>
      <c r="G755" s="6">
        <f>100*SUM(AP755)/AL755</f>
      </c>
      <c r="H755" s="6">
        <f>100*SUM(AQ755)/AL755</f>
      </c>
      <c r="I755" s="6">
        <f>100*SUM(AR755:BC755)/AL755</f>
      </c>
      <c r="J755" s="3"/>
      <c r="K755" s="6">
        <v>2.875</v>
      </c>
      <c r="L755" s="6"/>
      <c r="M755" s="6">
        <v>1.3490852173913042</v>
      </c>
      <c r="N755" s="5"/>
      <c r="O755" s="6">
        <v>0.7598608695652175</v>
      </c>
      <c r="P755" s="6"/>
      <c r="Q755" s="7"/>
      <c r="R755" s="6"/>
      <c r="S755" s="6"/>
      <c r="T755" s="6"/>
      <c r="U755" s="5"/>
      <c r="V755" s="6"/>
      <c r="W755" s="6"/>
      <c r="X755" s="6"/>
      <c r="Y755" s="15"/>
      <c r="Z755" s="6"/>
      <c r="AA755" s="6"/>
      <c r="AB755" s="5"/>
      <c r="AC755" s="3"/>
      <c r="AD755" s="6">
        <v>0</v>
      </c>
      <c r="AE755" s="6">
        <v>0.03878619999999999</v>
      </c>
      <c r="AF755" s="7">
        <v>0</v>
      </c>
      <c r="AG755" s="6">
        <v>0.021846</v>
      </c>
      <c r="AH755" s="7">
        <v>0</v>
      </c>
      <c r="AI755" s="15">
        <v>0.0606322</v>
      </c>
      <c r="AJ755" s="6">
        <v>2.1089460869565215</v>
      </c>
      <c r="AK755" s="3"/>
      <c r="AL755" s="6">
        <v>82.06426581293913</v>
      </c>
      <c r="AM755" s="6">
        <v>0</v>
      </c>
      <c r="AN755" s="6">
        <v>29.29580371206956</v>
      </c>
      <c r="AO755" s="6">
        <v>0</v>
      </c>
      <c r="AP755" s="6">
        <v>52.76846210086957</v>
      </c>
      <c r="AQ755" s="6">
        <v>0</v>
      </c>
      <c r="AR755" s="6">
        <v>0</v>
      </c>
      <c r="AS755" s="6">
        <v>0</v>
      </c>
      <c r="AT755" s="6">
        <v>0</v>
      </c>
      <c r="AU755" s="6">
        <v>0</v>
      </c>
      <c r="AV755" s="6">
        <v>0</v>
      </c>
      <c r="AW755" s="6">
        <v>0</v>
      </c>
      <c r="AX755" s="6">
        <v>0</v>
      </c>
      <c r="AY755" s="6">
        <v>0</v>
      </c>
      <c r="AZ755" s="6">
        <v>0</v>
      </c>
      <c r="BA755" s="6">
        <v>0</v>
      </c>
      <c r="BB755" s="6">
        <v>0</v>
      </c>
      <c r="BC755" s="6"/>
      <c r="BD755" s="3"/>
      <c r="BE755" s="3"/>
      <c r="BF755" s="7">
        <v>235.93476421219998</v>
      </c>
    </row>
    <row x14ac:dyDescent="0.25" r="756" customHeight="1" ht="12.75">
      <c r="A756" s="5" t="s">
        <v>585</v>
      </c>
      <c r="B756" s="3" t="s">
        <v>855</v>
      </c>
      <c r="C756" s="3" t="s">
        <v>870</v>
      </c>
      <c r="D756" s="3"/>
      <c r="E756" s="3"/>
      <c r="F756" s="6">
        <f>100*SUM(AM756:AO756)/AL756</f>
      </c>
      <c r="G756" s="6">
        <f>100*SUM(AP756)/AL756</f>
      </c>
      <c r="H756" s="6">
        <f>100*SUM(AQ756)/AL756</f>
      </c>
      <c r="I756" s="6">
        <f>100*SUM(AR756:BC756)/AL756</f>
      </c>
      <c r="J756" s="3"/>
      <c r="K756" s="6">
        <v>0.475</v>
      </c>
      <c r="L756" s="6"/>
      <c r="M756" s="6">
        <v>2.8</v>
      </c>
      <c r="N756" s="5">
        <v>39</v>
      </c>
      <c r="O756" s="6">
        <v>2.2</v>
      </c>
      <c r="P756" s="6"/>
      <c r="Q756" s="7"/>
      <c r="R756" s="6"/>
      <c r="S756" s="6"/>
      <c r="T756" s="6"/>
      <c r="U756" s="5"/>
      <c r="V756" s="6"/>
      <c r="W756" s="6"/>
      <c r="X756" s="6"/>
      <c r="Y756" s="15"/>
      <c r="Z756" s="6"/>
      <c r="AA756" s="6"/>
      <c r="AB756" s="5"/>
      <c r="AC756" s="3"/>
      <c r="AD756" s="6">
        <v>0</v>
      </c>
      <c r="AE756" s="6">
        <v>0.0133</v>
      </c>
      <c r="AF756" s="7">
        <v>18.525</v>
      </c>
      <c r="AG756" s="6">
        <v>0.01045</v>
      </c>
      <c r="AH756" s="7">
        <v>0</v>
      </c>
      <c r="AI756" s="15">
        <v>0.02375</v>
      </c>
      <c r="AJ756" s="6">
        <v>5</v>
      </c>
      <c r="AK756" s="3"/>
      <c r="AL756" s="6">
        <v>237.44563513826367</v>
      </c>
      <c r="AM756" s="6">
        <v>0</v>
      </c>
      <c r="AN756" s="6">
        <v>60.80286799999999</v>
      </c>
      <c r="AO756" s="6">
        <v>23.863987138263667</v>
      </c>
      <c r="AP756" s="6">
        <v>152.77878</v>
      </c>
      <c r="AQ756" s="6">
        <v>0</v>
      </c>
      <c r="AR756" s="6">
        <v>0</v>
      </c>
      <c r="AS756" s="6">
        <v>0</v>
      </c>
      <c r="AT756" s="6">
        <v>0</v>
      </c>
      <c r="AU756" s="6">
        <v>0</v>
      </c>
      <c r="AV756" s="6">
        <v>0</v>
      </c>
      <c r="AW756" s="6">
        <v>0</v>
      </c>
      <c r="AX756" s="6">
        <v>0</v>
      </c>
      <c r="AY756" s="6">
        <v>0</v>
      </c>
      <c r="AZ756" s="6">
        <v>0</v>
      </c>
      <c r="BA756" s="6">
        <v>0</v>
      </c>
      <c r="BB756" s="6">
        <v>0</v>
      </c>
      <c r="BC756" s="6"/>
      <c r="BD756" s="3"/>
      <c r="BE756" s="3"/>
      <c r="BF756" s="7">
        <v>112.78667669067524</v>
      </c>
    </row>
    <row x14ac:dyDescent="0.25" r="757" customHeight="1" ht="12.75">
      <c r="A757" s="5" t="s">
        <v>190</v>
      </c>
      <c r="B757" s="3" t="s">
        <v>855</v>
      </c>
      <c r="C757" s="3" t="s">
        <v>870</v>
      </c>
      <c r="D757" s="3"/>
      <c r="E757" s="3"/>
      <c r="F757" s="6">
        <f>100*SUM(AM757:AO757)/AL757</f>
      </c>
      <c r="G757" s="6">
        <f>100*SUM(AP757)/AL757</f>
      </c>
      <c r="H757" s="6">
        <f>100*SUM(AQ757)/AL757</f>
      </c>
      <c r="I757" s="6">
        <f>100*SUM(AR757:BC757)/AL757</f>
      </c>
      <c r="J757" s="3"/>
      <c r="K757" s="6">
        <v>27.211</v>
      </c>
      <c r="L757" s="6">
        <v>0.7377538495461394</v>
      </c>
      <c r="M757" s="6">
        <v>4.374610267906362</v>
      </c>
      <c r="N757" s="7">
        <v>51.754000220499066</v>
      </c>
      <c r="O757" s="6">
        <v>3.2550564110102536</v>
      </c>
      <c r="P757" s="6">
        <v>0.6951692330307596</v>
      </c>
      <c r="Q757" s="7"/>
      <c r="R757" s="6"/>
      <c r="S757" s="6"/>
      <c r="T757" s="6"/>
      <c r="U757" s="5"/>
      <c r="V757" s="6"/>
      <c r="W757" s="6"/>
      <c r="X757" s="6"/>
      <c r="Y757" s="15"/>
      <c r="Z757" s="6"/>
      <c r="AA757" s="6"/>
      <c r="AB757" s="5"/>
      <c r="AC757" s="3"/>
      <c r="AD757" s="6">
        <v>0.2007502</v>
      </c>
      <c r="AE757" s="6">
        <v>1.1903752</v>
      </c>
      <c r="AF757" s="7">
        <v>1408.2781</v>
      </c>
      <c r="AG757" s="6">
        <v>0.8857334</v>
      </c>
      <c r="AH757" s="7">
        <v>18.916249999999998</v>
      </c>
      <c r="AI757" s="15">
        <v>2.2768588</v>
      </c>
      <c r="AJ757" s="6">
        <v>8.367420528462755</v>
      </c>
      <c r="AK757" s="3"/>
      <c r="AL757" s="6">
        <v>395.0866361350689</v>
      </c>
      <c r="AM757" s="6">
        <v>13.987488375701004</v>
      </c>
      <c r="AN757" s="6">
        <v>94.9960180967697</v>
      </c>
      <c r="AO757" s="6">
        <v>31.66812296450474</v>
      </c>
      <c r="AP757" s="6">
        <v>226.04706695696595</v>
      </c>
      <c r="AQ757" s="6">
        <v>28.387939741127482</v>
      </c>
      <c r="AR757" s="6">
        <v>0</v>
      </c>
      <c r="AS757" s="6">
        <v>0</v>
      </c>
      <c r="AT757" s="6">
        <v>0</v>
      </c>
      <c r="AU757" s="6">
        <v>0</v>
      </c>
      <c r="AV757" s="6">
        <v>0</v>
      </c>
      <c r="AW757" s="6">
        <v>0</v>
      </c>
      <c r="AX757" s="6">
        <v>0</v>
      </c>
      <c r="AY757" s="6">
        <v>0</v>
      </c>
      <c r="AZ757" s="6">
        <v>0</v>
      </c>
      <c r="BA757" s="6">
        <v>0</v>
      </c>
      <c r="BB757" s="6">
        <v>0</v>
      </c>
      <c r="BC757" s="6"/>
      <c r="BD757" s="3"/>
      <c r="BE757" s="3"/>
      <c r="BF757" s="7">
        <v>10750.702455871358</v>
      </c>
    </row>
    <row x14ac:dyDescent="0.25" r="758" customHeight="1" ht="12.75">
      <c r="A758" s="5" t="s">
        <v>464</v>
      </c>
      <c r="B758" s="3" t="s">
        <v>855</v>
      </c>
      <c r="C758" s="3" t="s">
        <v>870</v>
      </c>
      <c r="D758" s="3"/>
      <c r="E758" s="3"/>
      <c r="F758" s="6">
        <f>100*SUM(AM758:AO758)/AL758</f>
      </c>
      <c r="G758" s="6">
        <f>100*SUM(AP758)/AL758</f>
      </c>
      <c r="H758" s="6">
        <f>100*SUM(AQ758)/AL758</f>
      </c>
      <c r="I758" s="6">
        <f>100*SUM(AR758:BC758)/AL758</f>
      </c>
      <c r="J758" s="3"/>
      <c r="K758" s="6">
        <v>12.370000000000001</v>
      </c>
      <c r="L758" s="6"/>
      <c r="M758" s="6">
        <v>3.171397736459175</v>
      </c>
      <c r="N758" s="7">
        <v>36.16950687146322</v>
      </c>
      <c r="O758" s="6">
        <v>2.156500404203719</v>
      </c>
      <c r="P758" s="6">
        <v>0.39298221503637837</v>
      </c>
      <c r="Q758" s="7"/>
      <c r="R758" s="6"/>
      <c r="S758" s="6"/>
      <c r="T758" s="6"/>
      <c r="U758" s="5"/>
      <c r="V758" s="6"/>
      <c r="W758" s="6"/>
      <c r="X758" s="6"/>
      <c r="Y758" s="15"/>
      <c r="Z758" s="6"/>
      <c r="AA758" s="6"/>
      <c r="AB758" s="5"/>
      <c r="AC758" s="3"/>
      <c r="AD758" s="6">
        <v>0</v>
      </c>
      <c r="AE758" s="6">
        <v>0.3923019</v>
      </c>
      <c r="AF758" s="7">
        <v>447.4168000000001</v>
      </c>
      <c r="AG758" s="6">
        <v>0.2667591</v>
      </c>
      <c r="AH758" s="7">
        <v>4.861190000000001</v>
      </c>
      <c r="AI758" s="15">
        <v>0.659061</v>
      </c>
      <c r="AJ758" s="6">
        <v>5.327898140662894</v>
      </c>
      <c r="AK758" s="3"/>
      <c r="AL758" s="6">
        <v>256.805683272105</v>
      </c>
      <c r="AM758" s="6">
        <v>0</v>
      </c>
      <c r="AN758" s="6">
        <v>68.86788498050929</v>
      </c>
      <c r="AO758" s="6">
        <v>22.132016584049683</v>
      </c>
      <c r="AP758" s="6">
        <v>149.75795491988683</v>
      </c>
      <c r="AQ758" s="6">
        <v>16.047826787659183</v>
      </c>
      <c r="AR758" s="6">
        <v>0</v>
      </c>
      <c r="AS758" s="6">
        <v>0</v>
      </c>
      <c r="AT758" s="6">
        <v>0</v>
      </c>
      <c r="AU758" s="6">
        <v>0</v>
      </c>
      <c r="AV758" s="6">
        <v>0</v>
      </c>
      <c r="AW758" s="6">
        <v>0</v>
      </c>
      <c r="AX758" s="6">
        <v>0</v>
      </c>
      <c r="AY758" s="6">
        <v>0</v>
      </c>
      <c r="AZ758" s="6">
        <v>0</v>
      </c>
      <c r="BA758" s="6">
        <v>0</v>
      </c>
      <c r="BB758" s="6">
        <v>0</v>
      </c>
      <c r="BC758" s="6"/>
      <c r="BD758" s="3"/>
      <c r="BE758" s="3"/>
      <c r="BF758" s="7">
        <v>3176.6863020759392</v>
      </c>
    </row>
    <row x14ac:dyDescent="0.25" r="759" customHeight="1" ht="12.75">
      <c r="A759" s="5" t="s">
        <v>401</v>
      </c>
      <c r="B759" s="3" t="s">
        <v>855</v>
      </c>
      <c r="C759" s="3" t="s">
        <v>870</v>
      </c>
      <c r="D759" s="3"/>
      <c r="E759" s="3"/>
      <c r="F759" s="6">
        <f>100*SUM(AM759:AO759)/AL759</f>
      </c>
      <c r="G759" s="6">
        <f>100*SUM(AP759)/AL759</f>
      </c>
      <c r="H759" s="6">
        <f>100*SUM(AQ759)/AL759</f>
      </c>
      <c r="I759" s="6">
        <f>100*SUM(AR759:BC759)/AL759</f>
      </c>
      <c r="J759" s="3"/>
      <c r="K759" s="6">
        <v>11.384</v>
      </c>
      <c r="L759" s="6"/>
      <c r="M759" s="6">
        <v>4.158359978917779</v>
      </c>
      <c r="N759" s="7">
        <v>25.10629831342235</v>
      </c>
      <c r="O759" s="6">
        <v>1.7197549191848207</v>
      </c>
      <c r="P759" s="6">
        <v>1.8101133169360502</v>
      </c>
      <c r="Q759" s="7"/>
      <c r="R759" s="6"/>
      <c r="S759" s="6"/>
      <c r="T759" s="6"/>
      <c r="U759" s="5"/>
      <c r="V759" s="6"/>
      <c r="W759" s="6"/>
      <c r="X759" s="6"/>
      <c r="Y759" s="15"/>
      <c r="Z759" s="6"/>
      <c r="AA759" s="6"/>
      <c r="AB759" s="5"/>
      <c r="AC759" s="3"/>
      <c r="AD759" s="6">
        <v>0</v>
      </c>
      <c r="AE759" s="6">
        <v>0.47338769999999997</v>
      </c>
      <c r="AF759" s="7">
        <v>285.81010000000003</v>
      </c>
      <c r="AG759" s="6">
        <v>0.1957769</v>
      </c>
      <c r="AH759" s="7">
        <v>20.606329999999996</v>
      </c>
      <c r="AI759" s="15">
        <v>0.6691646</v>
      </c>
      <c r="AJ759" s="6">
        <v>5.8781148981025995</v>
      </c>
      <c r="AK759" s="3"/>
      <c r="AL759" s="6">
        <v>299.0085663957923</v>
      </c>
      <c r="AM759" s="6">
        <v>0</v>
      </c>
      <c r="AN759" s="6">
        <v>90.30007603379302</v>
      </c>
      <c r="AO759" s="6">
        <v>15.36247128310056</v>
      </c>
      <c r="AP759" s="6">
        <v>119.42820838729796</v>
      </c>
      <c r="AQ759" s="6">
        <v>73.91781069160076</v>
      </c>
      <c r="AR759" s="6">
        <v>0</v>
      </c>
      <c r="AS759" s="6">
        <v>0</v>
      </c>
      <c r="AT759" s="6">
        <v>0</v>
      </c>
      <c r="AU759" s="6">
        <v>0</v>
      </c>
      <c r="AV759" s="6">
        <v>0</v>
      </c>
      <c r="AW759" s="6">
        <v>0</v>
      </c>
      <c r="AX759" s="6">
        <v>0</v>
      </c>
      <c r="AY759" s="6">
        <v>0</v>
      </c>
      <c r="AZ759" s="6">
        <v>0</v>
      </c>
      <c r="BA759" s="6">
        <v>0</v>
      </c>
      <c r="BB759" s="6">
        <v>0</v>
      </c>
      <c r="BC759" s="6"/>
      <c r="BD759" s="3"/>
      <c r="BE759" s="3"/>
      <c r="BF759" s="7">
        <v>3403.9135198496997</v>
      </c>
    </row>
    <row x14ac:dyDescent="0.25" r="760" customHeight="1" ht="12.75">
      <c r="A760" s="5" t="s">
        <v>710</v>
      </c>
      <c r="B760" s="3" t="s">
        <v>855</v>
      </c>
      <c r="C760" s="3" t="s">
        <v>870</v>
      </c>
      <c r="D760" s="3"/>
      <c r="E760" s="3"/>
      <c r="F760" s="6">
        <f>100*SUM(AM760:AO760)/AL760</f>
      </c>
      <c r="G760" s="6">
        <f>100*SUM(AP760)/AL760</f>
      </c>
      <c r="H760" s="6">
        <f>100*SUM(AQ760)/AL760</f>
      </c>
      <c r="I760" s="6">
        <f>100*SUM(AR760:BC760)/AL760</f>
      </c>
      <c r="J760" s="3"/>
      <c r="K760" s="6">
        <v>6.882</v>
      </c>
      <c r="L760" s="6"/>
      <c r="M760" s="6">
        <v>1.8541121766928221</v>
      </c>
      <c r="N760" s="31">
        <v>10.019761697181055</v>
      </c>
      <c r="O760" s="6">
        <v>1.136617262423714</v>
      </c>
      <c r="P760" s="7">
        <v>0.20377797151990704</v>
      </c>
      <c r="Q760" s="7"/>
      <c r="R760" s="6"/>
      <c r="S760" s="6"/>
      <c r="T760" s="6"/>
      <c r="U760" s="5"/>
      <c r="V760" s="6"/>
      <c r="W760" s="6"/>
      <c r="X760" s="6"/>
      <c r="Y760" s="15"/>
      <c r="Z760" s="6"/>
      <c r="AA760" s="6"/>
      <c r="AB760" s="5"/>
      <c r="AC760" s="3"/>
      <c r="AD760" s="6">
        <v>0</v>
      </c>
      <c r="AE760" s="6">
        <v>0.12760000000000002</v>
      </c>
      <c r="AF760" s="7">
        <v>68.95600000000002</v>
      </c>
      <c r="AG760" s="6">
        <v>0.078222</v>
      </c>
      <c r="AH760" s="7">
        <v>1.4024</v>
      </c>
      <c r="AI760" s="15">
        <v>0.205822</v>
      </c>
      <c r="AJ760" s="6">
        <v>2.990729439116536</v>
      </c>
      <c r="AK760" s="3"/>
      <c r="AL760" s="6">
        <v>133.6474358712836</v>
      </c>
      <c r="AM760" s="6">
        <v>0</v>
      </c>
      <c r="AN760" s="6">
        <v>40.26262069165941</v>
      </c>
      <c r="AO760" s="6">
        <v>6.131063186410145</v>
      </c>
      <c r="AP760" s="6">
        <v>78.93227212728857</v>
      </c>
      <c r="AQ760" s="6">
        <v>8.321479865925465</v>
      </c>
      <c r="AR760" s="6">
        <v>0</v>
      </c>
      <c r="AS760" s="6">
        <v>0</v>
      </c>
      <c r="AT760" s="6">
        <v>0</v>
      </c>
      <c r="AU760" s="6">
        <v>0</v>
      </c>
      <c r="AV760" s="6">
        <v>0</v>
      </c>
      <c r="AW760" s="6">
        <v>0</v>
      </c>
      <c r="AX760" s="6">
        <v>0</v>
      </c>
      <c r="AY760" s="6">
        <v>0</v>
      </c>
      <c r="AZ760" s="6">
        <v>0</v>
      </c>
      <c r="BA760" s="6">
        <v>0</v>
      </c>
      <c r="BB760" s="6">
        <v>0</v>
      </c>
      <c r="BC760" s="6"/>
      <c r="BD760" s="3"/>
      <c r="BE760" s="3"/>
      <c r="BF760" s="7">
        <v>919.7616536661736</v>
      </c>
    </row>
    <row x14ac:dyDescent="0.25" r="761" customHeight="1" ht="12.75">
      <c r="A761" s="5" t="s">
        <v>648</v>
      </c>
      <c r="B761" s="3" t="s">
        <v>855</v>
      </c>
      <c r="C761" s="3" t="s">
        <v>870</v>
      </c>
      <c r="D761" s="3"/>
      <c r="E761" s="3"/>
      <c r="F761" s="6">
        <f>100*SUM(AM761:AO761)/AL761</f>
      </c>
      <c r="G761" s="6">
        <f>100*SUM(AP761)/AL761</f>
      </c>
      <c r="H761" s="6">
        <f>100*SUM(AQ761)/AL761</f>
      </c>
      <c r="I761" s="6">
        <f>100*SUM(AR761:BC761)/AL761</f>
      </c>
      <c r="J761" s="3"/>
      <c r="K761" s="6">
        <v>0.215</v>
      </c>
      <c r="L761" s="6">
        <v>1.5</v>
      </c>
      <c r="M761" s="6">
        <v>1.3</v>
      </c>
      <c r="N761" s="5">
        <v>23</v>
      </c>
      <c r="O761" s="6"/>
      <c r="P761" s="6">
        <v>3.5</v>
      </c>
      <c r="Q761" s="7"/>
      <c r="R761" s="6"/>
      <c r="S761" s="6"/>
      <c r="T761" s="6"/>
      <c r="U761" s="5"/>
      <c r="V761" s="6"/>
      <c r="W761" s="6"/>
      <c r="X761" s="6"/>
      <c r="Y761" s="15"/>
      <c r="Z761" s="6"/>
      <c r="AA761" s="6"/>
      <c r="AB761" s="5"/>
      <c r="AC761" s="3"/>
      <c r="AD761" s="6">
        <v>0.003225</v>
      </c>
      <c r="AE761" s="6">
        <v>0.002795</v>
      </c>
      <c r="AF761" s="7">
        <v>4.945</v>
      </c>
      <c r="AG761" s="6">
        <v>0</v>
      </c>
      <c r="AH761" s="7">
        <v>0.7525</v>
      </c>
      <c r="AI761" s="15">
        <v>0.00602</v>
      </c>
      <c r="AJ761" s="6">
        <v>2.8</v>
      </c>
      <c r="AK761" s="3"/>
      <c r="AL761" s="6">
        <v>213.66892145659165</v>
      </c>
      <c r="AM761" s="6">
        <v>28.439339999999998</v>
      </c>
      <c r="AN761" s="6">
        <v>28.229903</v>
      </c>
      <c r="AO761" s="6">
        <v>14.073633440514472</v>
      </c>
      <c r="AP761" s="6">
        <v>0</v>
      </c>
      <c r="AQ761" s="6">
        <v>142.92604501607718</v>
      </c>
      <c r="AR761" s="6">
        <v>0</v>
      </c>
      <c r="AS761" s="6">
        <v>0</v>
      </c>
      <c r="AT761" s="6">
        <v>0</v>
      </c>
      <c r="AU761" s="6">
        <v>0</v>
      </c>
      <c r="AV761" s="6">
        <v>0</v>
      </c>
      <c r="AW761" s="6">
        <v>0</v>
      </c>
      <c r="AX761" s="6">
        <v>0</v>
      </c>
      <c r="AY761" s="6">
        <v>0</v>
      </c>
      <c r="AZ761" s="6">
        <v>0</v>
      </c>
      <c r="BA761" s="6">
        <v>0</v>
      </c>
      <c r="BB761" s="6">
        <v>0</v>
      </c>
      <c r="BC761" s="6"/>
      <c r="BD761" s="3"/>
      <c r="BE761" s="3"/>
      <c r="BF761" s="7">
        <v>45.9388181131672</v>
      </c>
    </row>
    <row x14ac:dyDescent="0.25" r="762" customHeight="1" ht="12.75">
      <c r="A762" s="5" t="s">
        <v>405</v>
      </c>
      <c r="B762" s="3" t="s">
        <v>855</v>
      </c>
      <c r="C762" s="3" t="s">
        <v>870</v>
      </c>
      <c r="D762" s="3"/>
      <c r="E762" s="3"/>
      <c r="F762" s="6">
        <f>100*SUM(AM762:AO762)/AL762</f>
      </c>
      <c r="G762" s="6">
        <f>100*SUM(AP762)/AL762</f>
      </c>
      <c r="H762" s="6">
        <f>100*SUM(AQ762)/AL762</f>
      </c>
      <c r="I762" s="6">
        <f>100*SUM(AR762:BC762)/AL762</f>
      </c>
      <c r="J762" s="3"/>
      <c r="K762" s="6">
        <v>1.664</v>
      </c>
      <c r="L762" s="6"/>
      <c r="M762" s="6">
        <v>3.324236778846154</v>
      </c>
      <c r="N762" s="7">
        <v>38.83185096153846</v>
      </c>
      <c r="O762" s="6">
        <v>2.2929447115384614</v>
      </c>
      <c r="P762" s="6">
        <v>1.0545252403846155</v>
      </c>
      <c r="Q762" s="7"/>
      <c r="R762" s="6"/>
      <c r="S762" s="6"/>
      <c r="T762" s="6"/>
      <c r="U762" s="5"/>
      <c r="V762" s="6"/>
      <c r="W762" s="6"/>
      <c r="X762" s="6"/>
      <c r="Y762" s="15"/>
      <c r="Z762" s="6"/>
      <c r="AA762" s="6"/>
      <c r="AB762" s="5"/>
      <c r="AC762" s="3"/>
      <c r="AD762" s="6">
        <v>0</v>
      </c>
      <c r="AE762" s="6">
        <v>0.0553153</v>
      </c>
      <c r="AF762" s="7">
        <v>64.61619999999999</v>
      </c>
      <c r="AG762" s="6">
        <v>0.0381546</v>
      </c>
      <c r="AH762" s="7">
        <v>1.7547300000000001</v>
      </c>
      <c r="AI762" s="15">
        <v>0.0934699</v>
      </c>
      <c r="AJ762" s="6">
        <v>5.617181490384615</v>
      </c>
      <c r="AK762" s="3"/>
      <c r="AL762" s="6">
        <v>298.24385187196873</v>
      </c>
      <c r="AM762" s="6">
        <v>0</v>
      </c>
      <c r="AN762" s="6">
        <v>72.18683216604568</v>
      </c>
      <c r="AO762" s="6">
        <v>23.761097228233986</v>
      </c>
      <c r="AP762" s="6">
        <v>159.23331619831728</v>
      </c>
      <c r="AQ762" s="6">
        <v>43.06260627937176</v>
      </c>
      <c r="AR762" s="6">
        <v>0</v>
      </c>
      <c r="AS762" s="6">
        <v>0</v>
      </c>
      <c r="AT762" s="6">
        <v>0</v>
      </c>
      <c r="AU762" s="6">
        <v>0</v>
      </c>
      <c r="AV762" s="6">
        <v>0</v>
      </c>
      <c r="AW762" s="6">
        <v>0</v>
      </c>
      <c r="AX762" s="6">
        <v>0</v>
      </c>
      <c r="AY762" s="6">
        <v>0</v>
      </c>
      <c r="AZ762" s="6">
        <v>0</v>
      </c>
      <c r="BA762" s="6">
        <v>0</v>
      </c>
      <c r="BB762" s="6">
        <v>0</v>
      </c>
      <c r="BC762" s="6"/>
      <c r="BD762" s="3"/>
      <c r="BE762" s="3"/>
      <c r="BF762" s="7">
        <v>496.27776951495593</v>
      </c>
    </row>
    <row x14ac:dyDescent="0.25" r="763" customHeight="1" ht="12.75">
      <c r="A763" s="5" t="s">
        <v>611</v>
      </c>
      <c r="B763" s="3" t="s">
        <v>855</v>
      </c>
      <c r="C763" s="3" t="s">
        <v>870</v>
      </c>
      <c r="D763" s="3"/>
      <c r="E763" s="3"/>
      <c r="F763" s="6">
        <f>100*SUM(AM763:AO763)/AL763</f>
      </c>
      <c r="G763" s="6">
        <f>100*SUM(AP763)/AL763</f>
      </c>
      <c r="H763" s="6">
        <f>100*SUM(AQ763)/AL763</f>
      </c>
      <c r="I763" s="6">
        <f>100*SUM(AR763:BC763)/AL763</f>
      </c>
      <c r="J763" s="3"/>
      <c r="K763" s="6">
        <v>6.62</v>
      </c>
      <c r="L763" s="6"/>
      <c r="M763" s="6">
        <v>2.63</v>
      </c>
      <c r="N763" s="6">
        <v>25.61</v>
      </c>
      <c r="O763" s="6">
        <v>1.88</v>
      </c>
      <c r="P763" s="6">
        <v>0.66</v>
      </c>
      <c r="Q763" s="7"/>
      <c r="R763" s="6"/>
      <c r="S763" s="6"/>
      <c r="T763" s="6"/>
      <c r="U763" s="5"/>
      <c r="V763" s="6"/>
      <c r="W763" s="6"/>
      <c r="X763" s="6"/>
      <c r="Y763" s="15"/>
      <c r="Z763" s="6"/>
      <c r="AA763" s="6"/>
      <c r="AB763" s="5"/>
      <c r="AC763" s="3"/>
      <c r="AD763" s="6">
        <v>0</v>
      </c>
      <c r="AE763" s="6">
        <v>0.17410599999999998</v>
      </c>
      <c r="AF763" s="7">
        <v>169.5382</v>
      </c>
      <c r="AG763" s="6">
        <v>0.12445599999999998</v>
      </c>
      <c r="AH763" s="7">
        <v>4.3692</v>
      </c>
      <c r="AI763" s="15">
        <v>0.298562</v>
      </c>
      <c r="AJ763" s="6">
        <v>4.51</v>
      </c>
      <c r="AK763" s="3"/>
      <c r="AL763" s="6">
        <v>230.29013067620576</v>
      </c>
      <c r="AM763" s="6">
        <v>0</v>
      </c>
      <c r="AN763" s="6">
        <v>57.1112653</v>
      </c>
      <c r="AO763" s="6">
        <v>15.67068488745981</v>
      </c>
      <c r="AP763" s="6">
        <v>130.55641199999997</v>
      </c>
      <c r="AQ763" s="6">
        <v>26.951768488745984</v>
      </c>
      <c r="AR763" s="6">
        <v>0</v>
      </c>
      <c r="AS763" s="6">
        <v>0</v>
      </c>
      <c r="AT763" s="6">
        <v>0</v>
      </c>
      <c r="AU763" s="6">
        <v>0</v>
      </c>
      <c r="AV763" s="6">
        <v>0</v>
      </c>
      <c r="AW763" s="6">
        <v>0</v>
      </c>
      <c r="AX763" s="6">
        <v>0</v>
      </c>
      <c r="AY763" s="6">
        <v>0</v>
      </c>
      <c r="AZ763" s="6">
        <v>0</v>
      </c>
      <c r="BA763" s="6">
        <v>0</v>
      </c>
      <c r="BB763" s="6">
        <v>0</v>
      </c>
      <c r="BC763" s="6"/>
      <c r="BD763" s="3"/>
      <c r="BE763" s="3"/>
      <c r="BF763" s="7">
        <v>1524.5206650764821</v>
      </c>
    </row>
    <row x14ac:dyDescent="0.25" r="764" customHeight="1" ht="12.75">
      <c r="A764" s="5" t="s">
        <v>634</v>
      </c>
      <c r="B764" s="3" t="s">
        <v>855</v>
      </c>
      <c r="C764" s="3" t="s">
        <v>870</v>
      </c>
      <c r="D764" s="3"/>
      <c r="E764" s="3"/>
      <c r="F764" s="6">
        <f>100*SUM(AM764:AO764)/AL764</f>
      </c>
      <c r="G764" s="6">
        <f>100*SUM(AP764)/AL764</f>
      </c>
      <c r="H764" s="6">
        <f>100*SUM(AQ764)/AL764</f>
      </c>
      <c r="I764" s="6">
        <f>100*SUM(AR764:BC764)/AL764</f>
      </c>
      <c r="J764" s="3"/>
      <c r="K764" s="6">
        <v>14.613</v>
      </c>
      <c r="L764" s="6"/>
      <c r="M764" s="6">
        <v>1.1279319783754191</v>
      </c>
      <c r="N764" s="7">
        <v>14</v>
      </c>
      <c r="O764" s="6">
        <v>0.8276637240812975</v>
      </c>
      <c r="P764" s="6">
        <v>0.4</v>
      </c>
      <c r="Q764" s="7"/>
      <c r="R764" s="6"/>
      <c r="S764" s="6"/>
      <c r="T764" s="6"/>
      <c r="U764" s="5"/>
      <c r="V764" s="6"/>
      <c r="W764" s="6"/>
      <c r="X764" s="6"/>
      <c r="Y764" s="15"/>
      <c r="Z764" s="6"/>
      <c r="AA764" s="6"/>
      <c r="AB764" s="5"/>
      <c r="AC764" s="3"/>
      <c r="AD764" s="6">
        <v>0</v>
      </c>
      <c r="AE764" s="6">
        <v>0.1648247</v>
      </c>
      <c r="AF764" s="7">
        <v>204.582</v>
      </c>
      <c r="AG764" s="6">
        <v>0.1209465</v>
      </c>
      <c r="AH764" s="7">
        <v>5.8452</v>
      </c>
      <c r="AI764" s="15">
        <v>0.2857712</v>
      </c>
      <c r="AJ764" s="6">
        <v>1.9555957024567165</v>
      </c>
      <c r="AK764" s="3"/>
      <c r="AL764" s="6">
        <v>106.87138175201389</v>
      </c>
      <c r="AM764" s="6">
        <v>0</v>
      </c>
      <c r="AN764" s="6">
        <v>24.493392569335523</v>
      </c>
      <c r="AO764" s="6">
        <v>8.566559485530547</v>
      </c>
      <c r="AP764" s="6">
        <v>57.477024552453294</v>
      </c>
      <c r="AQ764" s="6">
        <v>16.334405144694536</v>
      </c>
      <c r="AR764" s="6">
        <v>0</v>
      </c>
      <c r="AS764" s="6">
        <v>0</v>
      </c>
      <c r="AT764" s="6">
        <v>0</v>
      </c>
      <c r="AU764" s="6">
        <v>0</v>
      </c>
      <c r="AV764" s="6">
        <v>0</v>
      </c>
      <c r="AW764" s="6">
        <v>0</v>
      </c>
      <c r="AX764" s="6">
        <v>0</v>
      </c>
      <c r="AY764" s="6">
        <v>0</v>
      </c>
      <c r="AZ764" s="6">
        <v>0</v>
      </c>
      <c r="BA764" s="6">
        <v>0</v>
      </c>
      <c r="BB764" s="6">
        <v>0</v>
      </c>
      <c r="BC764" s="6"/>
      <c r="BD764" s="3"/>
      <c r="BE764" s="3"/>
      <c r="BF764" s="7">
        <v>1561.711501542179</v>
      </c>
    </row>
    <row x14ac:dyDescent="0.25" r="765" customHeight="1" ht="12.75">
      <c r="A765" s="5" t="s">
        <v>135</v>
      </c>
      <c r="B765" s="3" t="s">
        <v>855</v>
      </c>
      <c r="C765" s="3" t="s">
        <v>870</v>
      </c>
      <c r="D765" s="3"/>
      <c r="E765" s="3"/>
      <c r="F765" s="6">
        <f>100*SUM(AM765:AO765)/AL765</f>
      </c>
      <c r="G765" s="6">
        <f>100*SUM(AP765)/AL765</f>
      </c>
      <c r="H765" s="6">
        <f>100*SUM(AQ765)/AL765</f>
      </c>
      <c r="I765" s="6">
        <f>100*SUM(AR765:BC765)/AL765</f>
      </c>
      <c r="J765" s="3"/>
      <c r="K765" s="6">
        <v>3.01</v>
      </c>
      <c r="L765" s="6">
        <v>1.3962126245847177</v>
      </c>
      <c r="M765" s="6">
        <v>2.7582392026578075</v>
      </c>
      <c r="N765" s="31">
        <v>118.08637873754154</v>
      </c>
      <c r="O765" s="7">
        <v>0.4414950166112957</v>
      </c>
      <c r="P765" s="7">
        <v>7.946843853820598</v>
      </c>
      <c r="Q765" s="7"/>
      <c r="R765" s="6"/>
      <c r="S765" s="6"/>
      <c r="T765" s="6"/>
      <c r="U765" s="5"/>
      <c r="V765" s="6"/>
      <c r="W765" s="6"/>
      <c r="X765" s="6"/>
      <c r="Y765" s="15"/>
      <c r="Z765" s="6"/>
      <c r="AA765" s="6"/>
      <c r="AB765" s="5"/>
      <c r="AC765" s="3"/>
      <c r="AD765" s="6">
        <v>0.042026</v>
      </c>
      <c r="AE765" s="6">
        <v>0.08302300000000001</v>
      </c>
      <c r="AF765" s="7">
        <v>355.44</v>
      </c>
      <c r="AG765" s="6">
        <v>0.013289</v>
      </c>
      <c r="AH765" s="7">
        <v>23.919999999999998</v>
      </c>
      <c r="AI765" s="15">
        <v>0.13833800000000002</v>
      </c>
      <c r="AJ765" s="6">
        <v>4.595946843853821</v>
      </c>
      <c r="AK765" s="3"/>
      <c r="AL765" s="6">
        <v>513.801304892768</v>
      </c>
      <c r="AM765" s="6">
        <v>26.47157702857143</v>
      </c>
      <c r="AN765" s="6">
        <v>59.89601933986711</v>
      </c>
      <c r="AO765" s="6">
        <v>72.25671342043138</v>
      </c>
      <c r="AP765" s="6">
        <v>30.659577279069765</v>
      </c>
      <c r="AQ765" s="6">
        <v>324.51741782482827</v>
      </c>
      <c r="AR765" s="6">
        <v>0</v>
      </c>
      <c r="AS765" s="6">
        <v>0</v>
      </c>
      <c r="AT765" s="6">
        <v>0</v>
      </c>
      <c r="AU765" s="6">
        <v>0</v>
      </c>
      <c r="AV765" s="6">
        <v>0</v>
      </c>
      <c r="AW765" s="6">
        <v>0</v>
      </c>
      <c r="AX765" s="6">
        <v>0</v>
      </c>
      <c r="AY765" s="6">
        <v>0</v>
      </c>
      <c r="AZ765" s="6">
        <v>0</v>
      </c>
      <c r="BA765" s="6">
        <v>0</v>
      </c>
      <c r="BB765" s="6">
        <v>0</v>
      </c>
      <c r="BC765" s="6"/>
      <c r="BD765" s="3"/>
      <c r="BE765" s="3"/>
      <c r="BF765" s="7">
        <v>1546.5419277272317</v>
      </c>
    </row>
    <row x14ac:dyDescent="0.25" r="766" customHeight="1" ht="12.75">
      <c r="A766" s="5" t="s">
        <v>369</v>
      </c>
      <c r="B766" s="3" t="s">
        <v>855</v>
      </c>
      <c r="C766" s="3" t="s">
        <v>870</v>
      </c>
      <c r="D766" s="3"/>
      <c r="E766" s="3"/>
      <c r="F766" s="6">
        <f>100*SUM(AM766:AO766)/AL766</f>
      </c>
      <c r="G766" s="6">
        <f>100*SUM(AP766)/AL766</f>
      </c>
      <c r="H766" s="6">
        <f>100*SUM(AQ766)/AL766</f>
      </c>
      <c r="I766" s="6">
        <f>100*SUM(AR766:BC766)/AL766</f>
      </c>
      <c r="J766" s="3"/>
      <c r="K766" s="6">
        <v>1.7</v>
      </c>
      <c r="L766" s="6"/>
      <c r="M766" s="7">
        <v>4.38235294117647</v>
      </c>
      <c r="N766" s="5"/>
      <c r="O766" s="6">
        <v>3.1611764705882353</v>
      </c>
      <c r="P766" s="6"/>
      <c r="Q766" s="7"/>
      <c r="R766" s="6"/>
      <c r="S766" s="6"/>
      <c r="T766" s="6"/>
      <c r="U766" s="5"/>
      <c r="V766" s="6"/>
      <c r="W766" s="6"/>
      <c r="X766" s="6"/>
      <c r="Y766" s="15"/>
      <c r="Z766" s="6"/>
      <c r="AA766" s="6"/>
      <c r="AB766" s="5"/>
      <c r="AC766" s="3"/>
      <c r="AD766" s="6">
        <v>0</v>
      </c>
      <c r="AE766" s="6">
        <v>0.0745</v>
      </c>
      <c r="AF766" s="7">
        <v>0</v>
      </c>
      <c r="AG766" s="6">
        <v>0.053739999999999996</v>
      </c>
      <c r="AH766" s="7">
        <v>0</v>
      </c>
      <c r="AI766" s="15">
        <v>0.12824</v>
      </c>
      <c r="AJ766" s="6">
        <v>7.543529411764705</v>
      </c>
      <c r="AK766" s="3"/>
      <c r="AL766" s="6">
        <v>314.69173652941174</v>
      </c>
      <c r="AM766" s="6">
        <v>0</v>
      </c>
      <c r="AN766" s="6">
        <v>95.1641526470588</v>
      </c>
      <c r="AO766" s="6">
        <v>0</v>
      </c>
      <c r="AP766" s="6">
        <v>219.52758388235293</v>
      </c>
      <c r="AQ766" s="6">
        <v>0</v>
      </c>
      <c r="AR766" s="6">
        <v>0</v>
      </c>
      <c r="AS766" s="6">
        <v>0</v>
      </c>
      <c r="AT766" s="6">
        <v>0</v>
      </c>
      <c r="AU766" s="6">
        <v>0</v>
      </c>
      <c r="AV766" s="6">
        <v>0</v>
      </c>
      <c r="AW766" s="6">
        <v>0</v>
      </c>
      <c r="AX766" s="6">
        <v>0</v>
      </c>
      <c r="AY766" s="6">
        <v>0</v>
      </c>
      <c r="AZ766" s="6">
        <v>0</v>
      </c>
      <c r="BA766" s="6">
        <v>0</v>
      </c>
      <c r="BB766" s="6">
        <v>0</v>
      </c>
      <c r="BC766" s="6"/>
      <c r="BD766" s="3"/>
      <c r="BE766" s="3"/>
      <c r="BF766" s="7">
        <v>534.9759521</v>
      </c>
    </row>
    <row x14ac:dyDescent="0.25" r="767" customHeight="1" ht="12.75">
      <c r="A767" s="5" t="s">
        <v>260</v>
      </c>
      <c r="B767" s="3" t="s">
        <v>855</v>
      </c>
      <c r="C767" s="3" t="s">
        <v>870</v>
      </c>
      <c r="D767" s="3"/>
      <c r="E767" s="3"/>
      <c r="F767" s="6">
        <f>100*SUM(AM767:AO767)/AL767</f>
      </c>
      <c r="G767" s="6">
        <f>100*SUM(AP767)/AL767</f>
      </c>
      <c r="H767" s="6">
        <f>100*SUM(AQ767)/AL767</f>
      </c>
      <c r="I767" s="6">
        <f>100*SUM(AR767:BC767)/AL767</f>
      </c>
      <c r="J767" s="3"/>
      <c r="K767" s="6">
        <v>41.4</v>
      </c>
      <c r="L767" s="6">
        <v>0.5734299516908212</v>
      </c>
      <c r="M767" s="6">
        <v>1.3178743961352657</v>
      </c>
      <c r="N767" s="7">
        <v>23.52657004830918</v>
      </c>
      <c r="O767" s="7">
        <v>0.7739130434782608</v>
      </c>
      <c r="P767" s="7">
        <v>1.8381642512077294</v>
      </c>
      <c r="Q767" s="7"/>
      <c r="R767" s="6"/>
      <c r="S767" s="6"/>
      <c r="T767" s="6"/>
      <c r="U767" s="5"/>
      <c r="V767" s="6"/>
      <c r="W767" s="6"/>
      <c r="X767" s="6"/>
      <c r="Y767" s="15"/>
      <c r="Z767" s="6"/>
      <c r="AA767" s="6"/>
      <c r="AB767" s="5"/>
      <c r="AC767" s="3"/>
      <c r="AD767" s="6">
        <v>0.23739999999999997</v>
      </c>
      <c r="AE767" s="6">
        <v>0.5456</v>
      </c>
      <c r="AF767" s="7">
        <v>974</v>
      </c>
      <c r="AG767" s="6">
        <v>0.3204</v>
      </c>
      <c r="AH767" s="7">
        <v>76.1</v>
      </c>
      <c r="AI767" s="15">
        <v>1.1034</v>
      </c>
      <c r="AJ767" s="6">
        <v>2.6652173913043478</v>
      </c>
      <c r="AK767" s="3"/>
      <c r="AL767" s="6">
        <v>182.6934836746043</v>
      </c>
      <c r="AM767" s="6">
        <v>10.871979574879227</v>
      </c>
      <c r="AN767" s="6">
        <v>28.618051053140096</v>
      </c>
      <c r="AO767" s="6">
        <v>14.395840129238707</v>
      </c>
      <c r="AP767" s="6">
        <v>53.74431391304348</v>
      </c>
      <c r="AQ767" s="6">
        <v>75.06329900430278</v>
      </c>
      <c r="AR767" s="6">
        <v>0</v>
      </c>
      <c r="AS767" s="6">
        <v>0</v>
      </c>
      <c r="AT767" s="6">
        <v>0</v>
      </c>
      <c r="AU767" s="6">
        <v>0</v>
      </c>
      <c r="AV767" s="6">
        <v>0</v>
      </c>
      <c r="AW767" s="6">
        <v>0</v>
      </c>
      <c r="AX767" s="6">
        <v>0</v>
      </c>
      <c r="AY767" s="6">
        <v>0</v>
      </c>
      <c r="AZ767" s="6">
        <v>0</v>
      </c>
      <c r="BA767" s="6">
        <v>0</v>
      </c>
      <c r="BB767" s="6">
        <v>0</v>
      </c>
      <c r="BC767" s="6"/>
      <c r="BD767" s="3"/>
      <c r="BE767" s="3"/>
      <c r="BF767" s="7">
        <v>7563.510224128618</v>
      </c>
    </row>
    <row x14ac:dyDescent="0.25" r="768" customHeight="1" ht="12.75">
      <c r="A768" s="5" t="s">
        <v>843</v>
      </c>
      <c r="B768" s="3" t="s">
        <v>855</v>
      </c>
      <c r="C768" s="3" t="s">
        <v>870</v>
      </c>
      <c r="D768" s="3"/>
      <c r="E768" s="3"/>
      <c r="F768" s="6">
        <f>100*SUM(AM768:AO768)/AL768</f>
      </c>
      <c r="G768" s="6">
        <f>100*SUM(AP768)/AL768</f>
      </c>
      <c r="H768" s="6">
        <f>100*SUM(AQ768)/AL768</f>
      </c>
      <c r="I768" s="6">
        <f>100*SUM(AR768:BC768)/AL768</f>
      </c>
      <c r="J768" s="3"/>
      <c r="K768" s="6">
        <v>1.22</v>
      </c>
      <c r="L768" s="6">
        <v>0.4</v>
      </c>
      <c r="M768" s="6">
        <v>0.7</v>
      </c>
      <c r="N768" s="6">
        <v>8.1</v>
      </c>
      <c r="O768" s="6">
        <v>0.5</v>
      </c>
      <c r="P768" s="6">
        <v>0.8</v>
      </c>
      <c r="Q768" s="7"/>
      <c r="R768" s="6"/>
      <c r="S768" s="6"/>
      <c r="T768" s="6"/>
      <c r="U768" s="5"/>
      <c r="V768" s="6"/>
      <c r="W768" s="6"/>
      <c r="X768" s="6"/>
      <c r="Y768" s="15"/>
      <c r="Z768" s="6"/>
      <c r="AA768" s="6"/>
      <c r="AB768" s="5"/>
      <c r="AC768" s="3"/>
      <c r="AD768" s="6">
        <v>0.00488</v>
      </c>
      <c r="AE768" s="6">
        <v>0.008539999999999999</v>
      </c>
      <c r="AF768" s="7">
        <v>9.882</v>
      </c>
      <c r="AG768" s="6">
        <v>0.0060999999999999995</v>
      </c>
      <c r="AH768" s="7">
        <v>0.976</v>
      </c>
      <c r="AI768" s="15">
        <v>0.019519999999999996</v>
      </c>
      <c r="AJ768" s="6">
        <v>1.6</v>
      </c>
      <c r="AK768" s="3"/>
      <c r="AL768" s="6">
        <v>95.1321678488746</v>
      </c>
      <c r="AM768" s="6">
        <v>7.583824</v>
      </c>
      <c r="AN768" s="6">
        <v>15.200716999999997</v>
      </c>
      <c r="AO768" s="6">
        <v>4.956366559485532</v>
      </c>
      <c r="AP768" s="6">
        <v>34.72245</v>
      </c>
      <c r="AQ768" s="6">
        <v>32.66881028938907</v>
      </c>
      <c r="AR768" s="6">
        <v>0</v>
      </c>
      <c r="AS768" s="6">
        <v>0</v>
      </c>
      <c r="AT768" s="6">
        <v>0</v>
      </c>
      <c r="AU768" s="6">
        <v>0</v>
      </c>
      <c r="AV768" s="6">
        <v>0</v>
      </c>
      <c r="AW768" s="6">
        <v>0</v>
      </c>
      <c r="AX768" s="6">
        <v>0</v>
      </c>
      <c r="AY768" s="6">
        <v>0</v>
      </c>
      <c r="AZ768" s="6">
        <v>0</v>
      </c>
      <c r="BA768" s="6">
        <v>0</v>
      </c>
      <c r="BB768" s="6">
        <v>0</v>
      </c>
      <c r="BC768" s="6"/>
      <c r="BD768" s="3"/>
      <c r="BE768" s="3"/>
      <c r="BF768" s="7">
        <v>116.06124477562702</v>
      </c>
    </row>
    <row x14ac:dyDescent="0.25" r="769" customHeight="1" ht="12.75">
      <c r="A769" s="5" t="s">
        <v>825</v>
      </c>
      <c r="B769" s="3" t="s">
        <v>855</v>
      </c>
      <c r="C769" s="3" t="s">
        <v>870</v>
      </c>
      <c r="D769" s="3"/>
      <c r="E769" s="3"/>
      <c r="F769" s="6">
        <f>100*SUM(AM769:AO769)/AL769</f>
      </c>
      <c r="G769" s="6">
        <f>100*SUM(AP769)/AL769</f>
      </c>
      <c r="H769" s="6">
        <f>100*SUM(AQ769)/AL769</f>
      </c>
      <c r="I769" s="6">
        <f>100*SUM(AR769:BC769)/AL769</f>
      </c>
      <c r="J769" s="3"/>
      <c r="K769" s="6">
        <v>1.48</v>
      </c>
      <c r="L769" s="6"/>
      <c r="M769" s="6">
        <v>1.39</v>
      </c>
      <c r="N769" s="6">
        <v>3.31</v>
      </c>
      <c r="O769" s="6">
        <v>1.02</v>
      </c>
      <c r="P769" s="6">
        <v>0.24</v>
      </c>
      <c r="Q769" s="7"/>
      <c r="R769" s="6"/>
      <c r="S769" s="6"/>
      <c r="T769" s="6"/>
      <c r="U769" s="5"/>
      <c r="V769" s="6"/>
      <c r="W769" s="6"/>
      <c r="X769" s="6"/>
      <c r="Y769" s="15"/>
      <c r="Z769" s="6"/>
      <c r="AA769" s="6"/>
      <c r="AB769" s="5"/>
      <c r="AC769" s="3"/>
      <c r="AD769" s="6">
        <v>0</v>
      </c>
      <c r="AE769" s="6">
        <v>0.020572</v>
      </c>
      <c r="AF769" s="7">
        <v>4.8988</v>
      </c>
      <c r="AG769" s="6">
        <v>0.015096</v>
      </c>
      <c r="AH769" s="7">
        <v>0.35519999999999996</v>
      </c>
      <c r="AI769" s="15">
        <v>0.035668</v>
      </c>
      <c r="AJ769" s="6">
        <v>2.41</v>
      </c>
      <c r="AK769" s="3"/>
      <c r="AL769" s="6">
        <v>112.84410140803858</v>
      </c>
      <c r="AM769" s="6">
        <v>0</v>
      </c>
      <c r="AN769" s="6">
        <v>30.184280899999997</v>
      </c>
      <c r="AO769" s="6">
        <v>2.0253794212218654</v>
      </c>
      <c r="AP769" s="6">
        <v>70.833798</v>
      </c>
      <c r="AQ769" s="6">
        <v>9.80064308681672</v>
      </c>
      <c r="AR769" s="6">
        <v>0</v>
      </c>
      <c r="AS769" s="6">
        <v>0</v>
      </c>
      <c r="AT769" s="6">
        <v>0</v>
      </c>
      <c r="AU769" s="6">
        <v>0</v>
      </c>
      <c r="AV769" s="6">
        <v>0</v>
      </c>
      <c r="AW769" s="6">
        <v>0</v>
      </c>
      <c r="AX769" s="6">
        <v>0</v>
      </c>
      <c r="AY769" s="6">
        <v>0</v>
      </c>
      <c r="AZ769" s="6">
        <v>0</v>
      </c>
      <c r="BA769" s="6">
        <v>0</v>
      </c>
      <c r="BB769" s="6">
        <v>0</v>
      </c>
      <c r="BC769" s="6"/>
      <c r="BD769" s="3"/>
      <c r="BE769" s="3"/>
      <c r="BF769" s="7">
        <v>167.0092700838971</v>
      </c>
    </row>
    <row x14ac:dyDescent="0.25" r="770" customHeight="1" ht="12.75">
      <c r="A770" s="5" t="s">
        <v>628</v>
      </c>
      <c r="B770" s="3" t="s">
        <v>855</v>
      </c>
      <c r="C770" s="3" t="s">
        <v>870</v>
      </c>
      <c r="D770" s="3"/>
      <c r="E770" s="3"/>
      <c r="F770" s="6">
        <f>100*SUM(AM770:AO770)/AL770</f>
      </c>
      <c r="G770" s="6">
        <f>100*SUM(AP770)/AL770</f>
      </c>
      <c r="H770" s="6">
        <f>100*SUM(AQ770)/AL770</f>
      </c>
      <c r="I770" s="6">
        <f>100*SUM(AR770:BC770)/AL770</f>
      </c>
      <c r="J770" s="3"/>
      <c r="K770" s="6">
        <v>9.030999999999999</v>
      </c>
      <c r="L770" s="6"/>
      <c r="M770" s="6">
        <v>1.5637825268519545</v>
      </c>
      <c r="N770" s="7">
        <v>25.981368619200534</v>
      </c>
      <c r="O770" s="6">
        <v>0.8979293544457979</v>
      </c>
      <c r="P770" s="6">
        <v>1.5909013398294762</v>
      </c>
      <c r="Q770" s="7"/>
      <c r="R770" s="6"/>
      <c r="S770" s="6"/>
      <c r="T770" s="6"/>
      <c r="U770" s="5"/>
      <c r="V770" s="6"/>
      <c r="W770" s="6"/>
      <c r="X770" s="6"/>
      <c r="Y770" s="15"/>
      <c r="Z770" s="6"/>
      <c r="AA770" s="6"/>
      <c r="AB770" s="5"/>
      <c r="AC770" s="3"/>
      <c r="AD770" s="6">
        <v>0</v>
      </c>
      <c r="AE770" s="6">
        <v>0.1412252</v>
      </c>
      <c r="AF770" s="7">
        <v>234.63773999999998</v>
      </c>
      <c r="AG770" s="6">
        <v>0.081092</v>
      </c>
      <c r="AH770" s="7">
        <v>14.367429999999999</v>
      </c>
      <c r="AI770" s="15">
        <v>0.2223172</v>
      </c>
      <c r="AJ770" s="6">
        <v>2.4617118812977523</v>
      </c>
      <c r="AK770" s="3"/>
      <c r="AL770" s="6">
        <v>177.178628415605</v>
      </c>
      <c r="AM770" s="6">
        <v>0</v>
      </c>
      <c r="AN770" s="6">
        <v>33.95802234317351</v>
      </c>
      <c r="AO770" s="6">
        <v>15.897924270848431</v>
      </c>
      <c r="AP770" s="6">
        <v>62.35661422655299</v>
      </c>
      <c r="AQ770" s="6">
        <v>64.96606757503007</v>
      </c>
      <c r="AR770" s="6">
        <v>0</v>
      </c>
      <c r="AS770" s="6">
        <v>0</v>
      </c>
      <c r="AT770" s="6">
        <v>0</v>
      </c>
      <c r="AU770" s="6">
        <v>0</v>
      </c>
      <c r="AV770" s="6">
        <v>0</v>
      </c>
      <c r="AW770" s="6">
        <v>0</v>
      </c>
      <c r="AX770" s="6">
        <v>0</v>
      </c>
      <c r="AY770" s="6">
        <v>0</v>
      </c>
      <c r="AZ770" s="6">
        <v>0</v>
      </c>
      <c r="BA770" s="6">
        <v>0</v>
      </c>
      <c r="BB770" s="6">
        <v>0</v>
      </c>
      <c r="BC770" s="6"/>
      <c r="BD770" s="3"/>
      <c r="BE770" s="3"/>
      <c r="BF770" s="7">
        <v>1600.1001932213285</v>
      </c>
    </row>
    <row x14ac:dyDescent="0.25" r="771" customHeight="1" ht="12.75">
      <c r="A771" s="5" t="s">
        <v>592</v>
      </c>
      <c r="B771" s="3" t="s">
        <v>855</v>
      </c>
      <c r="C771" s="3" t="s">
        <v>870</v>
      </c>
      <c r="D771" s="3"/>
      <c r="E771" s="3"/>
      <c r="F771" s="6">
        <f>100*SUM(AM771:AO771)/AL771</f>
      </c>
      <c r="G771" s="6">
        <f>100*SUM(AP771)/AL771</f>
      </c>
      <c r="H771" s="6">
        <f>100*SUM(AQ771)/AL771</f>
      </c>
      <c r="I771" s="6">
        <f>100*SUM(AR771:BC771)/AL771</f>
      </c>
      <c r="J771" s="3"/>
      <c r="K771" s="23">
        <v>22.4128</v>
      </c>
      <c r="L771" s="6"/>
      <c r="M771" s="6">
        <v>0.951100085665334</v>
      </c>
      <c r="N771" s="6">
        <v>6.246560893774985</v>
      </c>
      <c r="O771" s="6">
        <v>0.7297026699029127</v>
      </c>
      <c r="P771" s="6">
        <v>0.306313178183895</v>
      </c>
      <c r="Q771" s="7"/>
      <c r="R771" s="6"/>
      <c r="S771" s="6"/>
      <c r="T771" s="6"/>
      <c r="U771" s="5"/>
      <c r="V771" s="6"/>
      <c r="W771" s="6"/>
      <c r="X771" s="6"/>
      <c r="Y771" s="15"/>
      <c r="Z771" s="6"/>
      <c r="AA771" s="6"/>
      <c r="AB771" s="5"/>
      <c r="AC771" s="3"/>
      <c r="AD771" s="6">
        <v>0</v>
      </c>
      <c r="AE771" s="6">
        <v>0.21316816</v>
      </c>
      <c r="AF771" s="7">
        <v>140.00292</v>
      </c>
      <c r="AG771" s="6">
        <v>0.16354680000000002</v>
      </c>
      <c r="AH771" s="7">
        <v>6.865336000000002</v>
      </c>
      <c r="AI771" s="15">
        <v>0.37671496000000004</v>
      </c>
      <c r="AJ771" s="6">
        <v>1.6808027555682465</v>
      </c>
      <c r="AK771" s="3"/>
      <c r="AL771" s="6">
        <v>87.65842356046353</v>
      </c>
      <c r="AM771" s="6">
        <v>0</v>
      </c>
      <c r="AN771" s="6">
        <v>20.653433201249285</v>
      </c>
      <c r="AO771" s="6">
        <v>3.822252534036591</v>
      </c>
      <c r="AP771" s="6">
        <v>50.67412894114078</v>
      </c>
      <c r="AQ771" s="6">
        <v>12.50860888403687</v>
      </c>
      <c r="AR771" s="6">
        <v>0</v>
      </c>
      <c r="AS771" s="6">
        <v>0</v>
      </c>
      <c r="AT771" s="6">
        <v>0</v>
      </c>
      <c r="AU771" s="6">
        <v>0</v>
      </c>
      <c r="AV771" s="6">
        <v>0</v>
      </c>
      <c r="AW771" s="6">
        <v>0</v>
      </c>
      <c r="AX771" s="6">
        <v>0</v>
      </c>
      <c r="AY771" s="6">
        <v>0</v>
      </c>
      <c r="AZ771" s="6">
        <v>0</v>
      </c>
      <c r="BA771" s="6">
        <v>0</v>
      </c>
      <c r="BB771" s="6">
        <v>0</v>
      </c>
      <c r="BC771" s="6"/>
      <c r="BD771" s="3"/>
      <c r="BE771" s="3"/>
      <c r="BF771" s="7">
        <v>1964.670715575957</v>
      </c>
    </row>
    <row x14ac:dyDescent="0.25" r="772" customHeight="1" ht="12.75">
      <c r="A772" s="5" t="s">
        <v>728</v>
      </c>
      <c r="B772" s="3" t="s">
        <v>855</v>
      </c>
      <c r="C772" s="3" t="s">
        <v>870</v>
      </c>
      <c r="D772" s="3"/>
      <c r="E772" s="3"/>
      <c r="F772" s="6">
        <f>100*SUM(AM772:AO772)/AL772</f>
      </c>
      <c r="G772" s="6">
        <f>100*SUM(AP772)/AL772</f>
      </c>
      <c r="H772" s="6">
        <f>100*SUM(AQ772)/AL772</f>
      </c>
      <c r="I772" s="6">
        <f>100*SUM(AR772:BC772)/AL772</f>
      </c>
      <c r="J772" s="3"/>
      <c r="K772" s="6">
        <v>1.75</v>
      </c>
      <c r="L772" s="6"/>
      <c r="M772" s="6">
        <v>2.05</v>
      </c>
      <c r="N772" s="6">
        <v>8.5</v>
      </c>
      <c r="O772" s="6">
        <v>1.71</v>
      </c>
      <c r="P772" s="6">
        <v>0.24</v>
      </c>
      <c r="Q772" s="7"/>
      <c r="R772" s="6"/>
      <c r="S772" s="6"/>
      <c r="T772" s="6"/>
      <c r="U772" s="5"/>
      <c r="V772" s="6"/>
      <c r="W772" s="6"/>
      <c r="X772" s="6"/>
      <c r="Y772" s="15"/>
      <c r="Z772" s="6"/>
      <c r="AA772" s="6"/>
      <c r="AB772" s="5"/>
      <c r="AC772" s="3"/>
      <c r="AD772" s="6">
        <v>0</v>
      </c>
      <c r="AE772" s="6">
        <v>0.035875</v>
      </c>
      <c r="AF772" s="7">
        <v>14.875</v>
      </c>
      <c r="AG772" s="6">
        <v>0.029924999999999997</v>
      </c>
      <c r="AH772" s="7">
        <v>0.42</v>
      </c>
      <c r="AI772" s="15">
        <v>0.0658</v>
      </c>
      <c r="AJ772" s="6">
        <v>3.76</v>
      </c>
      <c r="AK772" s="3"/>
      <c r="AL772" s="6">
        <v>178.26893298874597</v>
      </c>
      <c r="AM772" s="6">
        <v>0</v>
      </c>
      <c r="AN772" s="6">
        <v>44.51638549999999</v>
      </c>
      <c r="AO772" s="6">
        <v>5.201125401929261</v>
      </c>
      <c r="AP772" s="6">
        <v>118.750779</v>
      </c>
      <c r="AQ772" s="6">
        <v>9.80064308681672</v>
      </c>
      <c r="AR772" s="6">
        <v>0</v>
      </c>
      <c r="AS772" s="6">
        <v>0</v>
      </c>
      <c r="AT772" s="6">
        <v>0</v>
      </c>
      <c r="AU772" s="6">
        <v>0</v>
      </c>
      <c r="AV772" s="6">
        <v>0</v>
      </c>
      <c r="AW772" s="6">
        <v>0</v>
      </c>
      <c r="AX772" s="6">
        <v>0</v>
      </c>
      <c r="AY772" s="6">
        <v>0</v>
      </c>
      <c r="AZ772" s="6">
        <v>0</v>
      </c>
      <c r="BA772" s="6">
        <v>0</v>
      </c>
      <c r="BB772" s="6">
        <v>0</v>
      </c>
      <c r="BC772" s="6"/>
      <c r="BD772" s="3"/>
      <c r="BE772" s="3"/>
      <c r="BF772" s="7">
        <v>311.97063273030545</v>
      </c>
    </row>
    <row x14ac:dyDescent="0.25" r="773" customHeight="1" ht="12.75">
      <c r="A773" s="5" t="s">
        <v>322</v>
      </c>
      <c r="B773" s="3" t="s">
        <v>855</v>
      </c>
      <c r="C773" s="3" t="s">
        <v>870</v>
      </c>
      <c r="D773" s="3"/>
      <c r="E773" s="3"/>
      <c r="F773" s="6">
        <f>100*SUM(AM773:AO773)/AL773</f>
      </c>
      <c r="G773" s="6">
        <f>100*SUM(AP773)/AL773</f>
      </c>
      <c r="H773" s="6">
        <f>100*SUM(AQ773)/AL773</f>
      </c>
      <c r="I773" s="6">
        <f>100*SUM(AR773:BC773)/AL773</f>
      </c>
      <c r="J773" s="3"/>
      <c r="K773" s="6">
        <v>9.962</v>
      </c>
      <c r="L773" s="6">
        <v>0.23323830556113234</v>
      </c>
      <c r="M773" s="6">
        <v>2.7209777153182095</v>
      </c>
      <c r="N773" s="7">
        <v>50.78701465569163</v>
      </c>
      <c r="O773" s="6">
        <v>2.029945794017266</v>
      </c>
      <c r="P773" s="6">
        <v>2.6159064444890587</v>
      </c>
      <c r="Q773" s="7"/>
      <c r="R773" s="6"/>
      <c r="S773" s="6"/>
      <c r="T773" s="6"/>
      <c r="U773" s="5"/>
      <c r="V773" s="6"/>
      <c r="W773" s="6"/>
      <c r="X773" s="6"/>
      <c r="Y773" s="15"/>
      <c r="Z773" s="6"/>
      <c r="AA773" s="6"/>
      <c r="AB773" s="5"/>
      <c r="AC773" s="3"/>
      <c r="AD773" s="6">
        <v>0.0232352</v>
      </c>
      <c r="AE773" s="6">
        <v>0.2710638</v>
      </c>
      <c r="AF773" s="7">
        <v>505.94023999999996</v>
      </c>
      <c r="AG773" s="6">
        <v>0.20222320000000005</v>
      </c>
      <c r="AH773" s="7">
        <v>26.05966</v>
      </c>
      <c r="AI773" s="15">
        <v>0.4965222000000001</v>
      </c>
      <c r="AJ773" s="6">
        <v>4.984161814896607</v>
      </c>
      <c r="AK773" s="3"/>
      <c r="AL773" s="6">
        <v>342.3779694187647</v>
      </c>
      <c r="AM773" s="6">
        <v>4.422095648584622</v>
      </c>
      <c r="AN773" s="6">
        <v>59.08687459122667</v>
      </c>
      <c r="AO773" s="6">
        <v>31.076427295749575</v>
      </c>
      <c r="AP773" s="6">
        <v>140.9693826709496</v>
      </c>
      <c r="AQ773" s="6">
        <v>106.82318921225418</v>
      </c>
      <c r="AR773" s="6">
        <v>0</v>
      </c>
      <c r="AS773" s="6">
        <v>0</v>
      </c>
      <c r="AT773" s="6">
        <v>0</v>
      </c>
      <c r="AU773" s="6">
        <v>0</v>
      </c>
      <c r="AV773" s="6">
        <v>0</v>
      </c>
      <c r="AW773" s="6">
        <v>0</v>
      </c>
      <c r="AX773" s="6">
        <v>0</v>
      </c>
      <c r="AY773" s="6">
        <v>0</v>
      </c>
      <c r="AZ773" s="6">
        <v>0</v>
      </c>
      <c r="BA773" s="6">
        <v>0</v>
      </c>
      <c r="BB773" s="6">
        <v>0</v>
      </c>
      <c r="BC773" s="6"/>
      <c r="BD773" s="3"/>
      <c r="BE773" s="3"/>
      <c r="BF773" s="7">
        <v>3410.7693313497334</v>
      </c>
    </row>
    <row x14ac:dyDescent="0.25" r="774" customHeight="1" ht="12.75">
      <c r="A774" s="5" t="s">
        <v>545</v>
      </c>
      <c r="B774" s="3" t="s">
        <v>855</v>
      </c>
      <c r="C774" s="3" t="s">
        <v>870</v>
      </c>
      <c r="D774" s="3"/>
      <c r="E774" s="3"/>
      <c r="F774" s="6">
        <f>100*SUM(AM774:AO774)/AL774</f>
      </c>
      <c r="G774" s="6">
        <f>100*SUM(AP774)/AL774</f>
      </c>
      <c r="H774" s="6">
        <f>100*SUM(AQ774)/AL774</f>
      </c>
      <c r="I774" s="6">
        <f>100*SUM(AR774:BC774)/AL774</f>
      </c>
      <c r="J774" s="3"/>
      <c r="K774" s="23">
        <v>22.263781</v>
      </c>
      <c r="L774" s="6"/>
      <c r="M774" s="6">
        <v>1.33</v>
      </c>
      <c r="N774" s="5"/>
      <c r="O774" s="6">
        <v>1.1</v>
      </c>
      <c r="P774" s="6"/>
      <c r="Q774" s="7"/>
      <c r="R774" s="6"/>
      <c r="S774" s="6"/>
      <c r="T774" s="6"/>
      <c r="U774" s="5"/>
      <c r="V774" s="6"/>
      <c r="W774" s="6"/>
      <c r="X774" s="6"/>
      <c r="Y774" s="15"/>
      <c r="Z774" s="6"/>
      <c r="AA774" s="6"/>
      <c r="AB774" s="5"/>
      <c r="AC774" s="3"/>
      <c r="AD774" s="6">
        <v>0</v>
      </c>
      <c r="AE774" s="6">
        <v>0.29610828730000005</v>
      </c>
      <c r="AF774" s="7">
        <v>0</v>
      </c>
      <c r="AG774" s="6">
        <v>0.24490159100000003</v>
      </c>
      <c r="AH774" s="7">
        <v>0</v>
      </c>
      <c r="AI774" s="15">
        <v>0.5410098783000001</v>
      </c>
      <c r="AJ774" s="6">
        <v>2.43</v>
      </c>
      <c r="AK774" s="3"/>
      <c r="AL774" s="6">
        <v>105.27075230000001</v>
      </c>
      <c r="AM774" s="6">
        <v>0</v>
      </c>
      <c r="AN774" s="6">
        <v>28.881362300000003</v>
      </c>
      <c r="AO774" s="6">
        <v>0</v>
      </c>
      <c r="AP774" s="6">
        <v>76.38939</v>
      </c>
      <c r="AQ774" s="6">
        <v>0</v>
      </c>
      <c r="AR774" s="6">
        <v>0</v>
      </c>
      <c r="AS774" s="6">
        <v>0</v>
      </c>
      <c r="AT774" s="6">
        <v>0</v>
      </c>
      <c r="AU774" s="6">
        <v>0</v>
      </c>
      <c r="AV774" s="6">
        <v>0</v>
      </c>
      <c r="AW774" s="6">
        <v>0</v>
      </c>
      <c r="AX774" s="6">
        <v>0</v>
      </c>
      <c r="AY774" s="6">
        <v>0</v>
      </c>
      <c r="AZ774" s="6">
        <v>0</v>
      </c>
      <c r="BA774" s="6">
        <v>0</v>
      </c>
      <c r="BB774" s="6">
        <v>0</v>
      </c>
      <c r="BC774" s="6"/>
      <c r="BD774" s="3"/>
      <c r="BE774" s="3"/>
      <c r="BF774" s="7">
        <v>2343.7249749124467</v>
      </c>
    </row>
    <row x14ac:dyDescent="0.25" r="775" customHeight="1" ht="12.75">
      <c r="A775" s="5" t="s">
        <v>487</v>
      </c>
      <c r="B775" s="3" t="s">
        <v>855</v>
      </c>
      <c r="C775" s="3" t="s">
        <v>870</v>
      </c>
      <c r="D775" s="3"/>
      <c r="E775" s="3"/>
      <c r="F775" s="6">
        <f>100*SUM(AM775:AO775)/AL775</f>
      </c>
      <c r="G775" s="6">
        <f>100*SUM(AP775)/AL775</f>
      </c>
      <c r="H775" s="6">
        <f>100*SUM(AQ775)/AL775</f>
      </c>
      <c r="I775" s="6">
        <f>100*SUM(AR775:BC775)/AL775</f>
      </c>
      <c r="J775" s="3"/>
      <c r="K775" s="6">
        <v>2.23</v>
      </c>
      <c r="L775" s="7">
        <v>0.2677130044843049</v>
      </c>
      <c r="M775" s="7">
        <v>1.7869955156950672</v>
      </c>
      <c r="N775" s="31">
        <v>48.784753363228695</v>
      </c>
      <c r="O775" s="7">
        <v>0.7345291479820627</v>
      </c>
      <c r="P775" s="7">
        <v>3.64439461883408</v>
      </c>
      <c r="Q775" s="7"/>
      <c r="R775" s="6"/>
      <c r="S775" s="6"/>
      <c r="T775" s="6"/>
      <c r="U775" s="5"/>
      <c r="V775" s="6"/>
      <c r="W775" s="6"/>
      <c r="X775" s="6"/>
      <c r="Y775" s="15"/>
      <c r="Z775" s="6"/>
      <c r="AA775" s="6"/>
      <c r="AB775" s="5"/>
      <c r="AC775" s="3"/>
      <c r="AD775" s="6">
        <v>0.00597</v>
      </c>
      <c r="AE775" s="6">
        <v>0.03985</v>
      </c>
      <c r="AF775" s="7">
        <v>108.78999999999999</v>
      </c>
      <c r="AG775" s="6">
        <v>0.01638</v>
      </c>
      <c r="AH775" s="7">
        <v>8.126999999999999</v>
      </c>
      <c r="AI775" s="15">
        <v>0.0622</v>
      </c>
      <c r="AJ775" s="6">
        <v>2.789237668161435</v>
      </c>
      <c r="AK775" s="3"/>
      <c r="AL775" s="6">
        <v>273.5639805250962</v>
      </c>
      <c r="AM775" s="6">
        <v>5.075720771300448</v>
      </c>
      <c r="AN775" s="6">
        <v>38.80516159192825</v>
      </c>
      <c r="AO775" s="6">
        <v>29.85124940521679</v>
      </c>
      <c r="AP775" s="6">
        <v>51.009303228699544</v>
      </c>
      <c r="AQ775" s="6">
        <v>148.82254552795118</v>
      </c>
      <c r="AR775" s="6">
        <v>0</v>
      </c>
      <c r="AS775" s="6">
        <v>0</v>
      </c>
      <c r="AT775" s="6">
        <v>0</v>
      </c>
      <c r="AU775" s="6">
        <v>0</v>
      </c>
      <c r="AV775" s="6">
        <v>0</v>
      </c>
      <c r="AW775" s="6">
        <v>0</v>
      </c>
      <c r="AX775" s="6">
        <v>0</v>
      </c>
      <c r="AY775" s="6">
        <v>0</v>
      </c>
      <c r="AZ775" s="6">
        <v>0</v>
      </c>
      <c r="BA775" s="6">
        <v>0</v>
      </c>
      <c r="BB775" s="6">
        <v>0</v>
      </c>
      <c r="BC775" s="6"/>
      <c r="BD775" s="3"/>
      <c r="BE775" s="3"/>
      <c r="BF775" s="7">
        <v>610.0476765709645</v>
      </c>
    </row>
    <row x14ac:dyDescent="0.25" r="776" customHeight="1" ht="12.75">
      <c r="A776" s="5" t="s">
        <v>290</v>
      </c>
      <c r="B776" s="3" t="s">
        <v>855</v>
      </c>
      <c r="C776" s="3" t="s">
        <v>870</v>
      </c>
      <c r="D776" s="3"/>
      <c r="E776" s="3"/>
      <c r="F776" s="6">
        <f>100*SUM(AM776:AO776)/AL776</f>
      </c>
      <c r="G776" s="6">
        <f>100*SUM(AP776)/AL776</f>
      </c>
      <c r="H776" s="6">
        <f>100*SUM(AQ776)/AL776</f>
      </c>
      <c r="I776" s="6">
        <f>100*SUM(AR776:BC776)/AL776</f>
      </c>
      <c r="J776" s="3"/>
      <c r="K776" s="6">
        <v>1.45</v>
      </c>
      <c r="L776" s="6"/>
      <c r="M776" s="6">
        <v>3.205793103448275</v>
      </c>
      <c r="N776" s="7">
        <v>45.74314</v>
      </c>
      <c r="O776" s="6">
        <v>2.447835862068965</v>
      </c>
      <c r="P776" s="6">
        <v>2.4678827586206893</v>
      </c>
      <c r="Q776" s="7"/>
      <c r="R776" s="6"/>
      <c r="S776" s="6"/>
      <c r="T776" s="6"/>
      <c r="U776" s="5"/>
      <c r="V776" s="6"/>
      <c r="W776" s="6"/>
      <c r="X776" s="6"/>
      <c r="Y776" s="15"/>
      <c r="Z776" s="6"/>
      <c r="AA776" s="6"/>
      <c r="AB776" s="5"/>
      <c r="AC776" s="3"/>
      <c r="AD776" s="6">
        <v>0</v>
      </c>
      <c r="AE776" s="6">
        <v>0.04648399999999999</v>
      </c>
      <c r="AF776" s="7">
        <v>66.327553</v>
      </c>
      <c r="AG776" s="6">
        <v>0.03549362</v>
      </c>
      <c r="AH776" s="7">
        <v>3.5784299999999996</v>
      </c>
      <c r="AI776" s="15">
        <v>0.08197761999999999</v>
      </c>
      <c r="AJ776" s="6">
        <v>5.653628965517241</v>
      </c>
      <c r="AK776" s="3"/>
      <c r="AL776" s="6">
        <v>368.37309475767995</v>
      </c>
      <c r="AM776" s="6">
        <v>0</v>
      </c>
      <c r="AN776" s="6">
        <v>69.61479103724137</v>
      </c>
      <c r="AO776" s="6">
        <v>27.9900949903537</v>
      </c>
      <c r="AP776" s="6">
        <v>169.98971665779308</v>
      </c>
      <c r="AQ776" s="6">
        <v>100.77849207229181</v>
      </c>
      <c r="AR776" s="6">
        <v>0</v>
      </c>
      <c r="AS776" s="6">
        <v>0</v>
      </c>
      <c r="AT776" s="6">
        <v>0</v>
      </c>
      <c r="AU776" s="6">
        <v>0</v>
      </c>
      <c r="AV776" s="6">
        <v>0</v>
      </c>
      <c r="AW776" s="6">
        <v>0</v>
      </c>
      <c r="AX776" s="6">
        <v>0</v>
      </c>
      <c r="AY776" s="6">
        <v>0</v>
      </c>
      <c r="AZ776" s="6">
        <v>0</v>
      </c>
      <c r="BA776" s="6">
        <v>0</v>
      </c>
      <c r="BB776" s="6">
        <v>0</v>
      </c>
      <c r="BC776" s="6"/>
      <c r="BD776" s="3"/>
      <c r="BE776" s="3"/>
      <c r="BF776" s="7">
        <v>534.140987398636</v>
      </c>
    </row>
    <row x14ac:dyDescent="0.25" r="777" customHeight="1" ht="12.75">
      <c r="A777" s="5" t="s">
        <v>504</v>
      </c>
      <c r="B777" s="3" t="s">
        <v>855</v>
      </c>
      <c r="C777" s="3" t="s">
        <v>870</v>
      </c>
      <c r="D777" s="3"/>
      <c r="E777" s="3"/>
      <c r="F777" s="6">
        <f>100*SUM(AM777:AO777)/AL777</f>
      </c>
      <c r="G777" s="6">
        <f>100*SUM(AP777)/AL777</f>
      </c>
      <c r="H777" s="6">
        <f>100*SUM(AQ777)/AL777</f>
      </c>
      <c r="I777" s="6">
        <f>100*SUM(AR777:BC777)/AL777</f>
      </c>
      <c r="J777" s="3"/>
      <c r="K777" s="6">
        <v>5.136</v>
      </c>
      <c r="L777" s="6">
        <v>0.09764602803738318</v>
      </c>
      <c r="M777" s="6">
        <v>2.377295560747664</v>
      </c>
      <c r="N777" s="7">
        <v>27.799608644859816</v>
      </c>
      <c r="O777" s="6">
        <v>1.3499065420560747</v>
      </c>
      <c r="P777" s="6">
        <v>2.5332710280373827</v>
      </c>
      <c r="Q777" s="7"/>
      <c r="R777" s="6"/>
      <c r="S777" s="6"/>
      <c r="T777" s="6"/>
      <c r="U777" s="5"/>
      <c r="V777" s="6"/>
      <c r="W777" s="6"/>
      <c r="X777" s="6"/>
      <c r="Y777" s="15"/>
      <c r="Z777" s="6"/>
      <c r="AA777" s="6"/>
      <c r="AB777" s="5"/>
      <c r="AC777" s="3"/>
      <c r="AD777" s="6">
        <v>0.0050151</v>
      </c>
      <c r="AE777" s="6">
        <v>0.12209790000000004</v>
      </c>
      <c r="AF777" s="7">
        <v>142.77879000000001</v>
      </c>
      <c r="AG777" s="6">
        <v>0.0693312</v>
      </c>
      <c r="AH777" s="7">
        <v>13.010879999999998</v>
      </c>
      <c r="AI777" s="15">
        <v>0.1964442</v>
      </c>
      <c r="AJ777" s="6">
        <v>3.824848130841122</v>
      </c>
      <c r="AK777" s="3"/>
      <c r="AL777" s="6">
        <v>267.6783489769858</v>
      </c>
      <c r="AM777" s="6">
        <v>1.8513257273364485</v>
      </c>
      <c r="AN777" s="6">
        <v>51.62371006325935</v>
      </c>
      <c r="AO777" s="6">
        <v>17.010500080761492</v>
      </c>
      <c r="AP777" s="6">
        <v>93.7441248224299</v>
      </c>
      <c r="AQ777" s="6">
        <v>103.44868828319859</v>
      </c>
      <c r="AR777" s="6">
        <v>0</v>
      </c>
      <c r="AS777" s="6">
        <v>0</v>
      </c>
      <c r="AT777" s="6">
        <v>0</v>
      </c>
      <c r="AU777" s="6">
        <v>0</v>
      </c>
      <c r="AV777" s="6">
        <v>0</v>
      </c>
      <c r="AW777" s="6">
        <v>0</v>
      </c>
      <c r="AX777" s="6">
        <v>0</v>
      </c>
      <c r="AY777" s="6">
        <v>0</v>
      </c>
      <c r="AZ777" s="6">
        <v>0</v>
      </c>
      <c r="BA777" s="6">
        <v>0</v>
      </c>
      <c r="BB777" s="6">
        <v>0</v>
      </c>
      <c r="BC777" s="6"/>
      <c r="BD777" s="3"/>
      <c r="BE777" s="3"/>
      <c r="BF777" s="7">
        <v>1374.796000345799</v>
      </c>
    </row>
    <row x14ac:dyDescent="0.25" r="778" customHeight="1" ht="12.75">
      <c r="A778" s="5" t="s">
        <v>421</v>
      </c>
      <c r="B778" s="3" t="s">
        <v>855</v>
      </c>
      <c r="C778" s="3" t="s">
        <v>870</v>
      </c>
      <c r="D778" s="3"/>
      <c r="E778" s="3"/>
      <c r="F778" s="6">
        <f>100*SUM(AM778:AO778)/AL778</f>
      </c>
      <c r="G778" s="6">
        <f>100*SUM(AP778)/AL778</f>
      </c>
      <c r="H778" s="6">
        <f>100*SUM(AQ778)/AL778</f>
      </c>
      <c r="I778" s="6">
        <f>100*SUM(AR778:BC778)/AL778</f>
      </c>
      <c r="J778" s="3"/>
      <c r="K778" s="6">
        <v>13.445999999999998</v>
      </c>
      <c r="L778" s="6"/>
      <c r="M778" s="6">
        <v>2.7241008478357878</v>
      </c>
      <c r="N778" s="7">
        <v>19.09073330358471</v>
      </c>
      <c r="O778" s="6">
        <v>2.7974832663989293</v>
      </c>
      <c r="P778" s="6">
        <v>0.39683623382418565</v>
      </c>
      <c r="Q778" s="7"/>
      <c r="R778" s="6"/>
      <c r="S778" s="6"/>
      <c r="T778" s="6"/>
      <c r="U778" s="5"/>
      <c r="V778" s="6"/>
      <c r="W778" s="6"/>
      <c r="X778" s="6"/>
      <c r="Y778" s="15"/>
      <c r="Z778" s="6"/>
      <c r="AA778" s="6"/>
      <c r="AB778" s="5"/>
      <c r="AC778" s="3"/>
      <c r="AD778" s="6">
        <v>0</v>
      </c>
      <c r="AE778" s="6">
        <v>0.36628259999999996</v>
      </c>
      <c r="AF778" s="7">
        <v>256.69399999999996</v>
      </c>
      <c r="AG778" s="6">
        <v>0.3761496</v>
      </c>
      <c r="AH778" s="7">
        <v>5.335859999999999</v>
      </c>
      <c r="AI778" s="15">
        <v>0.7424321999999999</v>
      </c>
      <c r="AJ778" s="6">
        <v>5.521584114234717</v>
      </c>
      <c r="AK778" s="3"/>
      <c r="AL778" s="6">
        <v>281.3124140791798</v>
      </c>
      <c r="AM778" s="6">
        <v>0</v>
      </c>
      <c r="AN778" s="6">
        <v>59.15469438201696</v>
      </c>
      <c r="AO778" s="6">
        <v>11.681564461968394</v>
      </c>
      <c r="AP778" s="6">
        <v>194.27094568674698</v>
      </c>
      <c r="AQ778" s="6">
        <v>16.205209548447453</v>
      </c>
      <c r="AR778" s="6">
        <v>0</v>
      </c>
      <c r="AS778" s="6">
        <v>0</v>
      </c>
      <c r="AT778" s="6">
        <v>0</v>
      </c>
      <c r="AU778" s="6">
        <v>0</v>
      </c>
      <c r="AV778" s="6">
        <v>0</v>
      </c>
      <c r="AW778" s="6">
        <v>0</v>
      </c>
      <c r="AX778" s="6">
        <v>0</v>
      </c>
      <c r="AY778" s="6">
        <v>0</v>
      </c>
      <c r="AZ778" s="6">
        <v>0</v>
      </c>
      <c r="BA778" s="6">
        <v>0</v>
      </c>
      <c r="BB778" s="6">
        <v>0</v>
      </c>
      <c r="BC778" s="6"/>
      <c r="BD778" s="3"/>
      <c r="BE778" s="3"/>
      <c r="BF778" s="7">
        <v>3782.526719708651</v>
      </c>
    </row>
    <row x14ac:dyDescent="0.25" r="779" customHeight="1" ht="12.75">
      <c r="A779" s="5" t="s">
        <v>839</v>
      </c>
      <c r="B779" s="3" t="s">
        <v>855</v>
      </c>
      <c r="C779" s="3" t="s">
        <v>870</v>
      </c>
      <c r="D779" s="3"/>
      <c r="E779" s="3"/>
      <c r="F779" s="6">
        <f>100*SUM(AM779:AO779)/AL779</f>
      </c>
      <c r="G779" s="6">
        <f>100*SUM(AP779)/AL779</f>
      </c>
      <c r="H779" s="6">
        <f>100*SUM(AQ779)/AL779</f>
      </c>
      <c r="I779" s="6">
        <f>100*SUM(AR779:BC779)/AL779</f>
      </c>
      <c r="J779" s="3"/>
      <c r="K779" s="23">
        <v>0.994563</v>
      </c>
      <c r="L779" s="6"/>
      <c r="M779" s="6">
        <v>0.73</v>
      </c>
      <c r="N779" s="6">
        <v>13.48</v>
      </c>
      <c r="O779" s="6">
        <v>0.75</v>
      </c>
      <c r="P779" s="6">
        <v>0.54</v>
      </c>
      <c r="Q779" s="7"/>
      <c r="R779" s="6"/>
      <c r="S779" s="6"/>
      <c r="T779" s="6"/>
      <c r="U779" s="5"/>
      <c r="V779" s="6"/>
      <c r="W779" s="6"/>
      <c r="X779" s="6"/>
      <c r="Y779" s="15"/>
      <c r="Z779" s="6"/>
      <c r="AA779" s="6"/>
      <c r="AB779" s="5"/>
      <c r="AC779" s="3"/>
      <c r="AD779" s="6">
        <v>0</v>
      </c>
      <c r="AE779" s="6">
        <v>0.007260309899999999</v>
      </c>
      <c r="AF779" s="7">
        <v>13.40670924</v>
      </c>
      <c r="AG779" s="6">
        <v>0.0074592225</v>
      </c>
      <c r="AH779" s="7">
        <v>0.53706402</v>
      </c>
      <c r="AI779" s="15">
        <v>0.014719532399999999</v>
      </c>
      <c r="AJ779" s="6">
        <v>1.48</v>
      </c>
      <c r="AK779" s="3"/>
      <c r="AL779" s="6">
        <v>98.23567123569131</v>
      </c>
      <c r="AM779" s="6">
        <v>0</v>
      </c>
      <c r="AN779" s="6">
        <v>15.8521763</v>
      </c>
      <c r="AO779" s="6">
        <v>8.2483729903537</v>
      </c>
      <c r="AP779" s="6">
        <v>52.083675</v>
      </c>
      <c r="AQ779" s="6">
        <v>22.05144694533762</v>
      </c>
      <c r="AR779" s="6">
        <v>0</v>
      </c>
      <c r="AS779" s="6">
        <v>0</v>
      </c>
      <c r="AT779" s="6">
        <v>0</v>
      </c>
      <c r="AU779" s="6">
        <v>0</v>
      </c>
      <c r="AV779" s="6">
        <v>0</v>
      </c>
      <c r="AW779" s="6">
        <v>0</v>
      </c>
      <c r="AX779" s="6">
        <v>0</v>
      </c>
      <c r="AY779" s="6">
        <v>0</v>
      </c>
      <c r="AZ779" s="6">
        <v>0</v>
      </c>
      <c r="BA779" s="6">
        <v>0</v>
      </c>
      <c r="BB779" s="6">
        <v>0</v>
      </c>
      <c r="BC779" s="6"/>
      <c r="BD779" s="3"/>
      <c r="BE779" s="3"/>
      <c r="BF779" s="7">
        <v>97.70156389118286</v>
      </c>
    </row>
    <row x14ac:dyDescent="0.25" r="780" customHeight="1" ht="12.75">
      <c r="A780" s="5" t="s">
        <v>688</v>
      </c>
      <c r="B780" s="3" t="s">
        <v>855</v>
      </c>
      <c r="C780" s="3" t="s">
        <v>870</v>
      </c>
      <c r="D780" s="3"/>
      <c r="E780" s="3"/>
      <c r="F780" s="6">
        <f>100*SUM(AM780:AO780)/AL780</f>
      </c>
      <c r="G780" s="6">
        <f>100*SUM(AP780)/AL780</f>
      </c>
      <c r="H780" s="6">
        <f>100*SUM(AQ780)/AL780</f>
      </c>
      <c r="I780" s="6">
        <f>100*SUM(AR780:BC780)/AL780</f>
      </c>
      <c r="J780" s="3"/>
      <c r="K780" s="6">
        <v>6.051</v>
      </c>
      <c r="L780" s="6"/>
      <c r="M780" s="6">
        <v>1.566856717897868</v>
      </c>
      <c r="N780" s="7">
        <v>17.515501569988434</v>
      </c>
      <c r="O780" s="6">
        <v>1.2531350190051231</v>
      </c>
      <c r="P780" s="6">
        <v>1.2986051892249215</v>
      </c>
      <c r="Q780" s="7"/>
      <c r="R780" s="6"/>
      <c r="S780" s="6"/>
      <c r="T780" s="6"/>
      <c r="U780" s="5"/>
      <c r="V780" s="6"/>
      <c r="W780" s="6"/>
      <c r="X780" s="6"/>
      <c r="Y780" s="15"/>
      <c r="Z780" s="6"/>
      <c r="AA780" s="6"/>
      <c r="AB780" s="5"/>
      <c r="AC780" s="3"/>
      <c r="AD780" s="6">
        <v>0</v>
      </c>
      <c r="AE780" s="6">
        <v>0.09481049999999999</v>
      </c>
      <c r="AF780" s="7">
        <v>105.98630000000001</v>
      </c>
      <c r="AG780" s="6">
        <v>0.0758272</v>
      </c>
      <c r="AH780" s="7">
        <v>7.8578600000000005</v>
      </c>
      <c r="AI780" s="15">
        <v>0.1706377</v>
      </c>
      <c r="AJ780" s="6">
        <v>2.819991736902991</v>
      </c>
      <c r="AK780" s="3"/>
      <c r="AL780" s="6">
        <v>184.79615836827932</v>
      </c>
      <c r="AM780" s="6">
        <v>0</v>
      </c>
      <c r="AN780" s="6">
        <v>34.024779354734754</v>
      </c>
      <c r="AO780" s="6">
        <v>10.71768472272926</v>
      </c>
      <c r="AP780" s="6">
        <v>87.02383608130887</v>
      </c>
      <c r="AQ780" s="6">
        <v>53.02985820950644</v>
      </c>
      <c r="AR780" s="6">
        <v>0</v>
      </c>
      <c r="AS780" s="6">
        <v>0</v>
      </c>
      <c r="AT780" s="6">
        <v>0</v>
      </c>
      <c r="AU780" s="6">
        <v>0</v>
      </c>
      <c r="AV780" s="6">
        <v>0</v>
      </c>
      <c r="AW780" s="6">
        <v>0</v>
      </c>
      <c r="AX780" s="6">
        <v>0</v>
      </c>
      <c r="AY780" s="6">
        <v>0</v>
      </c>
      <c r="AZ780" s="6">
        <v>0</v>
      </c>
      <c r="BA780" s="6">
        <v>0</v>
      </c>
      <c r="BB780" s="6">
        <v>0</v>
      </c>
      <c r="BC780" s="6"/>
      <c r="BD780" s="3"/>
      <c r="BE780" s="3"/>
      <c r="BF780" s="7">
        <v>1118.2015542864583</v>
      </c>
    </row>
    <row x14ac:dyDescent="0.25" r="781" customHeight="1" ht="12.75">
      <c r="A781" s="5" t="s">
        <v>500</v>
      </c>
      <c r="B781" s="3" t="s">
        <v>855</v>
      </c>
      <c r="C781" s="3" t="s">
        <v>870</v>
      </c>
      <c r="D781" s="3"/>
      <c r="E781" s="3"/>
      <c r="F781" s="6">
        <f>100*SUM(AM781:AO781)/AL781</f>
      </c>
      <c r="G781" s="6">
        <f>100*SUM(AP781)/AL781</f>
      </c>
      <c r="H781" s="6">
        <f>100*SUM(AQ781)/AL781</f>
      </c>
      <c r="I781" s="6">
        <f>100*SUM(AR781:BC781)/AL781</f>
      </c>
      <c r="J781" s="3"/>
      <c r="K781" s="23">
        <v>0.227899</v>
      </c>
      <c r="L781" s="6">
        <v>0.17</v>
      </c>
      <c r="M781" s="7">
        <v>1.85</v>
      </c>
      <c r="N781" s="31">
        <v>33</v>
      </c>
      <c r="O781" s="6">
        <v>2.96</v>
      </c>
      <c r="P781" s="6"/>
      <c r="Q781" s="7"/>
      <c r="R781" s="6"/>
      <c r="S781" s="6"/>
      <c r="T781" s="6"/>
      <c r="U781" s="5"/>
      <c r="V781" s="6"/>
      <c r="W781" s="6"/>
      <c r="X781" s="6"/>
      <c r="Y781" s="15"/>
      <c r="Z781" s="6"/>
      <c r="AA781" s="6"/>
      <c r="AB781" s="5"/>
      <c r="AC781" s="3"/>
      <c r="AD781" s="6">
        <v>0.0003874283</v>
      </c>
      <c r="AE781" s="6">
        <v>0.0042161315</v>
      </c>
      <c r="AF781" s="7">
        <v>7.5206669999999995</v>
      </c>
      <c r="AG781" s="6">
        <v>0.0067458104</v>
      </c>
      <c r="AH781" s="7">
        <v>0</v>
      </c>
      <c r="AI781" s="15">
        <v>0.0113493702</v>
      </c>
      <c r="AJ781" s="6">
        <v>4.98</v>
      </c>
      <c r="AK781" s="3"/>
      <c r="AL781" s="6">
        <v>269.14595720160776</v>
      </c>
      <c r="AM781" s="6">
        <v>3.2231252</v>
      </c>
      <c r="AN781" s="6">
        <v>40.1733235</v>
      </c>
      <c r="AO781" s="6">
        <v>20.192604501607722</v>
      </c>
      <c r="AP781" s="6">
        <v>205.556904</v>
      </c>
      <c r="AQ781" s="6">
        <v>0</v>
      </c>
      <c r="AR781" s="6">
        <v>0</v>
      </c>
      <c r="AS781" s="6">
        <v>0</v>
      </c>
      <c r="AT781" s="6">
        <v>0</v>
      </c>
      <c r="AU781" s="6">
        <v>0</v>
      </c>
      <c r="AV781" s="6">
        <v>0</v>
      </c>
      <c r="AW781" s="6">
        <v>0</v>
      </c>
      <c r="AX781" s="6">
        <v>0</v>
      </c>
      <c r="AY781" s="6">
        <v>0</v>
      </c>
      <c r="AZ781" s="6">
        <v>0</v>
      </c>
      <c r="BA781" s="6">
        <v>0</v>
      </c>
      <c r="BB781" s="6">
        <v>0</v>
      </c>
      <c r="BC781" s="6"/>
      <c r="BD781" s="3"/>
      <c r="BE781" s="3"/>
      <c r="BF781" s="7">
        <v>61.3380945002892</v>
      </c>
    </row>
    <row x14ac:dyDescent="0.25" r="782" customHeight="1" ht="12.75">
      <c r="A782" s="5" t="s">
        <v>613</v>
      </c>
      <c r="B782" s="3" t="s">
        <v>855</v>
      </c>
      <c r="C782" s="3" t="s">
        <v>870</v>
      </c>
      <c r="D782" s="3"/>
      <c r="E782" s="3"/>
      <c r="F782" s="6">
        <f>100*SUM(AM782:AO782)/AL782</f>
      </c>
      <c r="G782" s="6">
        <f>100*SUM(AP782)/AL782</f>
      </c>
      <c r="H782" s="6">
        <f>100*SUM(AQ782)/AL782</f>
      </c>
      <c r="I782" s="6">
        <f>100*SUM(AR782:BC782)/AL782</f>
      </c>
      <c r="J782" s="3"/>
      <c r="K782" s="23">
        <v>7.510129</v>
      </c>
      <c r="L782" s="6"/>
      <c r="M782" s="6">
        <v>1.4188211707149105</v>
      </c>
      <c r="N782" s="7">
        <v>32.25934989931597</v>
      </c>
      <c r="O782" s="6">
        <v>2.035998409614535</v>
      </c>
      <c r="P782" s="6">
        <v>0.8645260647320439</v>
      </c>
      <c r="Q782" s="7"/>
      <c r="R782" s="6"/>
      <c r="S782" s="6"/>
      <c r="T782" s="6"/>
      <c r="U782" s="5"/>
      <c r="V782" s="6"/>
      <c r="W782" s="6"/>
      <c r="X782" s="6"/>
      <c r="Y782" s="15"/>
      <c r="Z782" s="6"/>
      <c r="AA782" s="6"/>
      <c r="AB782" s="5"/>
      <c r="AC782" s="3"/>
      <c r="AD782" s="6">
        <v>0</v>
      </c>
      <c r="AE782" s="6">
        <v>0.10655530020000001</v>
      </c>
      <c r="AF782" s="7">
        <v>242.27187919999994</v>
      </c>
      <c r="AG782" s="6">
        <v>0.15290610699999999</v>
      </c>
      <c r="AH782" s="7">
        <v>6.49270227</v>
      </c>
      <c r="AI782" s="15">
        <v>0.2594614072</v>
      </c>
      <c r="AJ782" s="6">
        <v>3.4548195803294455</v>
      </c>
      <c r="AK782" s="3"/>
      <c r="AL782" s="6">
        <v>227.24304785954126</v>
      </c>
      <c r="AM782" s="6">
        <v>0</v>
      </c>
      <c r="AN782" s="6">
        <v>30.810141556637205</v>
      </c>
      <c r="AO782" s="6">
        <v>19.739402848359585</v>
      </c>
      <c r="AP782" s="6">
        <v>141.3897059558404</v>
      </c>
      <c r="AQ782" s="6">
        <v>35.30379749870404</v>
      </c>
      <c r="AR782" s="6">
        <v>0</v>
      </c>
      <c r="AS782" s="6">
        <v>0</v>
      </c>
      <c r="AT782" s="6">
        <v>0</v>
      </c>
      <c r="AU782" s="6">
        <v>0</v>
      </c>
      <c r="AV782" s="6">
        <v>0</v>
      </c>
      <c r="AW782" s="6">
        <v>0</v>
      </c>
      <c r="AX782" s="6">
        <v>0</v>
      </c>
      <c r="AY782" s="6">
        <v>0</v>
      </c>
      <c r="AZ782" s="6">
        <v>0</v>
      </c>
      <c r="BA782" s="6">
        <v>0</v>
      </c>
      <c r="BB782" s="6">
        <v>0</v>
      </c>
      <c r="BC782" s="6"/>
      <c r="BD782" s="3"/>
      <c r="BE782" s="3"/>
      <c r="BF782" s="7">
        <v>1706.6246037783287</v>
      </c>
    </row>
    <row x14ac:dyDescent="0.25" r="783" customHeight="1" ht="12.75">
      <c r="A783" s="5" t="s">
        <v>709</v>
      </c>
      <c r="B783" s="3" t="s">
        <v>855</v>
      </c>
      <c r="C783" s="3" t="s">
        <v>870</v>
      </c>
      <c r="D783" s="3"/>
      <c r="E783" s="3"/>
      <c r="F783" s="6">
        <f>100*SUM(AM783:AO783)/AL783</f>
      </c>
      <c r="G783" s="6">
        <f>100*SUM(AP783)/AL783</f>
      </c>
      <c r="H783" s="6">
        <f>100*SUM(AQ783)/AL783</f>
      </c>
      <c r="I783" s="6">
        <f>100*SUM(AR783:BC783)/AL783</f>
      </c>
      <c r="J783" s="3"/>
      <c r="K783" s="6">
        <v>0.972</v>
      </c>
      <c r="L783" s="6">
        <v>0.2</v>
      </c>
      <c r="M783" s="6">
        <v>1.1</v>
      </c>
      <c r="N783" s="6">
        <v>10.3</v>
      </c>
      <c r="O783" s="6">
        <v>2.1</v>
      </c>
      <c r="P783" s="6">
        <v>0.1</v>
      </c>
      <c r="Q783" s="7"/>
      <c r="R783" s="6"/>
      <c r="S783" s="6"/>
      <c r="T783" s="6"/>
      <c r="U783" s="5"/>
      <c r="V783" s="6"/>
      <c r="W783" s="6"/>
      <c r="X783" s="6"/>
      <c r="Y783" s="15"/>
      <c r="Z783" s="6"/>
      <c r="AA783" s="6"/>
      <c r="AB783" s="5"/>
      <c r="AC783" s="3"/>
      <c r="AD783" s="6">
        <v>0.0019440000000000002</v>
      </c>
      <c r="AE783" s="6">
        <v>0.010692000000000002</v>
      </c>
      <c r="AF783" s="7">
        <v>10.0116</v>
      </c>
      <c r="AG783" s="6">
        <v>0.020412</v>
      </c>
      <c r="AH783" s="7">
        <v>0.09720000000000001</v>
      </c>
      <c r="AI783" s="15">
        <v>0.033048</v>
      </c>
      <c r="AJ783" s="6">
        <v>3.4000000000000004</v>
      </c>
      <c r="AK783" s="3"/>
      <c r="AL783" s="6">
        <v>183.8991844790997</v>
      </c>
      <c r="AM783" s="6">
        <v>3.791912</v>
      </c>
      <c r="AN783" s="6">
        <v>23.886841</v>
      </c>
      <c r="AO783" s="6">
        <v>6.302540192926046</v>
      </c>
      <c r="AP783" s="6">
        <v>145.83429</v>
      </c>
      <c r="AQ783" s="6">
        <v>4.083601286173634</v>
      </c>
      <c r="AR783" s="6">
        <v>0</v>
      </c>
      <c r="AS783" s="6">
        <v>0</v>
      </c>
      <c r="AT783" s="6">
        <v>0</v>
      </c>
      <c r="AU783" s="6">
        <v>0</v>
      </c>
      <c r="AV783" s="6">
        <v>0</v>
      </c>
      <c r="AW783" s="6">
        <v>0</v>
      </c>
      <c r="AX783" s="6">
        <v>0</v>
      </c>
      <c r="AY783" s="6">
        <v>0</v>
      </c>
      <c r="AZ783" s="6">
        <v>0</v>
      </c>
      <c r="BA783" s="6">
        <v>0</v>
      </c>
      <c r="BB783" s="6">
        <v>0</v>
      </c>
      <c r="BC783" s="6"/>
      <c r="BD783" s="3"/>
      <c r="BE783" s="3"/>
      <c r="BF783" s="7">
        <v>178.7500073136849</v>
      </c>
    </row>
    <row x14ac:dyDescent="0.25" r="784" customHeight="1" ht="12.75">
      <c r="A784" s="5" t="s">
        <v>769</v>
      </c>
      <c r="B784" s="3" t="s">
        <v>855</v>
      </c>
      <c r="C784" s="3" t="s">
        <v>870</v>
      </c>
      <c r="D784" s="3"/>
      <c r="E784" s="3"/>
      <c r="F784" s="6">
        <f>100*SUM(AM784:AO784)/AL784</f>
      </c>
      <c r="G784" s="6">
        <f>100*SUM(AP784)/AL784</f>
      </c>
      <c r="H784" s="6">
        <f>100*SUM(AQ784)/AL784</f>
      </c>
      <c r="I784" s="6">
        <f>100*SUM(AR784:BC784)/AL784</f>
      </c>
      <c r="J784" s="3"/>
      <c r="K784" s="6">
        <v>4.249999999999999</v>
      </c>
      <c r="L784" s="6"/>
      <c r="M784" s="6">
        <v>0.664094117647059</v>
      </c>
      <c r="N784" s="31">
        <v>13.056470588235298</v>
      </c>
      <c r="O784" s="6">
        <v>1.0119058823529412</v>
      </c>
      <c r="P784" s="6">
        <v>0.8171764705882354</v>
      </c>
      <c r="Q784" s="7"/>
      <c r="R784" s="6"/>
      <c r="S784" s="6"/>
      <c r="T784" s="6"/>
      <c r="U784" s="5"/>
      <c r="V784" s="6"/>
      <c r="W784" s="6"/>
      <c r="X784" s="6"/>
      <c r="Y784" s="15"/>
      <c r="Z784" s="6"/>
      <c r="AA784" s="6"/>
      <c r="AB784" s="5"/>
      <c r="AC784" s="3"/>
      <c r="AD784" s="6">
        <v>0</v>
      </c>
      <c r="AE784" s="6">
        <v>0.028224</v>
      </c>
      <c r="AF784" s="7">
        <v>55.49</v>
      </c>
      <c r="AG784" s="6">
        <v>0.043005999999999996</v>
      </c>
      <c r="AH784" s="7">
        <v>3.473</v>
      </c>
      <c r="AI784" s="15">
        <v>0.07122999999999999</v>
      </c>
      <c r="AJ784" s="6">
        <v>1.6760000000000002</v>
      </c>
      <c r="AK784" s="3"/>
      <c r="AL784" s="6">
        <v>126.05215787548629</v>
      </c>
      <c r="AM784" s="6">
        <v>0</v>
      </c>
      <c r="AN784" s="6">
        <v>14.421009633882354</v>
      </c>
      <c r="AO784" s="6">
        <v>7.989216568942693</v>
      </c>
      <c r="AP784" s="6">
        <v>70.27170280941176</v>
      </c>
      <c r="AQ784" s="6">
        <v>33.37022886324948</v>
      </c>
      <c r="AR784" s="6">
        <v>0</v>
      </c>
      <c r="AS784" s="6">
        <v>0</v>
      </c>
      <c r="AT784" s="6">
        <v>0</v>
      </c>
      <c r="AU784" s="6">
        <v>0</v>
      </c>
      <c r="AV784" s="6">
        <v>0</v>
      </c>
      <c r="AW784" s="6">
        <v>0</v>
      </c>
      <c r="AX784" s="6">
        <v>0</v>
      </c>
      <c r="AY784" s="6">
        <v>0</v>
      </c>
      <c r="AZ784" s="6">
        <v>0</v>
      </c>
      <c r="BA784" s="6">
        <v>0</v>
      </c>
      <c r="BB784" s="6">
        <v>0</v>
      </c>
      <c r="BC784" s="6"/>
      <c r="BD784" s="3"/>
      <c r="BE784" s="3"/>
      <c r="BF784" s="7">
        <v>535.7216709708166</v>
      </c>
    </row>
    <row x14ac:dyDescent="0.25" r="785" customHeight="1" ht="12.75">
      <c r="A785" s="5" t="s">
        <v>518</v>
      </c>
      <c r="B785" s="3" t="s">
        <v>855</v>
      </c>
      <c r="C785" s="3" t="s">
        <v>870</v>
      </c>
      <c r="D785" s="3"/>
      <c r="E785" s="3"/>
      <c r="F785" s="6">
        <f>100*SUM(AM785:AO785)/AL785</f>
      </c>
      <c r="G785" s="6">
        <f>100*SUM(AP785)/AL785</f>
      </c>
      <c r="H785" s="6">
        <f>100*SUM(AQ785)/AL785</f>
      </c>
      <c r="I785" s="6">
        <f>100*SUM(AR785:BC785)/AL785</f>
      </c>
      <c r="J785" s="3"/>
      <c r="K785" s="6">
        <v>1.357</v>
      </c>
      <c r="L785" s="6"/>
      <c r="M785" s="6">
        <v>1.6131982313927782</v>
      </c>
      <c r="N785" s="6">
        <v>11.28978629329403</v>
      </c>
      <c r="O785" s="6">
        <v>1.060611643330877</v>
      </c>
      <c r="P785" s="6">
        <v>3.6087177597641853</v>
      </c>
      <c r="Q785" s="7"/>
      <c r="R785" s="6"/>
      <c r="S785" s="6"/>
      <c r="T785" s="6"/>
      <c r="U785" s="5"/>
      <c r="V785" s="6"/>
      <c r="W785" s="6"/>
      <c r="X785" s="6"/>
      <c r="Y785" s="15"/>
      <c r="Z785" s="6"/>
      <c r="AA785" s="6"/>
      <c r="AB785" s="5"/>
      <c r="AC785" s="3"/>
      <c r="AD785" s="6">
        <v>0</v>
      </c>
      <c r="AE785" s="6">
        <v>0.0218911</v>
      </c>
      <c r="AF785" s="7">
        <v>15.320239999999998</v>
      </c>
      <c r="AG785" s="6">
        <v>0.0143925</v>
      </c>
      <c r="AH785" s="7">
        <v>4.897029999999999</v>
      </c>
      <c r="AI785" s="15">
        <v>0.0362836</v>
      </c>
      <c r="AJ785" s="6">
        <v>2.673809874723655</v>
      </c>
      <c r="AK785" s="3"/>
      <c r="AL785" s="6">
        <v>262.9590016096603</v>
      </c>
      <c r="AM785" s="6">
        <v>0</v>
      </c>
      <c r="AN785" s="6">
        <v>35.03109968614591</v>
      </c>
      <c r="AO785" s="6">
        <v>6.908187561459338</v>
      </c>
      <c r="AP785" s="6">
        <v>73.65406950994841</v>
      </c>
      <c r="AQ785" s="6">
        <v>147.36564485210658</v>
      </c>
      <c r="AR785" s="6">
        <v>0</v>
      </c>
      <c r="AS785" s="6">
        <v>0</v>
      </c>
      <c r="AT785" s="6">
        <v>0</v>
      </c>
      <c r="AU785" s="6">
        <v>0</v>
      </c>
      <c r="AV785" s="6">
        <v>0</v>
      </c>
      <c r="AW785" s="6">
        <v>0</v>
      </c>
      <c r="AX785" s="6">
        <v>0</v>
      </c>
      <c r="AY785" s="6">
        <v>0</v>
      </c>
      <c r="AZ785" s="6">
        <v>0</v>
      </c>
      <c r="BA785" s="6">
        <v>0</v>
      </c>
      <c r="BB785" s="6">
        <v>0</v>
      </c>
      <c r="BC785" s="6"/>
      <c r="BD785" s="3"/>
      <c r="BE785" s="3"/>
      <c r="BF785" s="7">
        <v>356.835365184309</v>
      </c>
    </row>
    <row x14ac:dyDescent="0.25" r="786" customHeight="1" ht="12.75">
      <c r="A786" s="5" t="s">
        <v>281</v>
      </c>
      <c r="B786" s="3" t="s">
        <v>855</v>
      </c>
      <c r="C786" s="3" t="s">
        <v>870</v>
      </c>
      <c r="D786" s="3"/>
      <c r="E786" s="3"/>
      <c r="F786" s="6">
        <f>100*SUM(AM786:AO786)/AL786</f>
      </c>
      <c r="G786" s="6">
        <f>100*SUM(AP786)/AL786</f>
      </c>
      <c r="H786" s="6">
        <f>100*SUM(AQ786)/AL786</f>
      </c>
      <c r="I786" s="6">
        <f>100*SUM(AR786:BC786)/AL786</f>
      </c>
      <c r="J786" s="3"/>
      <c r="K786" s="23">
        <v>67.6178</v>
      </c>
      <c r="L786" s="6"/>
      <c r="M786" s="6">
        <v>0.72</v>
      </c>
      <c r="N786" s="5"/>
      <c r="O786" s="6">
        <v>0.17</v>
      </c>
      <c r="P786" s="6">
        <v>1.82</v>
      </c>
      <c r="Q786" s="7"/>
      <c r="R786" s="6"/>
      <c r="S786" s="6"/>
      <c r="T786" s="6"/>
      <c r="U786" s="5"/>
      <c r="V786" s="6"/>
      <c r="W786" s="6"/>
      <c r="X786" s="6"/>
      <c r="Y786" s="15"/>
      <c r="Z786" s="6"/>
      <c r="AA786" s="6"/>
      <c r="AB786" s="5"/>
      <c r="AC786" s="3"/>
      <c r="AD786" s="6">
        <v>0</v>
      </c>
      <c r="AE786" s="6">
        <v>0.48684816</v>
      </c>
      <c r="AF786" s="7">
        <v>0</v>
      </c>
      <c r="AG786" s="6">
        <v>0.11495026000000001</v>
      </c>
      <c r="AH786" s="7">
        <v>123.064396</v>
      </c>
      <c r="AI786" s="15">
        <v>0.60179842</v>
      </c>
      <c r="AJ786" s="6">
        <v>0.89</v>
      </c>
      <c r="AK786" s="3"/>
      <c r="AL786" s="6">
        <v>101.76219960836013</v>
      </c>
      <c r="AM786" s="6">
        <v>0</v>
      </c>
      <c r="AN786" s="6">
        <v>15.6350232</v>
      </c>
      <c r="AO786" s="6">
        <v>0</v>
      </c>
      <c r="AP786" s="6">
        <v>11.805633</v>
      </c>
      <c r="AQ786" s="6">
        <v>74.32154340836014</v>
      </c>
      <c r="AR786" s="6">
        <v>0</v>
      </c>
      <c r="AS786" s="6">
        <v>0</v>
      </c>
      <c r="AT786" s="6">
        <v>0</v>
      </c>
      <c r="AU786" s="6">
        <v>0</v>
      </c>
      <c r="AV786" s="6">
        <v>0</v>
      </c>
      <c r="AW786" s="6">
        <v>0</v>
      </c>
      <c r="AX786" s="6">
        <v>0</v>
      </c>
      <c r="AY786" s="6">
        <v>0</v>
      </c>
      <c r="AZ786" s="6">
        <v>0</v>
      </c>
      <c r="BA786" s="6">
        <v>0</v>
      </c>
      <c r="BB786" s="6">
        <v>0</v>
      </c>
      <c r="BC786" s="6"/>
      <c r="BD786" s="3"/>
      <c r="BE786" s="3"/>
      <c r="BF786" s="7">
        <v>6880.936060678174</v>
      </c>
    </row>
    <row x14ac:dyDescent="0.25" r="787" customHeight="1" ht="12.75">
      <c r="A787" s="5" t="s">
        <v>693</v>
      </c>
      <c r="B787" s="3" t="s">
        <v>855</v>
      </c>
      <c r="C787" s="3" t="s">
        <v>870</v>
      </c>
      <c r="D787" s="3"/>
      <c r="E787" s="3"/>
      <c r="F787" s="6">
        <f>100*SUM(AM787:AO787)/AL787</f>
      </c>
      <c r="G787" s="6">
        <f>100*SUM(AP787)/AL787</f>
      </c>
      <c r="H787" s="6">
        <f>100*SUM(AQ787)/AL787</f>
      </c>
      <c r="I787" s="6">
        <f>100*SUM(AR787:BC787)/AL787</f>
      </c>
      <c r="J787" s="3"/>
      <c r="K787" s="6">
        <v>0.76</v>
      </c>
      <c r="L787" s="6"/>
      <c r="M787" s="6">
        <v>1.33</v>
      </c>
      <c r="N787" s="5"/>
      <c r="O787" s="6">
        <v>1.76</v>
      </c>
      <c r="P787" s="6"/>
      <c r="Q787" s="7"/>
      <c r="R787" s="6"/>
      <c r="S787" s="6">
        <v>0.14</v>
      </c>
      <c r="T787" s="6"/>
      <c r="U787" s="5"/>
      <c r="V787" s="6"/>
      <c r="W787" s="6"/>
      <c r="X787" s="6"/>
      <c r="Y787" s="15"/>
      <c r="Z787" s="6"/>
      <c r="AA787" s="6"/>
      <c r="AB787" s="5"/>
      <c r="AC787" s="3"/>
      <c r="AD787" s="6">
        <v>0</v>
      </c>
      <c r="AE787" s="6">
        <v>0.010108</v>
      </c>
      <c r="AF787" s="7">
        <v>0</v>
      </c>
      <c r="AG787" s="6">
        <v>0.013376</v>
      </c>
      <c r="AH787" s="7">
        <v>0</v>
      </c>
      <c r="AI787" s="15">
        <v>0.023484</v>
      </c>
      <c r="AJ787" s="6">
        <v>3.09</v>
      </c>
      <c r="AK787" s="3"/>
      <c r="AL787" s="6">
        <v>194.31454630000002</v>
      </c>
      <c r="AM787" s="6">
        <v>0</v>
      </c>
      <c r="AN787" s="6">
        <v>28.881362300000003</v>
      </c>
      <c r="AO787" s="6">
        <v>0</v>
      </c>
      <c r="AP787" s="6">
        <v>122.22302400000001</v>
      </c>
      <c r="AQ787" s="6">
        <v>0</v>
      </c>
      <c r="AR787" s="6">
        <v>0</v>
      </c>
      <c r="AS787" s="6">
        <v>0</v>
      </c>
      <c r="AT787" s="6">
        <v>43.21016</v>
      </c>
      <c r="AU787" s="6">
        <v>0</v>
      </c>
      <c r="AV787" s="6">
        <v>0</v>
      </c>
      <c r="AW787" s="6">
        <v>0</v>
      </c>
      <c r="AX787" s="6">
        <v>0</v>
      </c>
      <c r="AY787" s="6">
        <v>0</v>
      </c>
      <c r="AZ787" s="6">
        <v>0</v>
      </c>
      <c r="BA787" s="6">
        <v>0</v>
      </c>
      <c r="BB787" s="6">
        <v>0</v>
      </c>
      <c r="BC787" s="6"/>
      <c r="BD787" s="3"/>
      <c r="BE787" s="3"/>
      <c r="BF787" s="7">
        <v>147.679055188</v>
      </c>
    </row>
    <row x14ac:dyDescent="0.25" r="788" customHeight="1" ht="12.75">
      <c r="A788" s="5" t="s">
        <v>44</v>
      </c>
      <c r="B788" s="3" t="s">
        <v>855</v>
      </c>
      <c r="C788" s="3" t="s">
        <v>870</v>
      </c>
      <c r="D788" s="3" t="s">
        <v>1028</v>
      </c>
      <c r="E788" s="3"/>
      <c r="F788" s="6">
        <f>100*SUM(AM788:AO788)/AL788</f>
      </c>
      <c r="G788" s="6">
        <f>100*SUM(AP788)/AL788</f>
      </c>
      <c r="H788" s="6">
        <f>100*SUM(AQ788)/AL788</f>
      </c>
      <c r="I788" s="6">
        <f>100*SUM(AR788:BC788)/AL788</f>
      </c>
      <c r="J788" s="3"/>
      <c r="K788" s="6">
        <v>0.23</v>
      </c>
      <c r="L788" s="6"/>
      <c r="M788" s="6">
        <v>3.6</v>
      </c>
      <c r="N788" s="5">
        <v>56</v>
      </c>
      <c r="O788" s="6">
        <v>7.3</v>
      </c>
      <c r="P788" s="6">
        <v>3.6</v>
      </c>
      <c r="Q788" s="7"/>
      <c r="R788" s="6"/>
      <c r="S788" s="6"/>
      <c r="T788" s="6"/>
      <c r="U788" s="5"/>
      <c r="V788" s="6"/>
      <c r="W788" s="6"/>
      <c r="X788" s="6"/>
      <c r="Y788" s="15"/>
      <c r="Z788" s="6"/>
      <c r="AA788" s="6"/>
      <c r="AB788" s="5"/>
      <c r="AC788" s="3"/>
      <c r="AD788" s="6">
        <v>0</v>
      </c>
      <c r="AE788" s="6">
        <v>0.008280000000000001</v>
      </c>
      <c r="AF788" s="7">
        <v>12.88</v>
      </c>
      <c r="AG788" s="6">
        <v>0.01679</v>
      </c>
      <c r="AH788" s="7">
        <v>0.8280000000000001</v>
      </c>
      <c r="AI788" s="15">
        <v>0.025070000000000002</v>
      </c>
      <c r="AJ788" s="6">
        <v>10.9</v>
      </c>
      <c r="AK788" s="3"/>
      <c r="AL788" s="6">
        <v>766.3987702443728</v>
      </c>
      <c r="AM788" s="6">
        <v>0</v>
      </c>
      <c r="AN788" s="6">
        <v>78.175116</v>
      </c>
      <c r="AO788" s="6">
        <v>34.26623794212219</v>
      </c>
      <c r="AP788" s="6">
        <v>506.94776999999993</v>
      </c>
      <c r="AQ788" s="6">
        <v>147.00964630225081</v>
      </c>
      <c r="AR788" s="6">
        <v>0</v>
      </c>
      <c r="AS788" s="6">
        <v>0</v>
      </c>
      <c r="AT788" s="6">
        <v>0</v>
      </c>
      <c r="AU788" s="6">
        <v>0</v>
      </c>
      <c r="AV788" s="6">
        <v>0</v>
      </c>
      <c r="AW788" s="6">
        <v>0</v>
      </c>
      <c r="AX788" s="6">
        <v>0</v>
      </c>
      <c r="AY788" s="6">
        <v>0</v>
      </c>
      <c r="AZ788" s="6">
        <v>0</v>
      </c>
      <c r="BA788" s="6">
        <v>0</v>
      </c>
      <c r="BB788" s="6">
        <v>0</v>
      </c>
      <c r="BC788" s="6"/>
      <c r="BD788" s="3"/>
      <c r="BE788" s="3"/>
      <c r="BF788" s="7">
        <v>176.27171715620577</v>
      </c>
    </row>
    <row x14ac:dyDescent="0.25" r="789" customHeight="1" ht="12.75">
      <c r="A789" s="5" t="s">
        <v>488</v>
      </c>
      <c r="B789" s="3" t="s">
        <v>855</v>
      </c>
      <c r="C789" s="3" t="s">
        <v>870</v>
      </c>
      <c r="D789" s="3"/>
      <c r="E789" s="3"/>
      <c r="F789" s="6">
        <f>100*SUM(AM789:AO789)/AL789</f>
      </c>
      <c r="G789" s="6">
        <f>100*SUM(AP789)/AL789</f>
      </c>
      <c r="H789" s="6">
        <f>100*SUM(AQ789)/AL789</f>
      </c>
      <c r="I789" s="6">
        <f>100*SUM(AR789:BC789)/AL789</f>
      </c>
      <c r="J789" s="3"/>
      <c r="K789" s="6">
        <v>3.9929999999999994</v>
      </c>
      <c r="L789" s="6"/>
      <c r="M789" s="6">
        <v>0.9946280991735538</v>
      </c>
      <c r="N789" s="31">
        <v>26.636614074630604</v>
      </c>
      <c r="O789" s="6">
        <v>2.423979464062109</v>
      </c>
      <c r="P789" s="6">
        <v>1.6452767342849992</v>
      </c>
      <c r="Q789" s="7"/>
      <c r="R789" s="6"/>
      <c r="S789" s="6"/>
      <c r="T789" s="6"/>
      <c r="U789" s="5"/>
      <c r="V789" s="6"/>
      <c r="W789" s="6"/>
      <c r="X789" s="6"/>
      <c r="Y789" s="15"/>
      <c r="Z789" s="6"/>
      <c r="AA789" s="6"/>
      <c r="AB789" s="5"/>
      <c r="AC789" s="3"/>
      <c r="AD789" s="6">
        <v>0</v>
      </c>
      <c r="AE789" s="6">
        <v>0.039715499999999994</v>
      </c>
      <c r="AF789" s="7">
        <v>106.35999999999999</v>
      </c>
      <c r="AG789" s="6">
        <v>0.09678949999999999</v>
      </c>
      <c r="AH789" s="7">
        <v>6.569590000000001</v>
      </c>
      <c r="AI789" s="15">
        <v>0.136505</v>
      </c>
      <c r="AJ789" s="6">
        <v>3.4186075632356627</v>
      </c>
      <c r="AK789" s="3"/>
      <c r="AL789" s="6">
        <v>273.41707794330637</v>
      </c>
      <c r="AM789" s="6">
        <v>0</v>
      </c>
      <c r="AN789" s="6">
        <v>21.598657508264463</v>
      </c>
      <c r="AO789" s="6">
        <v>16.298867068817376</v>
      </c>
      <c r="AP789" s="6">
        <v>168.33301148384675</v>
      </c>
      <c r="AQ789" s="6">
        <v>67.18654188237778</v>
      </c>
      <c r="AR789" s="6">
        <v>0</v>
      </c>
      <c r="AS789" s="6">
        <v>0</v>
      </c>
      <c r="AT789" s="6">
        <v>0</v>
      </c>
      <c r="AU789" s="6">
        <v>0</v>
      </c>
      <c r="AV789" s="6">
        <v>0</v>
      </c>
      <c r="AW789" s="6">
        <v>0</v>
      </c>
      <c r="AX789" s="6">
        <v>0</v>
      </c>
      <c r="AY789" s="6">
        <v>0</v>
      </c>
      <c r="AZ789" s="6">
        <v>0</v>
      </c>
      <c r="BA789" s="6">
        <v>0</v>
      </c>
      <c r="BB789" s="6">
        <v>0</v>
      </c>
      <c r="BC789" s="6"/>
      <c r="BD789" s="3"/>
      <c r="BE789" s="3"/>
      <c r="BF789" s="7">
        <v>1091.7543922276222</v>
      </c>
    </row>
    <row x14ac:dyDescent="0.25" r="790" customHeight="1" ht="12.75">
      <c r="A790" s="5" t="s">
        <v>815</v>
      </c>
      <c r="B790" s="3" t="s">
        <v>855</v>
      </c>
      <c r="C790" s="3" t="s">
        <v>870</v>
      </c>
      <c r="D790" s="3"/>
      <c r="E790" s="3"/>
      <c r="F790" s="6">
        <f>100*SUM(AM790:AO790)/AL790</f>
      </c>
      <c r="G790" s="6">
        <f>100*SUM(AP790)/AL790</f>
      </c>
      <c r="H790" s="6">
        <f>100*SUM(AQ790)/AL790</f>
      </c>
      <c r="I790" s="6">
        <f>100*SUM(AR790:BC790)/AL790</f>
      </c>
      <c r="J790" s="3"/>
      <c r="K790" s="6">
        <v>3.4</v>
      </c>
      <c r="L790" s="6"/>
      <c r="M790" s="6">
        <v>0.63</v>
      </c>
      <c r="N790" s="5"/>
      <c r="O790" s="6">
        <v>0.71</v>
      </c>
      <c r="P790" s="6"/>
      <c r="Q790" s="7"/>
      <c r="R790" s="6">
        <v>0.05</v>
      </c>
      <c r="S790" s="6">
        <v>0.09</v>
      </c>
      <c r="T790" s="6"/>
      <c r="U790" s="5"/>
      <c r="V790" s="6"/>
      <c r="W790" s="6"/>
      <c r="X790" s="6"/>
      <c r="Y790" s="15"/>
      <c r="Z790" s="6"/>
      <c r="AA790" s="6"/>
      <c r="AB790" s="5"/>
      <c r="AC790" s="3"/>
      <c r="AD790" s="6">
        <v>0</v>
      </c>
      <c r="AE790" s="6">
        <v>0.021419999999999998</v>
      </c>
      <c r="AF790" s="7">
        <v>0</v>
      </c>
      <c r="AG790" s="6">
        <v>0.024139999999999998</v>
      </c>
      <c r="AH790" s="7">
        <v>0</v>
      </c>
      <c r="AI790" s="15">
        <v>0.045559999999999996</v>
      </c>
      <c r="AJ790" s="6">
        <v>1.3399999999999999</v>
      </c>
      <c r="AK790" s="3"/>
      <c r="AL790" s="6">
        <v>99.19598429999999</v>
      </c>
      <c r="AM790" s="6">
        <v>0</v>
      </c>
      <c r="AN790" s="6">
        <v>13.6806453</v>
      </c>
      <c r="AO790" s="6">
        <v>0</v>
      </c>
      <c r="AP790" s="6">
        <v>49.305879</v>
      </c>
      <c r="AQ790" s="6">
        <v>0</v>
      </c>
      <c r="AR790" s="6">
        <v>0</v>
      </c>
      <c r="AS790" s="6">
        <v>8.4315</v>
      </c>
      <c r="AT790" s="6">
        <v>27.777959999999997</v>
      </c>
      <c r="AU790" s="6">
        <v>0</v>
      </c>
      <c r="AV790" s="6">
        <v>0</v>
      </c>
      <c r="AW790" s="6">
        <v>0</v>
      </c>
      <c r="AX790" s="6">
        <v>0</v>
      </c>
      <c r="AY790" s="6">
        <v>0</v>
      </c>
      <c r="AZ790" s="6">
        <v>0</v>
      </c>
      <c r="BA790" s="6">
        <v>0</v>
      </c>
      <c r="BB790" s="6">
        <v>0</v>
      </c>
      <c r="BC790" s="6"/>
      <c r="BD790" s="3"/>
      <c r="BE790" s="3"/>
      <c r="BF790" s="7">
        <v>337.26634662</v>
      </c>
    </row>
    <row x14ac:dyDescent="0.25" r="791" customHeight="1" ht="12.75">
      <c r="A791" s="5" t="s">
        <v>851</v>
      </c>
      <c r="B791" s="3" t="s">
        <v>855</v>
      </c>
      <c r="C791" s="3" t="s">
        <v>870</v>
      </c>
      <c r="D791" s="3"/>
      <c r="E791" s="3"/>
      <c r="F791" s="6">
        <f>100*SUM(AM791:AO791)/AL791</f>
      </c>
      <c r="G791" s="6">
        <f>100*SUM(AP791)/AL791</f>
      </c>
      <c r="H791" s="6">
        <f>100*SUM(AQ791)/AL791</f>
      </c>
      <c r="I791" s="6">
        <f>100*SUM(AR791:BC791)/AL791</f>
      </c>
      <c r="J791" s="3"/>
      <c r="K791" s="6">
        <v>0.56</v>
      </c>
      <c r="L791" s="6"/>
      <c r="M791" s="7">
        <v>0.12857142857142856</v>
      </c>
      <c r="N791" s="31">
        <v>9.571428571428571</v>
      </c>
      <c r="O791" s="7">
        <v>0.6142857142857142</v>
      </c>
      <c r="P791" s="7">
        <v>0.3642857142857142</v>
      </c>
      <c r="Q791" s="7"/>
      <c r="R791" s="6"/>
      <c r="S791" s="6"/>
      <c r="T791" s="6"/>
      <c r="U791" s="5"/>
      <c r="V791" s="6"/>
      <c r="W791" s="6"/>
      <c r="X791" s="6"/>
      <c r="Y791" s="15"/>
      <c r="Z791" s="6"/>
      <c r="AA791" s="6"/>
      <c r="AB791" s="5"/>
      <c r="AC791" s="3"/>
      <c r="AD791" s="6">
        <v>0</v>
      </c>
      <c r="AE791" s="6">
        <v>0.0007199999999999999</v>
      </c>
      <c r="AF791" s="7">
        <v>5.36</v>
      </c>
      <c r="AG791" s="6">
        <v>0.00344</v>
      </c>
      <c r="AH791" s="7">
        <v>0.204</v>
      </c>
      <c r="AI791" s="15">
        <v>0.00416</v>
      </c>
      <c r="AJ791" s="6">
        <v>0.7428571428571428</v>
      </c>
      <c r="AK791" s="3"/>
      <c r="AL791" s="6">
        <v>66.1836839866789</v>
      </c>
      <c r="AM791" s="6">
        <v>0</v>
      </c>
      <c r="AN791" s="6">
        <v>2.7919684285714284</v>
      </c>
      <c r="AO791" s="6">
        <v>5.856729444189252</v>
      </c>
      <c r="AP791" s="6">
        <v>42.65900999999999</v>
      </c>
      <c r="AQ791" s="6">
        <v>14.875976113918234</v>
      </c>
      <c r="AR791" s="6">
        <v>0</v>
      </c>
      <c r="AS791" s="6">
        <v>0</v>
      </c>
      <c r="AT791" s="6">
        <v>0</v>
      </c>
      <c r="AU791" s="6">
        <v>0</v>
      </c>
      <c r="AV791" s="6">
        <v>0</v>
      </c>
      <c r="AW791" s="6">
        <v>0</v>
      </c>
      <c r="AX791" s="6">
        <v>0</v>
      </c>
      <c r="AY791" s="6">
        <v>0</v>
      </c>
      <c r="AZ791" s="6">
        <v>0</v>
      </c>
      <c r="BA791" s="6">
        <v>0</v>
      </c>
      <c r="BB791" s="6">
        <v>0</v>
      </c>
      <c r="BC791" s="6"/>
      <c r="BD791" s="3"/>
      <c r="BE791" s="3"/>
      <c r="BF791" s="7">
        <v>37.062863032540186</v>
      </c>
    </row>
    <row x14ac:dyDescent="0.25" r="792" customHeight="1" ht="12.75">
      <c r="A792" s="5" t="s">
        <v>285</v>
      </c>
      <c r="B792" s="3" t="s">
        <v>855</v>
      </c>
      <c r="C792" s="3" t="s">
        <v>870</v>
      </c>
      <c r="D792" s="3" t="s">
        <v>1029</v>
      </c>
      <c r="E792" s="3"/>
      <c r="F792" s="6">
        <f>100*SUM(AM792:AO792)/AL792</f>
      </c>
      <c r="G792" s="6">
        <f>100*SUM(AP792)/AL792</f>
      </c>
      <c r="H792" s="6">
        <f>100*SUM(AQ792)/AL792</f>
      </c>
      <c r="I792" s="6">
        <f>100*SUM(AR792:BC792)/AL792</f>
      </c>
      <c r="J792" s="3"/>
      <c r="K792" s="6">
        <v>22.88</v>
      </c>
      <c r="L792" s="6"/>
      <c r="M792" s="6">
        <v>1.67</v>
      </c>
      <c r="N792" s="5"/>
      <c r="O792" s="6">
        <v>3.5</v>
      </c>
      <c r="P792" s="6"/>
      <c r="Q792" s="7"/>
      <c r="R792" s="6"/>
      <c r="S792" s="6"/>
      <c r="T792" s="6"/>
      <c r="U792" s="5"/>
      <c r="V792" s="6"/>
      <c r="W792" s="6"/>
      <c r="X792" s="6"/>
      <c r="Y792" s="15"/>
      <c r="Z792" s="6"/>
      <c r="AA792" s="6"/>
      <c r="AB792" s="5"/>
      <c r="AC792" s="3"/>
      <c r="AD792" s="6">
        <v>0</v>
      </c>
      <c r="AE792" s="6">
        <v>0.38209599999999994</v>
      </c>
      <c r="AF792" s="7">
        <v>0</v>
      </c>
      <c r="AG792" s="6">
        <v>0.8008</v>
      </c>
      <c r="AH792" s="7">
        <v>0</v>
      </c>
      <c r="AI792" s="15">
        <v>1.182896</v>
      </c>
      <c r="AJ792" s="6">
        <v>5.17</v>
      </c>
      <c r="AK792" s="3"/>
      <c r="AL792" s="6">
        <v>279.3217177</v>
      </c>
      <c r="AM792" s="6">
        <v>0</v>
      </c>
      <c r="AN792" s="6">
        <v>36.2645677</v>
      </c>
      <c r="AO792" s="6">
        <v>0</v>
      </c>
      <c r="AP792" s="6">
        <v>243.05715</v>
      </c>
      <c r="AQ792" s="6">
        <v>0</v>
      </c>
      <c r="AR792" s="6">
        <v>0</v>
      </c>
      <c r="AS792" s="6">
        <v>0</v>
      </c>
      <c r="AT792" s="6">
        <v>0</v>
      </c>
      <c r="AU792" s="6">
        <v>0</v>
      </c>
      <c r="AV792" s="6">
        <v>0</v>
      </c>
      <c r="AW792" s="6">
        <v>0</v>
      </c>
      <c r="AX792" s="6">
        <v>0</v>
      </c>
      <c r="AY792" s="6">
        <v>0</v>
      </c>
      <c r="AZ792" s="6">
        <v>0</v>
      </c>
      <c r="BA792" s="6">
        <v>0</v>
      </c>
      <c r="BB792" s="6">
        <v>0</v>
      </c>
      <c r="BC792" s="6"/>
      <c r="BD792" s="3"/>
      <c r="BE792" s="3"/>
      <c r="BF792" s="7">
        <v>6390.880900976</v>
      </c>
    </row>
    <row x14ac:dyDescent="0.25" r="793" customHeight="1" ht="12.75">
      <c r="A793" s="5" t="s">
        <v>208</v>
      </c>
      <c r="B793" s="3" t="s">
        <v>855</v>
      </c>
      <c r="C793" s="3" t="s">
        <v>870</v>
      </c>
      <c r="D793" s="3"/>
      <c r="E793" s="3"/>
      <c r="F793" s="6">
        <f>100*SUM(AM793:AO793)/AL793</f>
      </c>
      <c r="G793" s="6">
        <f>100*SUM(AP793)/AL793</f>
      </c>
      <c r="H793" s="6">
        <f>100*SUM(AQ793)/AL793</f>
      </c>
      <c r="I793" s="6">
        <f>100*SUM(AR793:BC793)/AL793</f>
      </c>
      <c r="J793" s="3"/>
      <c r="K793" s="6">
        <v>38.905</v>
      </c>
      <c r="L793" s="6">
        <v>0.05573705179282868</v>
      </c>
      <c r="M793" s="6">
        <v>0.7385690785246113</v>
      </c>
      <c r="N793" s="7">
        <v>19.678379899755818</v>
      </c>
      <c r="O793" s="6">
        <v>0.24549261020434393</v>
      </c>
      <c r="P793" s="6">
        <v>4.580052435419612</v>
      </c>
      <c r="Q793" s="7"/>
      <c r="R793" s="6"/>
      <c r="S793" s="6"/>
      <c r="T793" s="6"/>
      <c r="U793" s="5"/>
      <c r="V793" s="6"/>
      <c r="W793" s="6"/>
      <c r="X793" s="6"/>
      <c r="Y793" s="15"/>
      <c r="Z793" s="6"/>
      <c r="AA793" s="6"/>
      <c r="AB793" s="5"/>
      <c r="AC793" s="3"/>
      <c r="AD793" s="6">
        <v>0.0216845</v>
      </c>
      <c r="AE793" s="6">
        <v>0.28734030000000005</v>
      </c>
      <c r="AF793" s="7">
        <v>765.5873700000001</v>
      </c>
      <c r="AG793" s="6">
        <v>0.09550890000000001</v>
      </c>
      <c r="AH793" s="7">
        <v>178.18694</v>
      </c>
      <c r="AI793" s="15">
        <v>0.40453370000000005</v>
      </c>
      <c r="AJ793" s="6">
        <v>1.039798740521784</v>
      </c>
      <c r="AK793" s="3"/>
      <c r="AL793" s="6">
        <v>233.21544011444774</v>
      </c>
      <c r="AM793" s="6">
        <v>1.0567499776892428</v>
      </c>
      <c r="AN793" s="6">
        <v>16.038256496576277</v>
      </c>
      <c r="AO793" s="6">
        <v>12.04114371358049</v>
      </c>
      <c r="AP793" s="6">
        <v>17.048209766379642</v>
      </c>
      <c r="AQ793" s="6">
        <v>187.03108016022207</v>
      </c>
      <c r="AR793" s="6">
        <v>0</v>
      </c>
      <c r="AS793" s="6">
        <v>0</v>
      </c>
      <c r="AT793" s="6">
        <v>0</v>
      </c>
      <c r="AU793" s="6">
        <v>0</v>
      </c>
      <c r="AV793" s="6">
        <v>0</v>
      </c>
      <c r="AW793" s="6">
        <v>0</v>
      </c>
      <c r="AX793" s="6">
        <v>0</v>
      </c>
      <c r="AY793" s="6">
        <v>0</v>
      </c>
      <c r="AZ793" s="6">
        <v>0</v>
      </c>
      <c r="BA793" s="6">
        <v>0</v>
      </c>
      <c r="BB793" s="6">
        <v>0</v>
      </c>
      <c r="BC793" s="6"/>
      <c r="BD793" s="3"/>
      <c r="BE793" s="3"/>
      <c r="BF793" s="7">
        <v>9073.24669765259</v>
      </c>
    </row>
    <row x14ac:dyDescent="0.25" r="794" customHeight="1" ht="12.75">
      <c r="A794" s="5" t="s">
        <v>309</v>
      </c>
      <c r="B794" s="3" t="s">
        <v>855</v>
      </c>
      <c r="C794" s="3" t="s">
        <v>870</v>
      </c>
      <c r="D794" s="3"/>
      <c r="E794" s="3"/>
      <c r="F794" s="6">
        <f>100*SUM(AM794:AO794)/AL794</f>
      </c>
      <c r="G794" s="6">
        <f>100*SUM(AP794)/AL794</f>
      </c>
      <c r="H794" s="6">
        <f>100*SUM(AQ794)/AL794</f>
      </c>
      <c r="I794" s="6">
        <f>100*SUM(AR794:BC794)/AL794</f>
      </c>
      <c r="J794" s="3"/>
      <c r="K794" s="6">
        <v>35.2</v>
      </c>
      <c r="L794" s="6"/>
      <c r="M794" s="6">
        <v>0.8512755681818182</v>
      </c>
      <c r="N794" s="5"/>
      <c r="O794" s="6">
        <v>2.0331846590909084</v>
      </c>
      <c r="P794" s="6"/>
      <c r="Q794" s="7"/>
      <c r="R794" s="6"/>
      <c r="S794" s="6"/>
      <c r="T794" s="6"/>
      <c r="U794" s="5"/>
      <c r="V794" s="6"/>
      <c r="W794" s="6"/>
      <c r="X794" s="6"/>
      <c r="Y794" s="15"/>
      <c r="Z794" s="6"/>
      <c r="AA794" s="6"/>
      <c r="AB794" s="5"/>
      <c r="AC794" s="3"/>
      <c r="AD794" s="6">
        <v>0</v>
      </c>
      <c r="AE794" s="6">
        <v>0.299649</v>
      </c>
      <c r="AF794" s="7">
        <v>0</v>
      </c>
      <c r="AG794" s="6">
        <v>0.7156809999999999</v>
      </c>
      <c r="AH794" s="7">
        <v>0</v>
      </c>
      <c r="AI794" s="15">
        <v>1.0153299999999998</v>
      </c>
      <c r="AJ794" s="6">
        <v>2.8844602272727267</v>
      </c>
      <c r="AK794" s="3"/>
      <c r="AL794" s="6">
        <v>159.6800181905965</v>
      </c>
      <c r="AM794" s="6">
        <v>0</v>
      </c>
      <c r="AN794" s="6">
        <v>18.485712858494317</v>
      </c>
      <c r="AO794" s="6">
        <v>0</v>
      </c>
      <c r="AP794" s="6">
        <v>141.1943053321022</v>
      </c>
      <c r="AQ794" s="6">
        <v>0</v>
      </c>
      <c r="AR794" s="6">
        <v>0</v>
      </c>
      <c r="AS794" s="6">
        <v>0</v>
      </c>
      <c r="AT794" s="6">
        <v>0</v>
      </c>
      <c r="AU794" s="6">
        <v>0</v>
      </c>
      <c r="AV794" s="6">
        <v>0</v>
      </c>
      <c r="AW794" s="6">
        <v>0</v>
      </c>
      <c r="AX794" s="6">
        <v>0</v>
      </c>
      <c r="AY794" s="6">
        <v>0</v>
      </c>
      <c r="AZ794" s="6">
        <v>0</v>
      </c>
      <c r="BA794" s="6">
        <v>0</v>
      </c>
      <c r="BB794" s="6">
        <v>0</v>
      </c>
      <c r="BC794" s="6"/>
      <c r="BD794" s="3"/>
      <c r="BE794" s="3"/>
      <c r="BF794" s="7">
        <v>5620.736640308997</v>
      </c>
    </row>
    <row x14ac:dyDescent="0.25" r="795" customHeight="1" ht="12.75">
      <c r="A795" s="5" t="s">
        <v>786</v>
      </c>
      <c r="B795" s="3" t="s">
        <v>855</v>
      </c>
      <c r="C795" s="3" t="s">
        <v>870</v>
      </c>
      <c r="D795" s="3"/>
      <c r="E795" s="3"/>
      <c r="F795" s="6">
        <f>100*SUM(AM795:AO795)/AL795</f>
      </c>
      <c r="G795" s="6">
        <f>100*SUM(AP795)/AL795</f>
      </c>
      <c r="H795" s="6">
        <f>100*SUM(AQ795)/AL795</f>
      </c>
      <c r="I795" s="6">
        <f>100*SUM(AR795:BC795)/AL795</f>
      </c>
      <c r="J795" s="3"/>
      <c r="K795" s="6">
        <v>5.75</v>
      </c>
      <c r="L795" s="6"/>
      <c r="M795" s="6">
        <v>0.34747826086956524</v>
      </c>
      <c r="N795" s="6">
        <v>2.3021043478260865</v>
      </c>
      <c r="O795" s="6">
        <v>1.0313043478260868</v>
      </c>
      <c r="P795" s="6">
        <v>0.050504347826086954</v>
      </c>
      <c r="Q795" s="7"/>
      <c r="R795" s="6"/>
      <c r="S795" s="6"/>
      <c r="T795" s="6"/>
      <c r="U795" s="5"/>
      <c r="V795" s="6"/>
      <c r="W795" s="6"/>
      <c r="X795" s="6"/>
      <c r="Y795" s="15"/>
      <c r="Z795" s="6"/>
      <c r="AA795" s="6"/>
      <c r="AB795" s="5"/>
      <c r="AC795" s="3"/>
      <c r="AD795" s="6">
        <v>0</v>
      </c>
      <c r="AE795" s="6">
        <v>0.01998</v>
      </c>
      <c r="AF795" s="7">
        <v>13.237099999999998</v>
      </c>
      <c r="AG795" s="6">
        <v>0.05929999999999999</v>
      </c>
      <c r="AH795" s="7">
        <v>0.2904</v>
      </c>
      <c r="AI795" s="15">
        <v>0.07927999999999999</v>
      </c>
      <c r="AJ795" s="6">
        <v>1.378782608695652</v>
      </c>
      <c r="AK795" s="3"/>
      <c r="AL795" s="6">
        <v>82.63547264318746</v>
      </c>
      <c r="AM795" s="6">
        <v>0</v>
      </c>
      <c r="AN795" s="6">
        <v>7.545598153043479</v>
      </c>
      <c r="AO795" s="6">
        <v>1.4086509883964768</v>
      </c>
      <c r="AP795" s="6">
        <v>71.6188273043478</v>
      </c>
      <c r="AQ795" s="6">
        <v>2.0623961973996923</v>
      </c>
      <c r="AR795" s="6">
        <v>0</v>
      </c>
      <c r="AS795" s="6">
        <v>0</v>
      </c>
      <c r="AT795" s="6">
        <v>0</v>
      </c>
      <c r="AU795" s="6">
        <v>0</v>
      </c>
      <c r="AV795" s="6">
        <v>0</v>
      </c>
      <c r="AW795" s="6">
        <v>0</v>
      </c>
      <c r="AX795" s="6">
        <v>0</v>
      </c>
      <c r="AY795" s="6">
        <v>0</v>
      </c>
      <c r="AZ795" s="6">
        <v>0</v>
      </c>
      <c r="BA795" s="6">
        <v>0</v>
      </c>
      <c r="BB795" s="6">
        <v>0</v>
      </c>
      <c r="BC795" s="6"/>
      <c r="BD795" s="3"/>
      <c r="BE795" s="3"/>
      <c r="BF795" s="7">
        <v>475.15396769832785</v>
      </c>
    </row>
    <row x14ac:dyDescent="0.25" r="796" customHeight="1" ht="12.75">
      <c r="A796" s="5" t="s">
        <v>136</v>
      </c>
      <c r="B796" s="3" t="s">
        <v>855</v>
      </c>
      <c r="C796" s="3" t="s">
        <v>870</v>
      </c>
      <c r="D796" s="3"/>
      <c r="E796" s="3"/>
      <c r="F796" s="6">
        <f>100*SUM(AM796:AO796)/AL796</f>
      </c>
      <c r="G796" s="6">
        <f>100*SUM(AP796)/AL796</f>
      </c>
      <c r="H796" s="6">
        <f>100*SUM(AQ796)/AL796</f>
      </c>
      <c r="I796" s="6">
        <f>100*SUM(AR796:BC796)/AL796</f>
      </c>
      <c r="J796" s="3"/>
      <c r="K796" s="6">
        <v>117.06</v>
      </c>
      <c r="L796" s="6"/>
      <c r="M796" s="6">
        <v>0.6655091406116522</v>
      </c>
      <c r="N796" s="5"/>
      <c r="O796" s="6">
        <v>1.1168981718776696</v>
      </c>
      <c r="P796" s="6">
        <v>1.2141670937980524</v>
      </c>
      <c r="Q796" s="7"/>
      <c r="R796" s="6"/>
      <c r="S796" s="6"/>
      <c r="T796" s="6"/>
      <c r="U796" s="5"/>
      <c r="V796" s="6"/>
      <c r="W796" s="6"/>
      <c r="X796" s="6"/>
      <c r="Y796" s="15"/>
      <c r="Z796" s="6"/>
      <c r="AA796" s="6"/>
      <c r="AB796" s="5"/>
      <c r="AC796" s="3"/>
      <c r="AD796" s="6">
        <v>0</v>
      </c>
      <c r="AE796" s="6">
        <v>0.7790450000000001</v>
      </c>
      <c r="AF796" s="7">
        <v>0</v>
      </c>
      <c r="AG796" s="6">
        <v>1.307441</v>
      </c>
      <c r="AH796" s="7">
        <v>142.1304</v>
      </c>
      <c r="AI796" s="15">
        <v>2.0864860000000003</v>
      </c>
      <c r="AJ796" s="6">
        <v>1.7824073124893218</v>
      </c>
      <c r="AK796" s="3"/>
      <c r="AL796" s="6">
        <v>141.5963622110775</v>
      </c>
      <c r="AM796" s="6">
        <v>0</v>
      </c>
      <c r="AN796" s="6">
        <v>14.451737296215617</v>
      </c>
      <c r="AO796" s="6">
        <v>0</v>
      </c>
      <c r="AP796" s="6">
        <v>77.56288185622758</v>
      </c>
      <c r="AQ796" s="6">
        <v>49.581743058634295</v>
      </c>
      <c r="AR796" s="6">
        <v>0</v>
      </c>
      <c r="AS796" s="6">
        <v>0</v>
      </c>
      <c r="AT796" s="6">
        <v>0</v>
      </c>
      <c r="AU796" s="6">
        <v>0</v>
      </c>
      <c r="AV796" s="6">
        <v>0</v>
      </c>
      <c r="AW796" s="6">
        <v>0</v>
      </c>
      <c r="AX796" s="6">
        <v>0</v>
      </c>
      <c r="AY796" s="6">
        <v>0</v>
      </c>
      <c r="AZ796" s="6">
        <v>0</v>
      </c>
      <c r="BA796" s="6">
        <v>0</v>
      </c>
      <c r="BB796" s="6">
        <v>0</v>
      </c>
      <c r="BC796" s="6"/>
      <c r="BD796" s="3"/>
      <c r="BE796" s="3"/>
      <c r="BF796" s="7">
        <v>16575.270160428732</v>
      </c>
    </row>
    <row x14ac:dyDescent="0.25" r="797" customHeight="1" ht="12.75">
      <c r="A797" s="5" t="s">
        <v>556</v>
      </c>
      <c r="B797" s="3" t="s">
        <v>855</v>
      </c>
      <c r="C797" s="3" t="s">
        <v>870</v>
      </c>
      <c r="D797" s="3"/>
      <c r="E797" s="3"/>
      <c r="F797" s="6">
        <f>100*SUM(AM797:AO797)/AL797</f>
      </c>
      <c r="G797" s="6">
        <f>100*SUM(AP797)/AL797</f>
      </c>
      <c r="H797" s="6">
        <f>100*SUM(AQ797)/AL797</f>
      </c>
      <c r="I797" s="6">
        <f>100*SUM(AR797:BC797)/AL797</f>
      </c>
      <c r="J797" s="3"/>
      <c r="K797" s="6">
        <v>20.6</v>
      </c>
      <c r="L797" s="6"/>
      <c r="M797" s="6">
        <v>0.4</v>
      </c>
      <c r="N797" s="5"/>
      <c r="O797" s="6">
        <v>1.16</v>
      </c>
      <c r="P797" s="6"/>
      <c r="Q797" s="7"/>
      <c r="R797" s="6"/>
      <c r="S797" s="6">
        <v>0.07</v>
      </c>
      <c r="T797" s="6"/>
      <c r="U797" s="5"/>
      <c r="V797" s="6"/>
      <c r="W797" s="6"/>
      <c r="X797" s="6"/>
      <c r="Y797" s="15"/>
      <c r="Z797" s="6"/>
      <c r="AA797" s="6"/>
      <c r="AB797" s="5"/>
      <c r="AC797" s="3"/>
      <c r="AD797" s="6">
        <v>0</v>
      </c>
      <c r="AE797" s="6">
        <v>0.0824</v>
      </c>
      <c r="AF797" s="7">
        <v>0</v>
      </c>
      <c r="AG797" s="6">
        <v>0.23896</v>
      </c>
      <c r="AH797" s="7">
        <v>0</v>
      </c>
      <c r="AI797" s="15">
        <v>0.32136</v>
      </c>
      <c r="AJ797" s="6">
        <v>1.56</v>
      </c>
      <c r="AK797" s="3"/>
      <c r="AL797" s="6">
        <v>110.847288</v>
      </c>
      <c r="AM797" s="6">
        <v>0</v>
      </c>
      <c r="AN797" s="6">
        <v>8.686124</v>
      </c>
      <c r="AO797" s="6">
        <v>0</v>
      </c>
      <c r="AP797" s="6">
        <v>80.556084</v>
      </c>
      <c r="AQ797" s="6">
        <v>0</v>
      </c>
      <c r="AR797" s="6">
        <v>0</v>
      </c>
      <c r="AS797" s="6">
        <v>0</v>
      </c>
      <c r="AT797" s="6">
        <v>21.60508</v>
      </c>
      <c r="AU797" s="6">
        <v>0</v>
      </c>
      <c r="AV797" s="6">
        <v>0</v>
      </c>
      <c r="AW797" s="6">
        <v>0</v>
      </c>
      <c r="AX797" s="6">
        <v>0</v>
      </c>
      <c r="AY797" s="6">
        <v>0</v>
      </c>
      <c r="AZ797" s="6">
        <v>0</v>
      </c>
      <c r="BA797" s="6">
        <v>0</v>
      </c>
      <c r="BB797" s="6">
        <v>0</v>
      </c>
      <c r="BC797" s="6"/>
      <c r="BD797" s="3"/>
      <c r="BE797" s="3"/>
      <c r="BF797" s="7">
        <v>2283.4541328000005</v>
      </c>
    </row>
    <row x14ac:dyDescent="0.25" r="798" customHeight="1" ht="12.75">
      <c r="A798" s="5" t="s">
        <v>762</v>
      </c>
      <c r="B798" s="3" t="s">
        <v>855</v>
      </c>
      <c r="C798" s="3" t="s">
        <v>870</v>
      </c>
      <c r="D798" s="3"/>
      <c r="E798" s="3"/>
      <c r="F798" s="6">
        <f>100*SUM(AM798:AO798)/AL798</f>
      </c>
      <c r="G798" s="6">
        <f>100*SUM(AP798)/AL798</f>
      </c>
      <c r="H798" s="6">
        <f>100*SUM(AQ798)/AL798</f>
      </c>
      <c r="I798" s="6">
        <f>100*SUM(AR798:BC798)/AL798</f>
      </c>
      <c r="J798" s="3"/>
      <c r="K798" s="23">
        <v>2.827047</v>
      </c>
      <c r="L798" s="6"/>
      <c r="M798" s="6">
        <v>0.32</v>
      </c>
      <c r="N798" s="6">
        <v>8.96</v>
      </c>
      <c r="O798" s="6">
        <v>1.9</v>
      </c>
      <c r="P798" s="6">
        <v>0.47</v>
      </c>
      <c r="Q798" s="7"/>
      <c r="R798" s="6"/>
      <c r="S798" s="6"/>
      <c r="T798" s="6"/>
      <c r="U798" s="5"/>
      <c r="V798" s="6"/>
      <c r="W798" s="6"/>
      <c r="X798" s="6"/>
      <c r="Y798" s="15"/>
      <c r="Z798" s="6"/>
      <c r="AA798" s="6"/>
      <c r="AB798" s="5"/>
      <c r="AC798" s="3"/>
      <c r="AD798" s="6">
        <v>0</v>
      </c>
      <c r="AE798" s="6">
        <v>0.009046550399999999</v>
      </c>
      <c r="AF798" s="7">
        <v>25.33034112</v>
      </c>
      <c r="AG798" s="6">
        <v>0.053713893</v>
      </c>
      <c r="AH798" s="7">
        <v>1.3287120899999998</v>
      </c>
      <c r="AI798" s="15">
        <v>0.0627604434</v>
      </c>
      <c r="AJ798" s="6">
        <v>2.2199999999999998</v>
      </c>
      <c r="AK798" s="3"/>
      <c r="AL798" s="6">
        <v>163.56973331575563</v>
      </c>
      <c r="AM798" s="6">
        <v>0</v>
      </c>
      <c r="AN798" s="6">
        <v>6.9488992000000005</v>
      </c>
      <c r="AO798" s="6">
        <v>5.4825980707395505</v>
      </c>
      <c r="AP798" s="6">
        <v>131.94531</v>
      </c>
      <c r="AQ798" s="6">
        <v>19.192926045016076</v>
      </c>
      <c r="AR798" s="6">
        <v>0</v>
      </c>
      <c r="AS798" s="6">
        <v>0</v>
      </c>
      <c r="AT798" s="6">
        <v>0</v>
      </c>
      <c r="AU798" s="6">
        <v>0</v>
      </c>
      <c r="AV798" s="6">
        <v>0</v>
      </c>
      <c r="AW798" s="6">
        <v>0</v>
      </c>
      <c r="AX798" s="6">
        <v>0</v>
      </c>
      <c r="AY798" s="6">
        <v>0</v>
      </c>
      <c r="AZ798" s="6">
        <v>0</v>
      </c>
      <c r="BA798" s="6">
        <v>0</v>
      </c>
      <c r="BB798" s="6">
        <v>0</v>
      </c>
      <c r="BC798" s="6"/>
      <c r="BD798" s="3"/>
      <c r="BE798" s="3"/>
      <c r="BF798" s="7">
        <v>462.419323861107</v>
      </c>
    </row>
    <row x14ac:dyDescent="0.25" r="799" customHeight="1" ht="12.75">
      <c r="A799" s="5" t="s">
        <v>749</v>
      </c>
      <c r="B799" s="3" t="s">
        <v>855</v>
      </c>
      <c r="C799" s="3" t="s">
        <v>870</v>
      </c>
      <c r="D799" s="3"/>
      <c r="E799" s="3"/>
      <c r="F799" s="6">
        <f>100*SUM(AM799:AO799)/AL799</f>
      </c>
      <c r="G799" s="6">
        <f>100*SUM(AP799)/AL799</f>
      </c>
      <c r="H799" s="6">
        <f>100*SUM(AQ799)/AL799</f>
      </c>
      <c r="I799" s="6">
        <f>100*SUM(AR799:BC799)/AL799</f>
      </c>
      <c r="J799" s="3"/>
      <c r="K799" s="6">
        <v>1.3</v>
      </c>
      <c r="L799" s="6"/>
      <c r="M799" s="6">
        <v>0.4</v>
      </c>
      <c r="N799" s="5">
        <v>6</v>
      </c>
      <c r="O799" s="7">
        <v>2</v>
      </c>
      <c r="P799" s="6">
        <v>0.5</v>
      </c>
      <c r="Q799" s="7"/>
      <c r="R799" s="6"/>
      <c r="S799" s="6"/>
      <c r="T799" s="6"/>
      <c r="U799" s="5"/>
      <c r="V799" s="6"/>
      <c r="W799" s="6"/>
      <c r="X799" s="6"/>
      <c r="Y799" s="15"/>
      <c r="Z799" s="6"/>
      <c r="AA799" s="6"/>
      <c r="AB799" s="5"/>
      <c r="AC799" s="3"/>
      <c r="AD799" s="6">
        <v>0</v>
      </c>
      <c r="AE799" s="6">
        <v>0.0052</v>
      </c>
      <c r="AF799" s="7">
        <v>7.800000000000001</v>
      </c>
      <c r="AG799" s="6">
        <v>0.026000000000000002</v>
      </c>
      <c r="AH799" s="7">
        <v>0.65</v>
      </c>
      <c r="AI799" s="15">
        <v>0.031200000000000002</v>
      </c>
      <c r="AJ799" s="6">
        <v>2.4</v>
      </c>
      <c r="AK799" s="3"/>
      <c r="AL799" s="6">
        <v>171.66531306752412</v>
      </c>
      <c r="AM799" s="6">
        <v>0</v>
      </c>
      <c r="AN799" s="6">
        <v>8.686124</v>
      </c>
      <c r="AO799" s="6">
        <v>3.671382636655949</v>
      </c>
      <c r="AP799" s="6">
        <v>138.8898</v>
      </c>
      <c r="AQ799" s="6">
        <v>20.418006430868168</v>
      </c>
      <c r="AR799" s="6">
        <v>0</v>
      </c>
      <c r="AS799" s="6">
        <v>0</v>
      </c>
      <c r="AT799" s="6">
        <v>0</v>
      </c>
      <c r="AU799" s="6">
        <v>0</v>
      </c>
      <c r="AV799" s="6">
        <v>0</v>
      </c>
      <c r="AW799" s="6">
        <v>0</v>
      </c>
      <c r="AX799" s="6">
        <v>0</v>
      </c>
      <c r="AY799" s="6">
        <v>0</v>
      </c>
      <c r="AZ799" s="6">
        <v>0</v>
      </c>
      <c r="BA799" s="6">
        <v>0</v>
      </c>
      <c r="BB799" s="6">
        <v>0</v>
      </c>
      <c r="BC799" s="6"/>
      <c r="BD799" s="3"/>
      <c r="BE799" s="3"/>
      <c r="BF799" s="7">
        <v>223.16490698778136</v>
      </c>
    </row>
    <row x14ac:dyDescent="0.25" r="800" customHeight="1" ht="12.75">
      <c r="A800" s="5" t="s">
        <v>643</v>
      </c>
      <c r="B800" s="3" t="s">
        <v>855</v>
      </c>
      <c r="C800" s="3" t="s">
        <v>870</v>
      </c>
      <c r="D800" s="3"/>
      <c r="E800" s="3"/>
      <c r="F800" s="6">
        <f>100*SUM(AM800:AO800)/AL800</f>
      </c>
      <c r="G800" s="6">
        <f>100*SUM(AP800)/AL800</f>
      </c>
      <c r="H800" s="6">
        <f>100*SUM(AQ800)/AL800</f>
      </c>
      <c r="I800" s="6">
        <f>100*SUM(AR800:BC800)/AL800</f>
      </c>
      <c r="J800" s="3"/>
      <c r="K800" s="6">
        <v>3.2230000000000003</v>
      </c>
      <c r="L800" s="6"/>
      <c r="M800" s="6">
        <v>0.3179894508222153</v>
      </c>
      <c r="N800" s="6">
        <v>7.188200434377909</v>
      </c>
      <c r="O800" s="6">
        <v>1.8265280794291034</v>
      </c>
      <c r="P800" s="6">
        <v>1.911827489916227</v>
      </c>
      <c r="Q800" s="7"/>
      <c r="R800" s="6"/>
      <c r="S800" s="6"/>
      <c r="T800" s="6"/>
      <c r="U800" s="5"/>
      <c r="V800" s="6"/>
      <c r="W800" s="6"/>
      <c r="X800" s="6"/>
      <c r="Y800" s="15"/>
      <c r="Z800" s="6"/>
      <c r="AA800" s="6"/>
      <c r="AB800" s="5"/>
      <c r="AC800" s="3"/>
      <c r="AD800" s="6">
        <v>0</v>
      </c>
      <c r="AE800" s="6">
        <v>0.0102488</v>
      </c>
      <c r="AF800" s="7">
        <v>23.16757</v>
      </c>
      <c r="AG800" s="6">
        <v>0.058869000000000005</v>
      </c>
      <c r="AH800" s="7">
        <v>6.1618200000000005</v>
      </c>
      <c r="AI800" s="15">
        <v>0.06911780000000001</v>
      </c>
      <c r="AJ800" s="6">
        <v>2.144517530251319</v>
      </c>
      <c r="AK800" s="3"/>
      <c r="AL800" s="6">
        <v>216.2181503360501</v>
      </c>
      <c r="AM800" s="6">
        <v>0</v>
      </c>
      <c r="AN800" s="6">
        <v>6.90523950133416</v>
      </c>
      <c r="AO800" s="6">
        <v>4.398439043929634</v>
      </c>
      <c r="AP800" s="6">
        <v>126.84305982314613</v>
      </c>
      <c r="AQ800" s="6">
        <v>78.07141196764015</v>
      </c>
      <c r="AR800" s="6">
        <v>0</v>
      </c>
      <c r="AS800" s="6">
        <v>0</v>
      </c>
      <c r="AT800" s="6">
        <v>0</v>
      </c>
      <c r="AU800" s="6">
        <v>0</v>
      </c>
      <c r="AV800" s="6">
        <v>0</v>
      </c>
      <c r="AW800" s="6">
        <v>0</v>
      </c>
      <c r="AX800" s="6">
        <v>0</v>
      </c>
      <c r="AY800" s="6">
        <v>0</v>
      </c>
      <c r="AZ800" s="6">
        <v>0</v>
      </c>
      <c r="BA800" s="6">
        <v>0</v>
      </c>
      <c r="BB800" s="6">
        <v>0</v>
      </c>
      <c r="BC800" s="6"/>
      <c r="BD800" s="3"/>
      <c r="BE800" s="3"/>
      <c r="BF800" s="7">
        <v>696.8710985330895</v>
      </c>
    </row>
    <row x14ac:dyDescent="0.25" r="801" customHeight="1" ht="12.75">
      <c r="A801" s="5" t="s">
        <v>590</v>
      </c>
      <c r="B801" s="3" t="s">
        <v>855</v>
      </c>
      <c r="C801" s="3" t="s">
        <v>870</v>
      </c>
      <c r="D801" s="3"/>
      <c r="E801" s="3"/>
      <c r="F801" s="6">
        <f>100*SUM(AM801:AO801)/AL801</f>
      </c>
      <c r="G801" s="6">
        <f>100*SUM(AP801)/AL801</f>
      </c>
      <c r="H801" s="6">
        <f>100*SUM(AQ801)/AL801</f>
      </c>
      <c r="I801" s="6">
        <f>100*SUM(AR801:BC801)/AL801</f>
      </c>
      <c r="J801" s="3"/>
      <c r="K801" s="6">
        <v>7.7</v>
      </c>
      <c r="L801" s="6"/>
      <c r="M801" s="6">
        <v>0.52</v>
      </c>
      <c r="N801" s="5"/>
      <c r="O801" s="6">
        <v>1.31</v>
      </c>
      <c r="P801" s="6">
        <v>0.68</v>
      </c>
      <c r="Q801" s="7"/>
      <c r="R801" s="6">
        <v>0.21</v>
      </c>
      <c r="S801" s="6">
        <v>0.23</v>
      </c>
      <c r="T801" s="6"/>
      <c r="U801" s="5"/>
      <c r="V801" s="6"/>
      <c r="W801" s="6"/>
      <c r="X801" s="6"/>
      <c r="Y801" s="15"/>
      <c r="Z801" s="6"/>
      <c r="AA801" s="6"/>
      <c r="AB801" s="5"/>
      <c r="AC801" s="3"/>
      <c r="AD801" s="6">
        <v>0</v>
      </c>
      <c r="AE801" s="6">
        <v>0.040040000000000006</v>
      </c>
      <c r="AF801" s="7">
        <v>0</v>
      </c>
      <c r="AG801" s="6">
        <v>0.10087000000000002</v>
      </c>
      <c r="AH801" s="7">
        <v>5.236000000000001</v>
      </c>
      <c r="AI801" s="15">
        <v>0.14091000000000004</v>
      </c>
      <c r="AJ801" s="6">
        <v>1.83</v>
      </c>
      <c r="AK801" s="3"/>
      <c r="AL801" s="6">
        <v>236.4336889459807</v>
      </c>
      <c r="AM801" s="6">
        <v>0</v>
      </c>
      <c r="AN801" s="6">
        <v>11.2919612</v>
      </c>
      <c r="AO801" s="6">
        <v>0</v>
      </c>
      <c r="AP801" s="6">
        <v>90.972819</v>
      </c>
      <c r="AQ801" s="6">
        <v>27.76848874598071</v>
      </c>
      <c r="AR801" s="6">
        <v>0</v>
      </c>
      <c r="AS801" s="6">
        <v>35.412299999999995</v>
      </c>
      <c r="AT801" s="6">
        <v>70.98812</v>
      </c>
      <c r="AU801" s="6">
        <v>0</v>
      </c>
      <c r="AV801" s="6">
        <v>0</v>
      </c>
      <c r="AW801" s="6">
        <v>0</v>
      </c>
      <c r="AX801" s="6">
        <v>0</v>
      </c>
      <c r="AY801" s="6">
        <v>0</v>
      </c>
      <c r="AZ801" s="6">
        <v>0</v>
      </c>
      <c r="BA801" s="6">
        <v>0</v>
      </c>
      <c r="BB801" s="6">
        <v>0</v>
      </c>
      <c r="BC801" s="6"/>
      <c r="BD801" s="3"/>
      <c r="BE801" s="3"/>
      <c r="BF801" s="7">
        <v>1820.5394048840515</v>
      </c>
    </row>
    <row x14ac:dyDescent="0.25" r="802" customHeight="1" ht="12.75">
      <c r="A802" s="5" t="s">
        <v>402</v>
      </c>
      <c r="B802" s="3" t="s">
        <v>855</v>
      </c>
      <c r="C802" s="3" t="s">
        <v>870</v>
      </c>
      <c r="D802" s="3"/>
      <c r="E802" s="3"/>
      <c r="F802" s="6">
        <f>100*SUM(AM802:AO802)/AL802</f>
      </c>
      <c r="G802" s="6">
        <f>100*SUM(AP802)/AL802</f>
      </c>
      <c r="H802" s="6">
        <f>100*SUM(AQ802)/AL802</f>
      </c>
      <c r="I802" s="6">
        <f>100*SUM(AR802:BC802)/AL802</f>
      </c>
      <c r="J802" s="3"/>
      <c r="K802" s="6">
        <v>2.354</v>
      </c>
      <c r="L802" s="6"/>
      <c r="M802" s="6">
        <v>0.5019796091758708</v>
      </c>
      <c r="N802" s="7">
        <v>5.209723874256585</v>
      </c>
      <c r="O802" s="6">
        <v>3.8504800339847063</v>
      </c>
      <c r="P802" s="6">
        <v>0.41604078164825825</v>
      </c>
      <c r="Q802" s="7"/>
      <c r="R802" s="6"/>
      <c r="S802" s="6"/>
      <c r="T802" s="6"/>
      <c r="U802" s="5"/>
      <c r="V802" s="6"/>
      <c r="W802" s="6"/>
      <c r="X802" s="6"/>
      <c r="Y802" s="15"/>
      <c r="Z802" s="6"/>
      <c r="AA802" s="6"/>
      <c r="AB802" s="5"/>
      <c r="AC802" s="3"/>
      <c r="AD802" s="6">
        <v>0</v>
      </c>
      <c r="AE802" s="6">
        <v>0.0118166</v>
      </c>
      <c r="AF802" s="7">
        <v>12.26369</v>
      </c>
      <c r="AG802" s="6">
        <v>0.0906403</v>
      </c>
      <c r="AH802" s="7">
        <v>0.97936</v>
      </c>
      <c r="AI802" s="15">
        <v>0.10245689999999999</v>
      </c>
      <c r="AJ802" s="6">
        <v>4.352459643160577</v>
      </c>
      <c r="AK802" s="3"/>
      <c r="AL802" s="6">
        <v>298.4741054116788</v>
      </c>
      <c r="AM802" s="6">
        <v>0</v>
      </c>
      <c r="AN802" s="6">
        <v>10.900642826932879</v>
      </c>
      <c r="AO802" s="6">
        <v>3.187814962286265</v>
      </c>
      <c r="AP802" s="6">
        <v>267.39620091206456</v>
      </c>
      <c r="AQ802" s="6">
        <v>16.98944671039511</v>
      </c>
      <c r="AR802" s="6">
        <v>0</v>
      </c>
      <c r="AS802" s="6">
        <v>0</v>
      </c>
      <c r="AT802" s="6">
        <v>0</v>
      </c>
      <c r="AU802" s="6">
        <v>0</v>
      </c>
      <c r="AV802" s="6">
        <v>0</v>
      </c>
      <c r="AW802" s="6">
        <v>0</v>
      </c>
      <c r="AX802" s="6">
        <v>0</v>
      </c>
      <c r="AY802" s="6">
        <v>0</v>
      </c>
      <c r="AZ802" s="6">
        <v>0</v>
      </c>
      <c r="BA802" s="6">
        <v>0</v>
      </c>
      <c r="BB802" s="6">
        <v>0</v>
      </c>
      <c r="BC802" s="6"/>
      <c r="BD802" s="3"/>
      <c r="BE802" s="3"/>
      <c r="BF802" s="7">
        <v>702.6080441390919</v>
      </c>
    </row>
    <row x14ac:dyDescent="0.25" r="803" customHeight="1" ht="12.75">
      <c r="A803" s="5" t="s">
        <v>567</v>
      </c>
      <c r="B803" s="3" t="s">
        <v>855</v>
      </c>
      <c r="C803" s="3" t="s">
        <v>870</v>
      </c>
      <c r="D803" s="3"/>
      <c r="E803" s="3"/>
      <c r="F803" s="6">
        <f>100*SUM(AM803:AO803)/AL803</f>
      </c>
      <c r="G803" s="6">
        <f>100*SUM(AP803)/AL803</f>
      </c>
      <c r="H803" s="6">
        <f>100*SUM(AQ803)/AL803</f>
      </c>
      <c r="I803" s="6">
        <f>100*SUM(AR803:BC803)/AL803</f>
      </c>
      <c r="J803" s="3"/>
      <c r="K803" s="6">
        <v>38.4</v>
      </c>
      <c r="L803" s="23">
        <v>0.001929</v>
      </c>
      <c r="M803" s="23">
        <v>0.0659</v>
      </c>
      <c r="N803" s="6">
        <v>1.802</v>
      </c>
      <c r="O803" s="6">
        <v>0.6077</v>
      </c>
      <c r="P803" s="6">
        <v>0.28</v>
      </c>
      <c r="Q803" s="7"/>
      <c r="R803" s="6"/>
      <c r="S803" s="6"/>
      <c r="T803" s="6"/>
      <c r="U803" s="5"/>
      <c r="V803" s="6">
        <v>0.0013</v>
      </c>
      <c r="W803" s="6"/>
      <c r="X803" s="6"/>
      <c r="Y803" s="15"/>
      <c r="Z803" s="6"/>
      <c r="AA803" s="6"/>
      <c r="AB803" s="5"/>
      <c r="AC803" s="3"/>
      <c r="AD803" s="6">
        <v>0.0007407359999999999</v>
      </c>
      <c r="AE803" s="6">
        <v>0.025305599999999998</v>
      </c>
      <c r="AF803" s="7">
        <v>69.1968</v>
      </c>
      <c r="AG803" s="6">
        <v>0.2333568</v>
      </c>
      <c r="AH803" s="7">
        <v>10.752</v>
      </c>
      <c r="AI803" s="15">
        <v>0.259403136</v>
      </c>
      <c r="AJ803" s="6">
        <v>0.675529</v>
      </c>
      <c r="AK803" s="3"/>
      <c r="AL803" s="6">
        <v>56.55569983673517</v>
      </c>
      <c r="AM803" s="6">
        <v>0.03657299124</v>
      </c>
      <c r="AN803" s="6">
        <v>1.4310389289999998</v>
      </c>
      <c r="AO803" s="6">
        <v>1.1026385852090035</v>
      </c>
      <c r="AP803" s="6">
        <v>42.201665729999995</v>
      </c>
      <c r="AQ803" s="6">
        <v>11.434083601286174</v>
      </c>
      <c r="AR803" s="6">
        <v>0</v>
      </c>
      <c r="AS803" s="6">
        <v>0</v>
      </c>
      <c r="AT803" s="6">
        <v>0</v>
      </c>
      <c r="AU803" s="6">
        <v>0</v>
      </c>
      <c r="AV803" s="6">
        <v>0</v>
      </c>
      <c r="AW803" s="6">
        <v>0.34969999999999996</v>
      </c>
      <c r="AX803" s="6">
        <v>0</v>
      </c>
      <c r="AY803" s="6">
        <v>0</v>
      </c>
      <c r="AZ803" s="6">
        <v>0</v>
      </c>
      <c r="BA803" s="6">
        <v>0</v>
      </c>
      <c r="BB803" s="6">
        <v>0</v>
      </c>
      <c r="BC803" s="6"/>
      <c r="BD803" s="3"/>
      <c r="BE803" s="3"/>
      <c r="BF803" s="7">
        <v>2171.7388737306305</v>
      </c>
    </row>
    <row x14ac:dyDescent="0.25" r="804" customHeight="1" ht="12.75">
      <c r="A804" s="5" t="s">
        <v>38</v>
      </c>
      <c r="B804" s="3" t="s">
        <v>855</v>
      </c>
      <c r="C804" s="3" t="s">
        <v>870</v>
      </c>
      <c r="D804" s="3" t="s">
        <v>1028</v>
      </c>
      <c r="E804" s="3"/>
      <c r="F804" s="6">
        <f>100*SUM(AM804:AO804)/AL804</f>
      </c>
      <c r="G804" s="6">
        <f>100*SUM(AP804)/AL804</f>
      </c>
      <c r="H804" s="6">
        <f>100*SUM(AQ804)/AL804</f>
      </c>
      <c r="I804" s="6">
        <f>100*SUM(AR804:BC804)/AL804</f>
      </c>
      <c r="J804" s="3"/>
      <c r="K804" s="6">
        <v>2.5700000000000003</v>
      </c>
      <c r="L804" s="6"/>
      <c r="M804" s="7">
        <v>0.6996108949416342</v>
      </c>
      <c r="N804" s="7">
        <v>29.591439688715948</v>
      </c>
      <c r="O804" s="7">
        <v>7.739299610894941</v>
      </c>
      <c r="P804" s="7">
        <v>5.8389105058365764</v>
      </c>
      <c r="Q804" s="7"/>
      <c r="R804" s="6"/>
      <c r="S804" s="6"/>
      <c r="T804" s="6"/>
      <c r="U804" s="5"/>
      <c r="V804" s="6"/>
      <c r="W804" s="6"/>
      <c r="X804" s="6"/>
      <c r="Y804" s="15"/>
      <c r="Z804" s="6"/>
      <c r="AA804" s="6"/>
      <c r="AB804" s="5"/>
      <c r="AC804" s="3"/>
      <c r="AD804" s="6">
        <v>0</v>
      </c>
      <c r="AE804" s="6">
        <v>0.01798</v>
      </c>
      <c r="AF804" s="7">
        <v>76.05</v>
      </c>
      <c r="AG804" s="6">
        <v>0.1989</v>
      </c>
      <c r="AH804" s="7">
        <v>15.006000000000004</v>
      </c>
      <c r="AI804" s="15">
        <v>0.21688</v>
      </c>
      <c r="AJ804" s="6">
        <v>8.438910505836574</v>
      </c>
      <c r="AK804" s="3"/>
      <c r="AL804" s="6">
        <v>809.1918958376768</v>
      </c>
      <c r="AM804" s="6">
        <v>0</v>
      </c>
      <c r="AN804" s="6">
        <v>15.192267463035018</v>
      </c>
      <c r="AO804" s="6">
        <v>18.106916311133908</v>
      </c>
      <c r="AP804" s="6">
        <v>537.4548875486381</v>
      </c>
      <c r="AQ804" s="6">
        <v>238.43782451486985</v>
      </c>
      <c r="AR804" s="6">
        <v>0</v>
      </c>
      <c r="AS804" s="6">
        <v>0</v>
      </c>
      <c r="AT804" s="6">
        <v>0</v>
      </c>
      <c r="AU804" s="6">
        <v>0</v>
      </c>
      <c r="AV804" s="6">
        <v>0</v>
      </c>
      <c r="AW804" s="6">
        <v>0</v>
      </c>
      <c r="AX804" s="6">
        <v>0</v>
      </c>
      <c r="AY804" s="6">
        <v>0</v>
      </c>
      <c r="AZ804" s="6">
        <v>0</v>
      </c>
      <c r="BA804" s="6">
        <v>0</v>
      </c>
      <c r="BB804" s="6">
        <v>0</v>
      </c>
      <c r="BC804" s="6"/>
      <c r="BD804" s="3"/>
      <c r="BE804" s="3"/>
      <c r="BF804" s="7">
        <v>2079.6231723028295</v>
      </c>
    </row>
    <row x14ac:dyDescent="0.25" r="805" customHeight="1" ht="12.75">
      <c r="A805" s="5" t="s">
        <v>814</v>
      </c>
      <c r="B805" s="3" t="s">
        <v>855</v>
      </c>
      <c r="C805" s="3" t="s">
        <v>870</v>
      </c>
      <c r="D805" s="3"/>
      <c r="E805" s="3"/>
      <c r="F805" s="6">
        <f>100*SUM(AM805:AO805)/AL805</f>
      </c>
      <c r="G805" s="6">
        <f>100*SUM(AP805)/AL805</f>
      </c>
      <c r="H805" s="6">
        <f>100*SUM(AQ805)/AL805</f>
      </c>
      <c r="I805" s="6">
        <f>100*SUM(AR805:BC805)/AL805</f>
      </c>
      <c r="J805" s="3"/>
      <c r="K805" s="23">
        <v>4.014</v>
      </c>
      <c r="L805" s="6"/>
      <c r="M805" s="6">
        <v>0.0215146985550573</v>
      </c>
      <c r="N805" s="7">
        <v>1.2535625311410066</v>
      </c>
      <c r="O805" s="6">
        <v>1.2128649725959142</v>
      </c>
      <c r="P805" s="6"/>
      <c r="Q805" s="7"/>
      <c r="R805" s="6"/>
      <c r="S805" s="6"/>
      <c r="T805" s="6"/>
      <c r="U805" s="5"/>
      <c r="V805" s="6"/>
      <c r="W805" s="6"/>
      <c r="X805" s="6"/>
      <c r="Y805" s="15"/>
      <c r="Z805" s="6"/>
      <c r="AA805" s="6"/>
      <c r="AB805" s="5"/>
      <c r="AC805" s="3"/>
      <c r="AD805" s="6">
        <v>0</v>
      </c>
      <c r="AE805" s="6">
        <v>0.0008636000000000001</v>
      </c>
      <c r="AF805" s="7">
        <v>5.0318000000000005</v>
      </c>
      <c r="AG805" s="6">
        <v>0.048684399999999996</v>
      </c>
      <c r="AH805" s="7">
        <v>0</v>
      </c>
      <c r="AI805" s="15">
        <v>0.049547999999999995</v>
      </c>
      <c r="AJ805" s="6">
        <v>1.2343796711509716</v>
      </c>
      <c r="AK805" s="3"/>
      <c r="AL805" s="6">
        <v>85.46153636923788</v>
      </c>
      <c r="AM805" s="6">
        <v>0</v>
      </c>
      <c r="AN805" s="6">
        <v>0.46719834867962134</v>
      </c>
      <c r="AO805" s="6">
        <v>0.7670512851322623</v>
      </c>
      <c r="AP805" s="6">
        <v>84.22728673542599</v>
      </c>
      <c r="AQ805" s="6">
        <v>0</v>
      </c>
      <c r="AR805" s="6">
        <v>0</v>
      </c>
      <c r="AS805" s="6">
        <v>0</v>
      </c>
      <c r="AT805" s="6">
        <v>0</v>
      </c>
      <c r="AU805" s="6">
        <v>0</v>
      </c>
      <c r="AV805" s="6">
        <v>0</v>
      </c>
      <c r="AW805" s="6">
        <v>0</v>
      </c>
      <c r="AX805" s="6">
        <v>0</v>
      </c>
      <c r="AY805" s="6">
        <v>0</v>
      </c>
      <c r="AZ805" s="6">
        <v>0</v>
      </c>
      <c r="BA805" s="6">
        <v>0</v>
      </c>
      <c r="BB805" s="6">
        <v>0</v>
      </c>
      <c r="BC805" s="6"/>
      <c r="BD805" s="3"/>
      <c r="BE805" s="3"/>
      <c r="BF805" s="7">
        <v>343.04260698612086</v>
      </c>
    </row>
    <row x14ac:dyDescent="0.25" r="806" customHeight="1" ht="12.75">
      <c r="A806" s="5" t="s">
        <v>305</v>
      </c>
      <c r="B806" s="3" t="s">
        <v>855</v>
      </c>
      <c r="C806" s="3" t="s">
        <v>870</v>
      </c>
      <c r="D806" s="3"/>
      <c r="E806" s="3"/>
      <c r="F806" s="6">
        <f>100*SUM(AM806:AO806)/AL806</f>
      </c>
      <c r="G806" s="6">
        <f>100*SUM(AP806)/AL806</f>
      </c>
      <c r="H806" s="6">
        <f>100*SUM(AQ806)/AL806</f>
      </c>
      <c r="I806" s="6">
        <f>100*SUM(AR806:BC806)/AL806</f>
      </c>
      <c r="J806" s="3"/>
      <c r="K806" s="6">
        <v>83.633</v>
      </c>
      <c r="L806" s="6"/>
      <c r="M806" s="6">
        <v>0.01820513433692442</v>
      </c>
      <c r="N806" s="6">
        <v>0.9493258641923643</v>
      </c>
      <c r="O806" s="6">
        <v>0.9263755933662551</v>
      </c>
      <c r="P806" s="6">
        <v>0.08820513433692441</v>
      </c>
      <c r="Q806" s="7"/>
      <c r="R806" s="6"/>
      <c r="S806" s="6"/>
      <c r="T806" s="6"/>
      <c r="U806" s="5"/>
      <c r="V806" s="6"/>
      <c r="W806" s="6"/>
      <c r="X806" s="6"/>
      <c r="Y806" s="15"/>
      <c r="Z806" s="6"/>
      <c r="AA806" s="6"/>
      <c r="AB806" s="5"/>
      <c r="AC806" s="3"/>
      <c r="AD806" s="6">
        <v>0</v>
      </c>
      <c r="AE806" s="6">
        <v>0.015225499999999998</v>
      </c>
      <c r="AF806" s="7">
        <v>79.39497</v>
      </c>
      <c r="AG806" s="6">
        <v>0.7747557</v>
      </c>
      <c r="AH806" s="7">
        <v>7.376859999999999</v>
      </c>
      <c r="AI806" s="15">
        <v>0.7899812</v>
      </c>
      <c r="AJ806" s="6">
        <v>0.9445807277031795</v>
      </c>
      <c r="AK806" s="3"/>
      <c r="AL806" s="6">
        <v>68.91022632878607</v>
      </c>
      <c r="AM806" s="6">
        <v>0</v>
      </c>
      <c r="AN806" s="6">
        <v>0.3953301357179582</v>
      </c>
      <c r="AO806" s="6">
        <v>0.5808897490540417</v>
      </c>
      <c r="AP806" s="6">
        <v>64.33206044376024</v>
      </c>
      <c r="AQ806" s="6">
        <v>3.6019460002538266</v>
      </c>
      <c r="AR806" s="6">
        <v>0</v>
      </c>
      <c r="AS806" s="6">
        <v>0</v>
      </c>
      <c r="AT806" s="6">
        <v>0</v>
      </c>
      <c r="AU806" s="6">
        <v>0</v>
      </c>
      <c r="AV806" s="6">
        <v>0</v>
      </c>
      <c r="AW806" s="6">
        <v>0</v>
      </c>
      <c r="AX806" s="6">
        <v>0</v>
      </c>
      <c r="AY806" s="6">
        <v>0</v>
      </c>
      <c r="AZ806" s="6">
        <v>0</v>
      </c>
      <c r="BA806" s="6">
        <v>0</v>
      </c>
      <c r="BB806" s="6">
        <v>0</v>
      </c>
      <c r="BC806" s="6"/>
      <c r="BD806" s="3"/>
      <c r="BE806" s="3"/>
      <c r="BF806" s="7">
        <v>5763.168958555365</v>
      </c>
    </row>
    <row x14ac:dyDescent="0.25" r="807" customHeight="1" ht="12.75">
      <c r="A807" s="5" t="s">
        <v>727</v>
      </c>
      <c r="B807" s="3" t="s">
        <v>855</v>
      </c>
      <c r="C807" s="3" t="s">
        <v>870</v>
      </c>
      <c r="D807" s="3"/>
      <c r="E807" s="3"/>
      <c r="F807" s="6">
        <f>100*SUM(AM807:AO807)/AL807</f>
      </c>
      <c r="G807" s="6">
        <f>100*SUM(AP807)/AL807</f>
      </c>
      <c r="H807" s="6">
        <f>100*SUM(AQ807)/AL807</f>
      </c>
      <c r="I807" s="6">
        <f>100*SUM(AR807:BC807)/AL807</f>
      </c>
      <c r="J807" s="3"/>
      <c r="K807" s="6">
        <v>3.1599999999999997</v>
      </c>
      <c r="L807" s="6"/>
      <c r="M807" s="6">
        <v>0.07528481012658228</v>
      </c>
      <c r="N807" s="5"/>
      <c r="O807" s="6">
        <v>0.3554113924050633</v>
      </c>
      <c r="P807" s="6"/>
      <c r="Q807" s="7"/>
      <c r="R807" s="6">
        <v>0.11367088607594938</v>
      </c>
      <c r="S807" s="6">
        <v>0.43060126582278485</v>
      </c>
      <c r="T807" s="6"/>
      <c r="U807" s="5"/>
      <c r="V807" s="6"/>
      <c r="W807" s="6"/>
      <c r="X807" s="6"/>
      <c r="Y807" s="15"/>
      <c r="Z807" s="6"/>
      <c r="AA807" s="6"/>
      <c r="AB807" s="5"/>
      <c r="AC807" s="3"/>
      <c r="AD807" s="6">
        <v>0</v>
      </c>
      <c r="AE807" s="6">
        <v>0.0023789999999999996</v>
      </c>
      <c r="AF807" s="7">
        <v>0</v>
      </c>
      <c r="AG807" s="6">
        <v>0.011231</v>
      </c>
      <c r="AH807" s="7">
        <v>0</v>
      </c>
      <c r="AI807" s="15">
        <v>0.013609999999999999</v>
      </c>
      <c r="AJ807" s="6">
        <v>0.4306962025316456</v>
      </c>
      <c r="AK807" s="3"/>
      <c r="AL807" s="6">
        <v>178.38716020221517</v>
      </c>
      <c r="AM807" s="6">
        <v>0</v>
      </c>
      <c r="AN807" s="6">
        <v>1.6348329901898735</v>
      </c>
      <c r="AO807" s="6">
        <v>0</v>
      </c>
      <c r="AP807" s="6">
        <v>24.68150860443038</v>
      </c>
      <c r="AQ807" s="6">
        <v>0</v>
      </c>
      <c r="AR807" s="6">
        <v>0</v>
      </c>
      <c r="AS807" s="6">
        <v>19.168321518987344</v>
      </c>
      <c r="AT807" s="6">
        <v>132.9024970886076</v>
      </c>
      <c r="AU807" s="6">
        <v>0</v>
      </c>
      <c r="AV807" s="6">
        <v>0</v>
      </c>
      <c r="AW807" s="6">
        <v>0</v>
      </c>
      <c r="AX807" s="6">
        <v>0</v>
      </c>
      <c r="AY807" s="6">
        <v>0</v>
      </c>
      <c r="AZ807" s="6">
        <v>0</v>
      </c>
      <c r="BA807" s="6">
        <v>0</v>
      </c>
      <c r="BB807" s="6">
        <v>0</v>
      </c>
      <c r="BC807" s="6"/>
      <c r="BD807" s="3"/>
      <c r="BE807" s="3"/>
      <c r="BF807" s="7">
        <v>563.7034262389999</v>
      </c>
    </row>
    <row x14ac:dyDescent="0.25" r="808" customHeight="1" ht="12.75">
      <c r="A808" s="5" t="s">
        <v>482</v>
      </c>
      <c r="B808" s="3" t="s">
        <v>855</v>
      </c>
      <c r="C808" s="3" t="s">
        <v>1030</v>
      </c>
      <c r="D808" s="3" t="s">
        <v>935</v>
      </c>
      <c r="E808" s="3"/>
      <c r="F808" s="6">
        <f>100*SUM(AM808:AO808)/AL808</f>
      </c>
      <c r="G808" s="6">
        <f>100*SUM(AP808)/AL808</f>
      </c>
      <c r="H808" s="6">
        <f>100*SUM(AQ808)/AL808</f>
      </c>
      <c r="I808" s="6">
        <f>100*SUM(AR808:BC808)/AL808</f>
      </c>
      <c r="J808" s="3"/>
      <c r="K808" s="6">
        <v>12.61</v>
      </c>
      <c r="L808" s="7">
        <v>0.3011895321173672</v>
      </c>
      <c r="M808" s="7">
        <v>5.152260111022998</v>
      </c>
      <c r="N808" s="31">
        <v>38.478191911181604</v>
      </c>
      <c r="O808" s="7">
        <v>0.684932593180016</v>
      </c>
      <c r="P808" s="7">
        <v>0.6841395717684379</v>
      </c>
      <c r="Q808" s="7"/>
      <c r="R808" s="6"/>
      <c r="S808" s="6"/>
      <c r="T808" s="6"/>
      <c r="U808" s="5"/>
      <c r="V808" s="6"/>
      <c r="W808" s="6"/>
      <c r="X808" s="6"/>
      <c r="Y808" s="15"/>
      <c r="Z808" s="6"/>
      <c r="AA808" s="6"/>
      <c r="AB808" s="5"/>
      <c r="AC808" s="3"/>
      <c r="AD808" s="6">
        <v>0.03798000000000001</v>
      </c>
      <c r="AE808" s="6">
        <v>0.6496999999999999</v>
      </c>
      <c r="AF808" s="7">
        <v>485.21</v>
      </c>
      <c r="AG808" s="6">
        <v>0.08637</v>
      </c>
      <c r="AH808" s="7">
        <v>8.627</v>
      </c>
      <c r="AI808" s="15">
        <v>0.7740499999999999</v>
      </c>
      <c r="AJ808" s="6">
        <v>6.138382236320381</v>
      </c>
      <c r="AK808" s="3"/>
      <c r="AL808" s="6">
        <v>216.6406485879068</v>
      </c>
      <c r="AM808" s="6">
        <v>5.71042100555115</v>
      </c>
      <c r="AN808" s="6">
        <v>111.88292551149881</v>
      </c>
      <c r="AO808" s="6">
        <v>23.544694278771253</v>
      </c>
      <c r="AP808" s="6">
        <v>47.56507544012689</v>
      </c>
      <c r="AQ808" s="6">
        <v>27.937532351958716</v>
      </c>
      <c r="AR808" s="6">
        <v>0</v>
      </c>
      <c r="AS808" s="6">
        <v>0</v>
      </c>
      <c r="AT808" s="6">
        <v>0</v>
      </c>
      <c r="AU808" s="6">
        <v>0</v>
      </c>
      <c r="AV808" s="6">
        <v>0</v>
      </c>
      <c r="AW808" s="6">
        <v>0</v>
      </c>
      <c r="AX808" s="6">
        <v>0</v>
      </c>
      <c r="AY808" s="6">
        <v>0</v>
      </c>
      <c r="AZ808" s="6">
        <v>0</v>
      </c>
      <c r="BA808" s="6">
        <v>0</v>
      </c>
      <c r="BB808" s="6">
        <v>0</v>
      </c>
      <c r="BC808" s="6"/>
      <c r="BD808" s="3"/>
      <c r="BE808" s="3"/>
      <c r="BF808" s="7">
        <v>2731.8385786935046</v>
      </c>
    </row>
    <row x14ac:dyDescent="0.25" r="809" customHeight="1" ht="12.75">
      <c r="A809" s="5" t="s">
        <v>834</v>
      </c>
      <c r="B809" s="3" t="s">
        <v>855</v>
      </c>
      <c r="C809" s="3" t="s">
        <v>1030</v>
      </c>
      <c r="D809" s="3"/>
      <c r="E809" s="3"/>
      <c r="F809" s="6">
        <f>100*SUM(AM809:AO809)/AL809</f>
      </c>
      <c r="G809" s="6">
        <f>100*SUM(AP809)/AL809</f>
      </c>
      <c r="H809" s="6">
        <f>100*SUM(AQ809)/AL809</f>
      </c>
      <c r="I809" s="6">
        <f>100*SUM(AR809:BC809)/AL809</f>
      </c>
      <c r="J809" s="3"/>
      <c r="K809" s="6">
        <v>0.54</v>
      </c>
      <c r="L809" s="6"/>
      <c r="M809" s="6">
        <v>0.4592592592592592</v>
      </c>
      <c r="N809" s="7">
        <v>15.884999999999998</v>
      </c>
      <c r="O809" s="6">
        <v>0.30666666666666664</v>
      </c>
      <c r="P809" s="6">
        <v>1.6372222222222221</v>
      </c>
      <c r="Q809" s="7"/>
      <c r="R809" s="6"/>
      <c r="S809" s="6"/>
      <c r="T809" s="6"/>
      <c r="U809" s="5"/>
      <c r="V809" s="6"/>
      <c r="W809" s="6"/>
      <c r="X809" s="6"/>
      <c r="Y809" s="15"/>
      <c r="Z809" s="6"/>
      <c r="AA809" s="6"/>
      <c r="AB809" s="5"/>
      <c r="AC809" s="3"/>
      <c r="AD809" s="6">
        <v>0</v>
      </c>
      <c r="AE809" s="6">
        <v>0.00248</v>
      </c>
      <c r="AF809" s="7">
        <v>8.5779</v>
      </c>
      <c r="AG809" s="6">
        <v>0.001656</v>
      </c>
      <c r="AH809" s="7">
        <v>0.8841</v>
      </c>
      <c r="AI809" s="15">
        <v>0.004136</v>
      </c>
      <c r="AJ809" s="6">
        <v>0.7659259259259259</v>
      </c>
      <c r="AK809" s="3"/>
      <c r="AL809" s="6">
        <v>107.84700643991901</v>
      </c>
      <c r="AM809" s="6">
        <v>0</v>
      </c>
      <c r="AN809" s="6">
        <v>9.972957185185184</v>
      </c>
      <c r="AO809" s="6">
        <v>9.719985530546623</v>
      </c>
      <c r="AP809" s="6">
        <v>21.296435999999996</v>
      </c>
      <c r="AQ809" s="6">
        <v>66.85762772418721</v>
      </c>
      <c r="AR809" s="6">
        <v>0</v>
      </c>
      <c r="AS809" s="6">
        <v>0</v>
      </c>
      <c r="AT809" s="6">
        <v>0</v>
      </c>
      <c r="AU809" s="6">
        <v>0</v>
      </c>
      <c r="AV809" s="6">
        <v>0</v>
      </c>
      <c r="AW809" s="6">
        <v>0</v>
      </c>
      <c r="AX809" s="6">
        <v>0</v>
      </c>
      <c r="AY809" s="6">
        <v>0</v>
      </c>
      <c r="AZ809" s="6">
        <v>0</v>
      </c>
      <c r="BA809" s="6">
        <v>0</v>
      </c>
      <c r="BB809" s="6">
        <v>0</v>
      </c>
      <c r="BC809" s="6"/>
      <c r="BD809" s="3"/>
      <c r="BE809" s="3"/>
      <c r="BF809" s="7">
        <v>58.23738347755627</v>
      </c>
    </row>
    <row x14ac:dyDescent="0.25" r="810" customHeight="1" ht="12.75">
      <c r="A810" s="5" t="s">
        <v>178</v>
      </c>
      <c r="B810" s="3" t="s">
        <v>859</v>
      </c>
      <c r="C810" s="3" t="s">
        <v>870</v>
      </c>
      <c r="D810" s="3"/>
      <c r="E810" s="3"/>
      <c r="F810" s="6">
        <f>100*SUM(AM810:AO810)/AL810</f>
      </c>
      <c r="G810" s="6">
        <f>100*SUM(AP810)/AL810</f>
      </c>
      <c r="H810" s="6">
        <f>100*SUM(AQ810)/AL810</f>
      </c>
      <c r="I810" s="6">
        <f>100*SUM(AR810:BC810)/AL810</f>
      </c>
      <c r="J810" s="3"/>
      <c r="K810" s="6">
        <v>24.5</v>
      </c>
      <c r="L810" s="6">
        <v>2.01</v>
      </c>
      <c r="M810" s="6">
        <v>9.8</v>
      </c>
      <c r="N810" s="7">
        <v>55.218367346938784</v>
      </c>
      <c r="O810" s="6"/>
      <c r="P810" s="6"/>
      <c r="Q810" s="7"/>
      <c r="R810" s="6"/>
      <c r="S810" s="6"/>
      <c r="T810" s="6"/>
      <c r="U810" s="5"/>
      <c r="V810" s="6"/>
      <c r="W810" s="6"/>
      <c r="X810" s="6"/>
      <c r="Y810" s="15"/>
      <c r="Z810" s="6"/>
      <c r="AA810" s="6"/>
      <c r="AB810" s="5"/>
      <c r="AC810" s="3"/>
      <c r="AD810" s="6">
        <v>0.49245</v>
      </c>
      <c r="AE810" s="6">
        <v>2.4010000000000002</v>
      </c>
      <c r="AF810" s="7">
        <v>1352.8500000000001</v>
      </c>
      <c r="AG810" s="6">
        <v>0</v>
      </c>
      <c r="AH810" s="7">
        <v>0</v>
      </c>
      <c r="AI810" s="15">
        <v>2.89345</v>
      </c>
      <c r="AJ810" s="6">
        <v>11.81</v>
      </c>
      <c r="AK810" s="3"/>
      <c r="AL810" s="6">
        <v>284.7067127836734</v>
      </c>
      <c r="AM810" s="6">
        <v>38.10871559999999</v>
      </c>
      <c r="AN810" s="6">
        <v>212.810038</v>
      </c>
      <c r="AO810" s="6">
        <v>33.78795918367348</v>
      </c>
      <c r="AP810" s="6">
        <v>0</v>
      </c>
      <c r="AQ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v>0</v>
      </c>
      <c r="AW810" s="6">
        <v>0</v>
      </c>
      <c r="AX810" s="6">
        <v>0</v>
      </c>
      <c r="AY810" s="6">
        <v>0</v>
      </c>
      <c r="AZ810" s="6">
        <v>0</v>
      </c>
      <c r="BA810" s="6">
        <v>0</v>
      </c>
      <c r="BB810" s="6">
        <v>0</v>
      </c>
      <c r="BC810" s="6"/>
      <c r="BD810" s="3"/>
      <c r="BE810" s="3"/>
      <c r="BF810" s="7">
        <v>6975.3144631999985</v>
      </c>
    </row>
    <row x14ac:dyDescent="0.25" r="811" customHeight="1" ht="12.75">
      <c r="A811" s="5" t="s">
        <v>534</v>
      </c>
      <c r="B811" s="3" t="s">
        <v>859</v>
      </c>
      <c r="C811" s="3" t="s">
        <v>870</v>
      </c>
      <c r="D811" s="3"/>
      <c r="E811" s="3"/>
      <c r="F811" s="6">
        <f>100*SUM(AM811:AO811)/AL811</f>
      </c>
      <c r="G811" s="6">
        <f>100*SUM(AP811)/AL811</f>
      </c>
      <c r="H811" s="6">
        <f>100*SUM(AQ811)/AL811</f>
      </c>
      <c r="I811" s="6">
        <f>100*SUM(AR811:BC811)/AL811</f>
      </c>
      <c r="J811" s="3"/>
      <c r="K811" s="5">
        <v>25</v>
      </c>
      <c r="L811" s="6">
        <v>0.13</v>
      </c>
      <c r="M811" s="6">
        <v>2.42</v>
      </c>
      <c r="N811" s="7">
        <v>8.708</v>
      </c>
      <c r="O811" s="6"/>
      <c r="P811" s="6"/>
      <c r="Q811" s="7"/>
      <c r="R811" s="6"/>
      <c r="S811" s="6"/>
      <c r="T811" s="6"/>
      <c r="U811" s="5"/>
      <c r="V811" s="6"/>
      <c r="W811" s="6"/>
      <c r="X811" s="6"/>
      <c r="Y811" s="15"/>
      <c r="Z811" s="6"/>
      <c r="AA811" s="6"/>
      <c r="AB811" s="5"/>
      <c r="AC811" s="3"/>
      <c r="AD811" s="6">
        <v>0.0325</v>
      </c>
      <c r="AE811" s="6">
        <v>0.605</v>
      </c>
      <c r="AF811" s="7">
        <v>217.70000000000002</v>
      </c>
      <c r="AG811" s="6">
        <v>0</v>
      </c>
      <c r="AH811" s="7">
        <v>0</v>
      </c>
      <c r="AI811" s="15">
        <v>0.6375</v>
      </c>
      <c r="AJ811" s="6">
        <v>2.55</v>
      </c>
      <c r="AK811" s="3"/>
      <c r="AL811" s="6">
        <v>60.344193000000004</v>
      </c>
      <c r="AM811" s="6">
        <v>2.4647428</v>
      </c>
      <c r="AN811" s="6">
        <v>52.5510502</v>
      </c>
      <c r="AO811" s="6">
        <v>5.328400000000001</v>
      </c>
      <c r="AP811" s="6">
        <v>0</v>
      </c>
      <c r="AQ811" s="6">
        <v>0</v>
      </c>
      <c r="AR811" s="6">
        <v>0</v>
      </c>
      <c r="AS811" s="6">
        <v>0</v>
      </c>
      <c r="AT811" s="6">
        <v>0</v>
      </c>
      <c r="AU811" s="6">
        <v>0</v>
      </c>
      <c r="AV811" s="6">
        <v>0</v>
      </c>
      <c r="AW811" s="6">
        <v>0</v>
      </c>
      <c r="AX811" s="6">
        <v>0</v>
      </c>
      <c r="AY811" s="6">
        <v>0</v>
      </c>
      <c r="AZ811" s="6">
        <v>0</v>
      </c>
      <c r="BA811" s="6">
        <v>0</v>
      </c>
      <c r="BB811" s="6">
        <v>0</v>
      </c>
      <c r="BC811" s="6"/>
      <c r="BD811" s="3"/>
      <c r="BE811" s="3"/>
      <c r="BF811" s="7">
        <v>1508.6048250000001</v>
      </c>
    </row>
    <row x14ac:dyDescent="0.25" r="812" customHeight="1" ht="12.75">
      <c r="A812" s="5" t="s">
        <v>468</v>
      </c>
      <c r="B812" s="3" t="s">
        <v>859</v>
      </c>
      <c r="C812" s="3" t="s">
        <v>870</v>
      </c>
      <c r="D812" s="3"/>
      <c r="E812" s="3"/>
      <c r="F812" s="6">
        <f>100*SUM(AM812:AO812)/AL812</f>
      </c>
      <c r="G812" s="6">
        <f>100*SUM(AP812)/AL812</f>
      </c>
      <c r="H812" s="6">
        <f>100*SUM(AQ812)/AL812</f>
      </c>
      <c r="I812" s="6">
        <f>100*SUM(AR812:BC812)/AL812</f>
      </c>
      <c r="J812" s="3"/>
      <c r="K812" s="6">
        <v>4.1</v>
      </c>
      <c r="L812" s="6">
        <v>1.8</v>
      </c>
      <c r="M812" s="6">
        <v>6.2</v>
      </c>
      <c r="N812" s="5">
        <v>84</v>
      </c>
      <c r="O812" s="6"/>
      <c r="P812" s="6"/>
      <c r="Q812" s="7"/>
      <c r="R812" s="6"/>
      <c r="S812" s="6"/>
      <c r="T812" s="6"/>
      <c r="U812" s="5"/>
      <c r="V812" s="6"/>
      <c r="W812" s="6"/>
      <c r="X812" s="6"/>
      <c r="Y812" s="15"/>
      <c r="Z812" s="6"/>
      <c r="AA812" s="6"/>
      <c r="AB812" s="5"/>
      <c r="AC812" s="3"/>
      <c r="AD812" s="6">
        <v>0.0738</v>
      </c>
      <c r="AE812" s="6">
        <v>0.2542</v>
      </c>
      <c r="AF812" s="7">
        <v>344.4</v>
      </c>
      <c r="AG812" s="6">
        <v>0</v>
      </c>
      <c r="AH812" s="7">
        <v>0</v>
      </c>
      <c r="AI812" s="15">
        <v>0.32799999999999996</v>
      </c>
      <c r="AJ812" s="6">
        <v>8</v>
      </c>
      <c r="AK812" s="3"/>
      <c r="AL812" s="6">
        <v>220.16148691318327</v>
      </c>
      <c r="AM812" s="6">
        <v>34.127208</v>
      </c>
      <c r="AN812" s="6">
        <v>134.634922</v>
      </c>
      <c r="AO812" s="6">
        <v>51.39935691318328</v>
      </c>
      <c r="AP812" s="6">
        <v>0</v>
      </c>
      <c r="AQ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v>0</v>
      </c>
      <c r="AW812" s="6">
        <v>0</v>
      </c>
      <c r="AX812" s="6">
        <v>0</v>
      </c>
      <c r="AY812" s="6">
        <v>0</v>
      </c>
      <c r="AZ812" s="6">
        <v>0</v>
      </c>
      <c r="BA812" s="6">
        <v>0</v>
      </c>
      <c r="BB812" s="6">
        <v>0</v>
      </c>
      <c r="BC812" s="6"/>
      <c r="BD812" s="3"/>
      <c r="BE812" s="3"/>
      <c r="BF812" s="7">
        <v>902.6620963440513</v>
      </c>
    </row>
    <row x14ac:dyDescent="0.25" r="813" customHeight="1" ht="12.75">
      <c r="A813" s="5" t="s">
        <v>775</v>
      </c>
      <c r="B813" s="3" t="s">
        <v>859</v>
      </c>
      <c r="C813" s="3" t="s">
        <v>870</v>
      </c>
      <c r="D813" s="3"/>
      <c r="E813" s="3"/>
      <c r="F813" s="6">
        <f>100*SUM(AM813:AO813)/AL813</f>
      </c>
      <c r="G813" s="6">
        <f>100*SUM(AP813)/AL813</f>
      </c>
      <c r="H813" s="6">
        <f>100*SUM(AQ813)/AL813</f>
      </c>
      <c r="I813" s="6">
        <f>100*SUM(AR813:BC813)/AL813</f>
      </c>
      <c r="J813" s="3"/>
      <c r="K813" s="23">
        <v>2.63088</v>
      </c>
      <c r="L813" s="6">
        <v>0.53</v>
      </c>
      <c r="M813" s="6">
        <v>3.67</v>
      </c>
      <c r="N813" s="5"/>
      <c r="O813" s="6"/>
      <c r="P813" s="6"/>
      <c r="Q813" s="7"/>
      <c r="R813" s="6"/>
      <c r="S813" s="6"/>
      <c r="T813" s="6"/>
      <c r="U813" s="5"/>
      <c r="V813" s="6"/>
      <c r="W813" s="6"/>
      <c r="X813" s="6"/>
      <c r="Y813" s="15"/>
      <c r="Z813" s="6"/>
      <c r="AA813" s="6"/>
      <c r="AB813" s="5"/>
      <c r="AC813" s="3"/>
      <c r="AD813" s="6">
        <v>0.013943664</v>
      </c>
      <c r="AE813" s="6">
        <v>0.096553296</v>
      </c>
      <c r="AF813" s="7">
        <v>0</v>
      </c>
      <c r="AG813" s="6">
        <v>0</v>
      </c>
      <c r="AH813" s="7">
        <v>0</v>
      </c>
      <c r="AI813" s="15">
        <v>0.11049695999999999</v>
      </c>
      <c r="AJ813" s="6">
        <v>4.2</v>
      </c>
      <c r="AK813" s="3"/>
      <c r="AL813" s="6">
        <v>89.7437545</v>
      </c>
      <c r="AM813" s="6">
        <v>10.0485668</v>
      </c>
      <c r="AN813" s="6">
        <v>79.69518769999999</v>
      </c>
      <c r="AO813" s="6">
        <v>0</v>
      </c>
      <c r="AP813" s="6">
        <v>0</v>
      </c>
      <c r="AQ813" s="6">
        <v>0</v>
      </c>
      <c r="AR813" s="6">
        <v>0</v>
      </c>
      <c r="AS813" s="6">
        <v>0</v>
      </c>
      <c r="AT813" s="6">
        <v>0</v>
      </c>
      <c r="AU813" s="6">
        <v>0</v>
      </c>
      <c r="AV813" s="6">
        <v>0</v>
      </c>
      <c r="AW813" s="6">
        <v>0</v>
      </c>
      <c r="AX813" s="6">
        <v>0</v>
      </c>
      <c r="AY813" s="6">
        <v>0</v>
      </c>
      <c r="AZ813" s="6">
        <v>0</v>
      </c>
      <c r="BA813" s="6">
        <v>0</v>
      </c>
      <c r="BB813" s="6">
        <v>0</v>
      </c>
      <c r="BC813" s="6"/>
      <c r="BD813" s="3"/>
      <c r="BE813" s="3"/>
      <c r="BF813" s="7">
        <v>236.10504883896</v>
      </c>
    </row>
    <row x14ac:dyDescent="0.25" r="814" customHeight="1" ht="12.75">
      <c r="A814" s="5" t="s">
        <v>317</v>
      </c>
      <c r="B814" s="3" t="s">
        <v>859</v>
      </c>
      <c r="C814" s="3" t="s">
        <v>870</v>
      </c>
      <c r="D814" s="3"/>
      <c r="E814" s="3"/>
      <c r="F814" s="6">
        <f>100*SUM(AM814:AO814)/AL814</f>
      </c>
      <c r="G814" s="6">
        <f>100*SUM(AP814)/AL814</f>
      </c>
      <c r="H814" s="6">
        <f>100*SUM(AQ814)/AL814</f>
      </c>
      <c r="I814" s="6">
        <f>100*SUM(AR814:BC814)/AL814</f>
      </c>
      <c r="J814" s="3"/>
      <c r="K814" s="23">
        <v>0.918964</v>
      </c>
      <c r="L814" s="7">
        <v>0.716975637783417</v>
      </c>
      <c r="M814" s="7">
        <v>9.406633992191207</v>
      </c>
      <c r="N814" s="7">
        <v>117.37000143640012</v>
      </c>
      <c r="O814" s="6"/>
      <c r="P814" s="6"/>
      <c r="Q814" s="7"/>
      <c r="R814" s="6"/>
      <c r="S814" s="6"/>
      <c r="T814" s="6"/>
      <c r="U814" s="5"/>
      <c r="V814" s="6"/>
      <c r="W814" s="6"/>
      <c r="X814" s="6"/>
      <c r="Y814" s="15"/>
      <c r="Z814" s="6"/>
      <c r="AA814" s="6"/>
      <c r="AB814" s="5"/>
      <c r="AC814" s="3"/>
      <c r="AD814" s="6">
        <v>0.006588748</v>
      </c>
      <c r="AE814" s="6">
        <v>0.08644358</v>
      </c>
      <c r="AF814" s="7">
        <v>107.858806</v>
      </c>
      <c r="AG814" s="6">
        <v>0</v>
      </c>
      <c r="AH814" s="7">
        <v>0</v>
      </c>
      <c r="AI814" s="15">
        <v>0.09303232800000001</v>
      </c>
      <c r="AJ814" s="6">
        <v>10.123609629974624</v>
      </c>
      <c r="AK814" s="3"/>
      <c r="AL814" s="6">
        <v>289.6798800430431</v>
      </c>
      <c r="AM814" s="6">
        <v>13.59354262309296</v>
      </c>
      <c r="AN814" s="6">
        <v>204.26797319696965</v>
      </c>
      <c r="AO814" s="6">
        <v>71.81836422298053</v>
      </c>
      <c r="AP814" s="6">
        <v>0</v>
      </c>
      <c r="AQ814" s="6">
        <v>0</v>
      </c>
      <c r="AR814" s="6">
        <v>0</v>
      </c>
      <c r="AS814" s="6">
        <v>0</v>
      </c>
      <c r="AT814" s="6">
        <v>0</v>
      </c>
      <c r="AU814" s="6">
        <v>0</v>
      </c>
      <c r="AV814" s="6">
        <v>0</v>
      </c>
      <c r="AW814" s="6">
        <v>0</v>
      </c>
      <c r="AX814" s="6">
        <v>0</v>
      </c>
      <c r="AY814" s="6">
        <v>0</v>
      </c>
      <c r="AZ814" s="6">
        <v>0</v>
      </c>
      <c r="BA814" s="6">
        <v>0</v>
      </c>
      <c r="BB814" s="6">
        <v>0</v>
      </c>
      <c r="BC814" s="6"/>
      <c r="BD814" s="3"/>
      <c r="BE814" s="3"/>
      <c r="BF814" s="7">
        <v>266.20538128387506</v>
      </c>
    </row>
    <row x14ac:dyDescent="0.25" r="815" customHeight="1" ht="12.75">
      <c r="A815" s="5" t="s">
        <v>300</v>
      </c>
      <c r="B815" s="3" t="s">
        <v>859</v>
      </c>
      <c r="C815" s="3" t="s">
        <v>870</v>
      </c>
      <c r="D815" s="3"/>
      <c r="E815" s="3"/>
      <c r="F815" s="6">
        <f>100*SUM(AM815:AO815)/AL815</f>
      </c>
      <c r="G815" s="6">
        <f>100*SUM(AP815)/AL815</f>
      </c>
      <c r="H815" s="6">
        <f>100*SUM(AQ815)/AL815</f>
      </c>
      <c r="I815" s="6">
        <f>100*SUM(AR815:BC815)/AL815</f>
      </c>
      <c r="J815" s="3"/>
      <c r="K815" s="23">
        <v>0.53343</v>
      </c>
      <c r="L815" s="6">
        <v>6.1</v>
      </c>
      <c r="M815" s="6">
        <v>4.6</v>
      </c>
      <c r="N815" s="6">
        <v>102.86</v>
      </c>
      <c r="O815" s="6"/>
      <c r="P815" s="6"/>
      <c r="Q815" s="7"/>
      <c r="R815" s="6"/>
      <c r="S815" s="6"/>
      <c r="T815" s="6"/>
      <c r="U815" s="5"/>
      <c r="V815" s="6"/>
      <c r="W815" s="6"/>
      <c r="X815" s="6"/>
      <c r="Y815" s="15"/>
      <c r="Z815" s="6"/>
      <c r="AA815" s="6"/>
      <c r="AB815" s="5"/>
      <c r="AC815" s="3"/>
      <c r="AD815" s="6">
        <v>0.032539229999999995</v>
      </c>
      <c r="AE815" s="6">
        <v>0.02453778</v>
      </c>
      <c r="AF815" s="7">
        <v>54.868609799999994</v>
      </c>
      <c r="AG815" s="6">
        <v>0</v>
      </c>
      <c r="AH815" s="7">
        <v>0</v>
      </c>
      <c r="AI815" s="15">
        <v>0.05707701</v>
      </c>
      <c r="AJ815" s="6">
        <v>10.7</v>
      </c>
      <c r="AK815" s="3"/>
      <c r="AL815" s="6">
        <v>278.48347833440516</v>
      </c>
      <c r="AM815" s="6">
        <v>115.65331599999999</v>
      </c>
      <c r="AN815" s="6">
        <v>99.89042599999999</v>
      </c>
      <c r="AO815" s="6">
        <v>62.939736334405154</v>
      </c>
      <c r="AP815" s="6">
        <v>0</v>
      </c>
      <c r="AQ815" s="6">
        <v>0</v>
      </c>
      <c r="AR815" s="6">
        <v>0</v>
      </c>
      <c r="AS815" s="6">
        <v>0</v>
      </c>
      <c r="AT815" s="6">
        <v>0</v>
      </c>
      <c r="AU815" s="6">
        <v>0</v>
      </c>
      <c r="AV815" s="6">
        <v>0</v>
      </c>
      <c r="AW815" s="6">
        <v>0</v>
      </c>
      <c r="AX815" s="6">
        <v>0</v>
      </c>
      <c r="AY815" s="6">
        <v>0</v>
      </c>
      <c r="AZ815" s="6">
        <v>0</v>
      </c>
      <c r="BA815" s="6">
        <v>0</v>
      </c>
      <c r="BB815" s="6">
        <v>0</v>
      </c>
      <c r="BC815" s="6"/>
      <c r="BD815" s="3"/>
      <c r="BE815" s="3"/>
      <c r="BF815" s="7">
        <v>148.55144184792172</v>
      </c>
    </row>
    <row x14ac:dyDescent="0.25" r="816" customHeight="1" ht="12.75">
      <c r="A816" s="5" t="s">
        <v>854</v>
      </c>
      <c r="B816" s="3" t="s">
        <v>859</v>
      </c>
      <c r="C816" s="3" t="s">
        <v>870</v>
      </c>
      <c r="D816" s="3"/>
      <c r="E816" s="3"/>
      <c r="F816" s="6">
        <f>100*SUM(AM816:AO816)/AL816</f>
      </c>
      <c r="G816" s="6">
        <f>100*SUM(AP816)/AL816</f>
      </c>
      <c r="H816" s="6">
        <f>100*SUM(AQ816)/AL816</f>
      </c>
      <c r="I816" s="6">
        <f>100*SUM(AR816:BC816)/AL816</f>
      </c>
      <c r="J816" s="3"/>
      <c r="K816" s="6">
        <v>0.54</v>
      </c>
      <c r="L816" s="6">
        <v>0.13</v>
      </c>
      <c r="M816" s="6">
        <v>0.26</v>
      </c>
      <c r="N816" s="5"/>
      <c r="O816" s="6"/>
      <c r="P816" s="6"/>
      <c r="Q816" s="7"/>
      <c r="R816" s="6"/>
      <c r="S816" s="6"/>
      <c r="T816" s="6"/>
      <c r="U816" s="5"/>
      <c r="V816" s="6"/>
      <c r="W816" s="6"/>
      <c r="X816" s="6"/>
      <c r="Y816" s="15"/>
      <c r="Z816" s="6"/>
      <c r="AA816" s="6"/>
      <c r="AB816" s="5"/>
      <c r="AC816" s="3"/>
      <c r="AD816" s="6">
        <v>0.0007020000000000001</v>
      </c>
      <c r="AE816" s="6">
        <v>0.0014040000000000003</v>
      </c>
      <c r="AF816" s="7">
        <v>0</v>
      </c>
      <c r="AG816" s="6">
        <v>0</v>
      </c>
      <c r="AH816" s="7">
        <v>0</v>
      </c>
      <c r="AI816" s="15">
        <v>0.0021060000000000002</v>
      </c>
      <c r="AJ816" s="6">
        <v>0.39</v>
      </c>
      <c r="AK816" s="3"/>
      <c r="AL816" s="6">
        <v>8.1107234</v>
      </c>
      <c r="AM816" s="6">
        <v>2.4647428</v>
      </c>
      <c r="AN816" s="6">
        <v>5.6459806</v>
      </c>
      <c r="AO816" s="6">
        <v>0</v>
      </c>
      <c r="AP816" s="6">
        <v>0</v>
      </c>
      <c r="AQ816" s="6">
        <v>0</v>
      </c>
      <c r="AR816" s="6">
        <v>0</v>
      </c>
      <c r="AS816" s="6">
        <v>0</v>
      </c>
      <c r="AT816" s="6">
        <v>0</v>
      </c>
      <c r="AU816" s="6">
        <v>0</v>
      </c>
      <c r="AV816" s="6">
        <v>0</v>
      </c>
      <c r="AW816" s="6">
        <v>0</v>
      </c>
      <c r="AX816" s="6">
        <v>0</v>
      </c>
      <c r="AY816" s="6">
        <v>0</v>
      </c>
      <c r="AZ816" s="6">
        <v>0</v>
      </c>
      <c r="BA816" s="6">
        <v>0</v>
      </c>
      <c r="BB816" s="6">
        <v>0</v>
      </c>
      <c r="BC816" s="6"/>
      <c r="BD816" s="3"/>
      <c r="BE816" s="3"/>
      <c r="BF816" s="7">
        <v>4.379790636</v>
      </c>
    </row>
    <row x14ac:dyDescent="0.25" r="817" customHeight="1" ht="12.75">
      <c r="A817" s="5" t="s">
        <v>203</v>
      </c>
      <c r="B817" s="3" t="s">
        <v>859</v>
      </c>
      <c r="C817" s="3" t="s">
        <v>870</v>
      </c>
      <c r="D817" s="3"/>
      <c r="E817" s="3"/>
      <c r="F817" s="6">
        <f>100*SUM(AM817:AO817)/AL817</f>
      </c>
      <c r="G817" s="6">
        <f>100*SUM(AP817)/AL817</f>
      </c>
      <c r="H817" s="6">
        <f>100*SUM(AQ817)/AL817</f>
      </c>
      <c r="I817" s="6">
        <f>100*SUM(AR817:BC817)/AL817</f>
      </c>
      <c r="J817" s="3"/>
      <c r="K817" s="5">
        <v>50</v>
      </c>
      <c r="L817" s="5">
        <v>5</v>
      </c>
      <c r="M817" s="6"/>
      <c r="N817" s="5">
        <v>40</v>
      </c>
      <c r="O817" s="6"/>
      <c r="P817" s="6"/>
      <c r="Q817" s="7"/>
      <c r="R817" s="6"/>
      <c r="S817" s="6"/>
      <c r="T817" s="6"/>
      <c r="U817" s="5"/>
      <c r="V817" s="6"/>
      <c r="W817" s="6"/>
      <c r="X817" s="6"/>
      <c r="Y817" s="15"/>
      <c r="Z817" s="6"/>
      <c r="AA817" s="6"/>
      <c r="AB817" s="5"/>
      <c r="AC817" s="3"/>
      <c r="AD817" s="6">
        <v>2.5</v>
      </c>
      <c r="AE817" s="6">
        <v>0</v>
      </c>
      <c r="AF817" s="7">
        <v>2000</v>
      </c>
      <c r="AG817" s="6">
        <v>0</v>
      </c>
      <c r="AH817" s="7">
        <v>0</v>
      </c>
      <c r="AI817" s="15">
        <v>2.5</v>
      </c>
      <c r="AJ817" s="6">
        <v>5</v>
      </c>
      <c r="AK817" s="3"/>
      <c r="AL817" s="6">
        <v>119.27368424437299</v>
      </c>
      <c r="AM817" s="6">
        <v>94.7978</v>
      </c>
      <c r="AN817" s="6">
        <v>0</v>
      </c>
      <c r="AO817" s="6">
        <v>24.475884244372995</v>
      </c>
      <c r="AP817" s="6">
        <v>0</v>
      </c>
      <c r="AQ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v>0</v>
      </c>
      <c r="AW817" s="6">
        <v>0</v>
      </c>
      <c r="AX817" s="6">
        <v>0</v>
      </c>
      <c r="AY817" s="6">
        <v>0</v>
      </c>
      <c r="AZ817" s="6">
        <v>0</v>
      </c>
      <c r="BA817" s="6">
        <v>0</v>
      </c>
      <c r="BB817" s="6">
        <v>0</v>
      </c>
      <c r="BC817" s="6"/>
      <c r="BD817" s="3"/>
      <c r="BE817" s="3"/>
      <c r="BF817" s="7">
        <v>5963.684212218649</v>
      </c>
    </row>
    <row x14ac:dyDescent="0.25" r="818" customHeight="1" ht="12.75">
      <c r="A818" s="5" t="s">
        <v>266</v>
      </c>
      <c r="B818" s="3" t="s">
        <v>859</v>
      </c>
      <c r="C818" s="3" t="s">
        <v>870</v>
      </c>
      <c r="D818" s="3"/>
      <c r="E818" s="3"/>
      <c r="F818" s="6">
        <f>100*SUM(AM818:AO818)/AL818</f>
      </c>
      <c r="G818" s="6">
        <f>100*SUM(AP818)/AL818</f>
      </c>
      <c r="H818" s="6">
        <f>100*SUM(AQ818)/AL818</f>
      </c>
      <c r="I818" s="6">
        <f>100*SUM(AR818:BC818)/AL818</f>
      </c>
      <c r="J818" s="3"/>
      <c r="K818" s="23">
        <v>1.13625</v>
      </c>
      <c r="L818" s="6">
        <v>2.2</v>
      </c>
      <c r="M818" s="6">
        <v>5.1</v>
      </c>
      <c r="N818" s="5">
        <v>336</v>
      </c>
      <c r="O818" s="6"/>
      <c r="P818" s="6">
        <v>0.6</v>
      </c>
      <c r="Q818" s="7"/>
      <c r="R818" s="6"/>
      <c r="S818" s="6"/>
      <c r="T818" s="6"/>
      <c r="U818" s="5"/>
      <c r="V818" s="6"/>
      <c r="W818" s="6"/>
      <c r="X818" s="6"/>
      <c r="Y818" s="15"/>
      <c r="Z818" s="6"/>
      <c r="AA818" s="6"/>
      <c r="AB818" s="5"/>
      <c r="AC818" s="3"/>
      <c r="AD818" s="6">
        <v>0.024997500000000002</v>
      </c>
      <c r="AE818" s="6">
        <v>0.05794874999999999</v>
      </c>
      <c r="AF818" s="7">
        <v>381.78</v>
      </c>
      <c r="AG818" s="6">
        <v>0</v>
      </c>
      <c r="AH818" s="7">
        <v>0.68175</v>
      </c>
      <c r="AI818" s="15">
        <v>0.08294625</v>
      </c>
      <c r="AJ818" s="6">
        <v>7.3</v>
      </c>
      <c r="AK818" s="3"/>
      <c r="AL818" s="6">
        <v>382.5581483697749</v>
      </c>
      <c r="AM818" s="6">
        <v>41.711032</v>
      </c>
      <c r="AN818" s="6">
        <v>110.74808099999998</v>
      </c>
      <c r="AO818" s="6">
        <v>205.59742765273313</v>
      </c>
      <c r="AP818" s="6">
        <v>0</v>
      </c>
      <c r="AQ818" s="6">
        <v>24.5016077170418</v>
      </c>
      <c r="AR818" s="6">
        <v>0</v>
      </c>
      <c r="AS818" s="6">
        <v>0</v>
      </c>
      <c r="AT818" s="6">
        <v>0</v>
      </c>
      <c r="AU818" s="6">
        <v>0</v>
      </c>
      <c r="AV818" s="6">
        <v>0</v>
      </c>
      <c r="AW818" s="6">
        <v>0</v>
      </c>
      <c r="AX818" s="6">
        <v>0</v>
      </c>
      <c r="AY818" s="6">
        <v>0</v>
      </c>
      <c r="AZ818" s="6">
        <v>0</v>
      </c>
      <c r="BA818" s="6">
        <v>0</v>
      </c>
      <c r="BB818" s="6">
        <v>0</v>
      </c>
      <c r="BC818" s="6"/>
      <c r="BD818" s="3"/>
      <c r="BE818" s="3"/>
      <c r="BF818" s="7">
        <v>434.6816960851568</v>
      </c>
    </row>
    <row x14ac:dyDescent="0.25" r="819" customHeight="1" ht="12.75">
      <c r="A819" s="5" t="s">
        <v>439</v>
      </c>
      <c r="B819" s="3" t="s">
        <v>859</v>
      </c>
      <c r="C819" s="3" t="s">
        <v>870</v>
      </c>
      <c r="D819" s="3"/>
      <c r="E819" s="3"/>
      <c r="F819" s="6">
        <f>100*SUM(AM819:AO819)/AL819</f>
      </c>
      <c r="G819" s="6">
        <f>100*SUM(AP819)/AL819</f>
      </c>
      <c r="H819" s="6">
        <f>100*SUM(AQ819)/AL819</f>
      </c>
      <c r="I819" s="6">
        <f>100*SUM(AR819:BC819)/AL819</f>
      </c>
      <c r="J819" s="3"/>
      <c r="K819" s="5">
        <v>13</v>
      </c>
      <c r="L819" s="6">
        <v>1.8</v>
      </c>
      <c r="M819" s="6">
        <v>5.6</v>
      </c>
      <c r="N819" s="5">
        <v>65</v>
      </c>
      <c r="O819" s="6">
        <v>0.2</v>
      </c>
      <c r="P819" s="6"/>
      <c r="Q819" s="7"/>
      <c r="R819" s="6"/>
      <c r="S819" s="6"/>
      <c r="T819" s="6"/>
      <c r="U819" s="5"/>
      <c r="V819" s="6"/>
      <c r="W819" s="6"/>
      <c r="X819" s="6"/>
      <c r="Y819" s="15"/>
      <c r="Z819" s="6"/>
      <c r="AA819" s="6"/>
      <c r="AB819" s="5"/>
      <c r="AC819" s="3"/>
      <c r="AD819" s="6">
        <v>0.234</v>
      </c>
      <c r="AE819" s="6">
        <v>0.728</v>
      </c>
      <c r="AF819" s="7">
        <v>845</v>
      </c>
      <c r="AG819" s="6">
        <v>0.026000000000000002</v>
      </c>
      <c r="AH819" s="7">
        <v>0</v>
      </c>
      <c r="AI819" s="15">
        <v>0.988</v>
      </c>
      <c r="AJ819" s="6">
        <v>7.6</v>
      </c>
      <c r="AK819" s="3"/>
      <c r="AL819" s="6">
        <v>209.3952358971061</v>
      </c>
      <c r="AM819" s="6">
        <v>34.127208</v>
      </c>
      <c r="AN819" s="6">
        <v>121.60573599999998</v>
      </c>
      <c r="AO819" s="6">
        <v>39.77331189710611</v>
      </c>
      <c r="AP819" s="6">
        <v>13.88898</v>
      </c>
      <c r="AQ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v>0</v>
      </c>
      <c r="AW819" s="6">
        <v>0</v>
      </c>
      <c r="AX819" s="6">
        <v>0</v>
      </c>
      <c r="AY819" s="6">
        <v>0</v>
      </c>
      <c r="AZ819" s="6">
        <v>0</v>
      </c>
      <c r="BA819" s="6">
        <v>0</v>
      </c>
      <c r="BB819" s="6">
        <v>0</v>
      </c>
      <c r="BC819" s="6"/>
      <c r="BD819" s="3"/>
      <c r="BE819" s="3"/>
      <c r="BF819" s="7">
        <v>2722.138066662379</v>
      </c>
    </row>
    <row x14ac:dyDescent="0.25" r="820" customHeight="1" ht="12.75">
      <c r="A820" s="5" t="s">
        <v>320</v>
      </c>
      <c r="B820" s="3" t="s">
        <v>859</v>
      </c>
      <c r="C820" s="3" t="s">
        <v>870</v>
      </c>
      <c r="D820" s="3"/>
      <c r="E820" s="3"/>
      <c r="F820" s="6">
        <f>100*SUM(AM820:AO820)/AL820</f>
      </c>
      <c r="G820" s="6">
        <f>100*SUM(AP820)/AL820</f>
      </c>
      <c r="H820" s="6">
        <f>100*SUM(AQ820)/AL820</f>
      </c>
      <c r="I820" s="6">
        <f>100*SUM(AR820:BC820)/AL820</f>
      </c>
      <c r="J820" s="3"/>
      <c r="K820" s="6">
        <v>0.9189936</v>
      </c>
      <c r="L820" s="7">
        <v>0.7169792694965449</v>
      </c>
      <c r="M820" s="7">
        <v>9.406614017769003</v>
      </c>
      <c r="N820" s="31">
        <v>117.42954466712284</v>
      </c>
      <c r="O820" s="6"/>
      <c r="P820" s="7">
        <v>0.685626102292769</v>
      </c>
      <c r="Q820" s="7"/>
      <c r="R820" s="6"/>
      <c r="S820" s="6"/>
      <c r="T820" s="6"/>
      <c r="U820" s="5"/>
      <c r="V820" s="6"/>
      <c r="W820" s="6"/>
      <c r="X820" s="6"/>
      <c r="Y820" s="15"/>
      <c r="Z820" s="6"/>
      <c r="AA820" s="6"/>
      <c r="AB820" s="5"/>
      <c r="AC820" s="3"/>
      <c r="AD820" s="6">
        <v>0.006588993599999999</v>
      </c>
      <c r="AE820" s="6">
        <v>0.08644618080000001</v>
      </c>
      <c r="AF820" s="7">
        <v>107.91700000000002</v>
      </c>
      <c r="AG820" s="6">
        <v>0</v>
      </c>
      <c r="AH820" s="7">
        <v>0.630086</v>
      </c>
      <c r="AI820" s="15">
        <v>0.0930351744</v>
      </c>
      <c r="AJ820" s="6">
        <v>10.123593287265548</v>
      </c>
      <c r="AK820" s="3"/>
      <c r="AL820" s="6">
        <v>317.71418581009317</v>
      </c>
      <c r="AM820" s="6">
        <v>13.593611478775912</v>
      </c>
      <c r="AN820" s="6">
        <v>204.2675394461994</v>
      </c>
      <c r="AO820" s="6">
        <v>71.85479855354816</v>
      </c>
      <c r="AP820" s="6">
        <v>0</v>
      </c>
      <c r="AQ820" s="6">
        <v>27.998236331569665</v>
      </c>
      <c r="AR820" s="6">
        <v>0</v>
      </c>
      <c r="AS820" s="6">
        <v>0</v>
      </c>
      <c r="AT820" s="6">
        <v>0</v>
      </c>
      <c r="AU820" s="6">
        <v>0</v>
      </c>
      <c r="AV820" s="6">
        <v>0</v>
      </c>
      <c r="AW820" s="6">
        <v>0</v>
      </c>
      <c r="AX820" s="6">
        <v>0</v>
      </c>
      <c r="AY820" s="6">
        <v>0</v>
      </c>
      <c r="AZ820" s="6">
        <v>0</v>
      </c>
      <c r="BA820" s="6">
        <v>0</v>
      </c>
      <c r="BB820" s="6">
        <v>0</v>
      </c>
      <c r="BC820" s="6"/>
      <c r="BD820" s="3"/>
      <c r="BE820" s="3"/>
      <c r="BF820" s="7">
        <v>291.97730338868644</v>
      </c>
    </row>
    <row x14ac:dyDescent="0.25" r="821" customHeight="1" ht="12.75">
      <c r="A821" s="5" t="s">
        <v>225</v>
      </c>
      <c r="B821" s="3" t="s">
        <v>859</v>
      </c>
      <c r="C821" s="3" t="s">
        <v>870</v>
      </c>
      <c r="D821" s="3"/>
      <c r="E821" s="3"/>
      <c r="F821" s="6">
        <f>100*SUM(AM821:AO821)/AL821</f>
      </c>
      <c r="G821" s="6">
        <f>100*SUM(AP821)/AL821</f>
      </c>
      <c r="H821" s="6">
        <f>100*SUM(AQ821)/AL821</f>
      </c>
      <c r="I821" s="6">
        <f>100*SUM(AR821:BC821)/AL821</f>
      </c>
      <c r="J821" s="3"/>
      <c r="K821" s="23">
        <v>0.41634999999999994</v>
      </c>
      <c r="L821" s="7">
        <v>5.892510940314641</v>
      </c>
      <c r="M821" s="6">
        <v>5.516998486850007</v>
      </c>
      <c r="N821" s="7">
        <v>247.09447837156242</v>
      </c>
      <c r="O821" s="6"/>
      <c r="P821" s="6">
        <v>0.9504208478443618</v>
      </c>
      <c r="Q821" s="7"/>
      <c r="R821" s="6"/>
      <c r="S821" s="6"/>
      <c r="T821" s="6"/>
      <c r="U821" s="5"/>
      <c r="V821" s="6"/>
      <c r="W821" s="6"/>
      <c r="X821" s="6"/>
      <c r="Y821" s="15"/>
      <c r="Z821" s="6"/>
      <c r="AA821" s="6"/>
      <c r="AB821" s="5"/>
      <c r="AC821" s="3"/>
      <c r="AD821" s="6">
        <v>0.024533469300000003</v>
      </c>
      <c r="AE821" s="6">
        <v>0.0229700232</v>
      </c>
      <c r="AF821" s="7">
        <v>102.87778607</v>
      </c>
      <c r="AG821" s="6">
        <v>0</v>
      </c>
      <c r="AH821" s="7">
        <v>0.39570772</v>
      </c>
      <c r="AI821" s="15">
        <v>0.0475034925</v>
      </c>
      <c r="AJ821" s="6">
        <v>11.409509427164647</v>
      </c>
      <c r="AK821" s="3"/>
      <c r="AL821" s="6">
        <v>421.5305413528176</v>
      </c>
      <c r="AM821" s="6">
        <v>111.71941472355185</v>
      </c>
      <c r="AN821" s="6">
        <v>119.80333241147882</v>
      </c>
      <c r="AO821" s="6">
        <v>151.1963962511522</v>
      </c>
      <c r="AP821" s="6">
        <v>0</v>
      </c>
      <c r="AQ821" s="6">
        <v>38.81139796663471</v>
      </c>
      <c r="AR821" s="6">
        <v>0</v>
      </c>
      <c r="AS821" s="6">
        <v>0</v>
      </c>
      <c r="AT821" s="6">
        <v>0</v>
      </c>
      <c r="AU821" s="6">
        <v>0</v>
      </c>
      <c r="AV821" s="6">
        <v>0</v>
      </c>
      <c r="AW821" s="6">
        <v>0</v>
      </c>
      <c r="AX821" s="6">
        <v>0</v>
      </c>
      <c r="AY821" s="6">
        <v>0</v>
      </c>
      <c r="AZ821" s="6">
        <v>0</v>
      </c>
      <c r="BA821" s="6">
        <v>0</v>
      </c>
      <c r="BB821" s="6">
        <v>0</v>
      </c>
      <c r="BC821" s="6"/>
      <c r="BD821" s="3"/>
      <c r="BE821" s="3"/>
      <c r="BF821" s="7">
        <v>175.50424089224558</v>
      </c>
    </row>
    <row x14ac:dyDescent="0.25" r="822" customHeight="1" ht="12.75">
      <c r="A822" s="5" t="s">
        <v>807</v>
      </c>
      <c r="B822" s="3" t="s">
        <v>859</v>
      </c>
      <c r="C822" s="3" t="s">
        <v>870</v>
      </c>
      <c r="D822" s="3" t="s">
        <v>870</v>
      </c>
      <c r="E822" s="3"/>
      <c r="F822" s="6">
        <f>100*SUM(AM822:AO822)/AL822</f>
      </c>
      <c r="G822" s="6">
        <f>100*SUM(AP822)/AL822</f>
      </c>
      <c r="H822" s="6">
        <f>100*SUM(AQ822)/AL822</f>
      </c>
      <c r="I822" s="6">
        <f>100*SUM(AR822:BC822)/AL822</f>
      </c>
      <c r="J822" s="3"/>
      <c r="K822" s="23">
        <v>0.296</v>
      </c>
      <c r="L822" s="6">
        <v>0.7649999999999999</v>
      </c>
      <c r="M822" s="6">
        <v>2.575</v>
      </c>
      <c r="N822" s="7">
        <v>52.3</v>
      </c>
      <c r="O822" s="6">
        <v>0.195</v>
      </c>
      <c r="P822" s="6"/>
      <c r="Q822" s="7"/>
      <c r="R822" s="6"/>
      <c r="S822" s="6"/>
      <c r="T822" s="6"/>
      <c r="U822" s="5"/>
      <c r="V822" s="6"/>
      <c r="W822" s="6"/>
      <c r="X822" s="6"/>
      <c r="Y822" s="15"/>
      <c r="Z822" s="6"/>
      <c r="AA822" s="6"/>
      <c r="AB822" s="5"/>
      <c r="AC822" s="3"/>
      <c r="AD822" s="6">
        <v>0.0022643999999999993</v>
      </c>
      <c r="AE822" s="6">
        <v>0.007622</v>
      </c>
      <c r="AF822" s="7">
        <v>15.480799999999999</v>
      </c>
      <c r="AG822" s="6">
        <v>0.0005772</v>
      </c>
      <c r="AH822" s="7">
        <v>0</v>
      </c>
      <c r="AI822" s="15">
        <v>0.0104636</v>
      </c>
      <c r="AJ822" s="6">
        <v>3.5349999999999997</v>
      </c>
      <c r="AK822" s="3"/>
      <c r="AL822" s="6">
        <v>115.96496079951768</v>
      </c>
      <c r="AM822" s="6">
        <v>14.504063399999996</v>
      </c>
      <c r="AN822" s="6">
        <v>55.91692325</v>
      </c>
      <c r="AO822" s="6">
        <v>32.00221864951769</v>
      </c>
      <c r="AP822" s="6">
        <v>13.5417555</v>
      </c>
      <c r="AQ822" s="6">
        <v>0</v>
      </c>
      <c r="AR822" s="6">
        <v>0</v>
      </c>
      <c r="AS822" s="6">
        <v>0</v>
      </c>
      <c r="AT822" s="6">
        <v>0</v>
      </c>
      <c r="AU822" s="6">
        <v>0</v>
      </c>
      <c r="AV822" s="6">
        <v>0</v>
      </c>
      <c r="AW822" s="6">
        <v>0</v>
      </c>
      <c r="AX822" s="6">
        <v>0</v>
      </c>
      <c r="AY822" s="6">
        <v>0</v>
      </c>
      <c r="AZ822" s="6">
        <v>0</v>
      </c>
      <c r="BA822" s="6">
        <v>0</v>
      </c>
      <c r="BB822" s="6">
        <v>0</v>
      </c>
      <c r="BC822" s="6"/>
      <c r="BD822" s="3"/>
      <c r="BE822" s="3"/>
      <c r="BF822" s="7">
        <v>34.32562839665723</v>
      </c>
    </row>
    <row x14ac:dyDescent="0.25" r="823" customHeight="1" ht="12.75">
      <c r="A823" s="5" t="s">
        <v>202</v>
      </c>
      <c r="B823" s="3" t="s">
        <v>859</v>
      </c>
      <c r="C823" s="3" t="s">
        <v>870</v>
      </c>
      <c r="D823" s="3"/>
      <c r="E823" s="3"/>
      <c r="F823" s="6">
        <f>100*SUM(AM823:AO823)/AL823</f>
      </c>
      <c r="G823" s="6">
        <f>100*SUM(AP823)/AL823</f>
      </c>
      <c r="H823" s="6">
        <f>100*SUM(AQ823)/AL823</f>
      </c>
      <c r="I823" s="6">
        <f>100*SUM(AR823:BC823)/AL823</f>
      </c>
      <c r="J823" s="3"/>
      <c r="K823" s="6">
        <v>0.11699999999999999</v>
      </c>
      <c r="L823" s="7">
        <v>3.142735042735043</v>
      </c>
      <c r="M823" s="7">
        <v>9.093162393162395</v>
      </c>
      <c r="N823" s="31">
        <v>47.35897435897436</v>
      </c>
      <c r="O823" s="6">
        <v>0.18299145299145303</v>
      </c>
      <c r="P823" s="6">
        <v>0.6235897435897436</v>
      </c>
      <c r="Q823" s="7"/>
      <c r="R823" s="6"/>
      <c r="S823" s="6"/>
      <c r="T823" s="6"/>
      <c r="U823" s="5"/>
      <c r="V823" s="6"/>
      <c r="W823" s="6"/>
      <c r="X823" s="6"/>
      <c r="Y823" s="15"/>
      <c r="Z823" s="6"/>
      <c r="AA823" s="6"/>
      <c r="AB823" s="5"/>
      <c r="AC823" s="3"/>
      <c r="AD823" s="6">
        <v>0.003677</v>
      </c>
      <c r="AE823" s="6">
        <v>0.010639000000000001</v>
      </c>
      <c r="AF823" s="7">
        <v>5.5409999999999995</v>
      </c>
      <c r="AG823" s="6">
        <v>0.00021410000000000003</v>
      </c>
      <c r="AH823" s="7">
        <v>0.07296</v>
      </c>
      <c r="AI823" s="15">
        <v>0.0145301</v>
      </c>
      <c r="AJ823" s="6">
        <v>12.418888888888892</v>
      </c>
      <c r="AK823" s="3"/>
      <c r="AL823" s="6">
        <v>324.1972751567868</v>
      </c>
      <c r="AM823" s="6">
        <v>59.58487360683761</v>
      </c>
      <c r="AN823" s="6">
        <v>197.46084024786327</v>
      </c>
      <c r="AO823" s="6">
        <v>28.978819358562127</v>
      </c>
      <c r="AP823" s="6">
        <v>12.707823153846155</v>
      </c>
      <c r="AQ823" s="6">
        <v>25.464918789677633</v>
      </c>
      <c r="AR823" s="6">
        <v>0</v>
      </c>
      <c r="AS823" s="6">
        <v>0</v>
      </c>
      <c r="AT823" s="6">
        <v>0</v>
      </c>
      <c r="AU823" s="6">
        <v>0</v>
      </c>
      <c r="AV823" s="6">
        <v>0</v>
      </c>
      <c r="AW823" s="6">
        <v>0</v>
      </c>
      <c r="AX823" s="6">
        <v>0</v>
      </c>
      <c r="AY823" s="6">
        <v>0</v>
      </c>
      <c r="AZ823" s="6">
        <v>0</v>
      </c>
      <c r="BA823" s="6">
        <v>0</v>
      </c>
      <c r="BB823" s="6">
        <v>0</v>
      </c>
      <c r="BC823" s="6"/>
      <c r="BD823" s="3"/>
      <c r="BE823" s="3"/>
      <c r="BF823" s="7">
        <v>37.931081193344056</v>
      </c>
    </row>
    <row x14ac:dyDescent="0.25" r="824" customHeight="1" ht="12.75">
      <c r="A824" s="5" t="s">
        <v>632</v>
      </c>
      <c r="B824" s="3" t="s">
        <v>859</v>
      </c>
      <c r="C824" s="3" t="s">
        <v>870</v>
      </c>
      <c r="D824" s="3"/>
      <c r="E824" s="3"/>
      <c r="F824" s="6">
        <f>100*SUM(AM824:AO824)/AL824</f>
      </c>
      <c r="G824" s="6">
        <f>100*SUM(AP824)/AL824</f>
      </c>
      <c r="H824" s="6">
        <f>100*SUM(AQ824)/AL824</f>
      </c>
      <c r="I824" s="6">
        <f>100*SUM(AR824:BC824)/AL824</f>
      </c>
      <c r="J824" s="3"/>
      <c r="K824" s="6">
        <v>0.0988848</v>
      </c>
      <c r="L824" s="6">
        <v>0.61</v>
      </c>
      <c r="M824" s="6">
        <v>5.2</v>
      </c>
      <c r="N824" s="5"/>
      <c r="O824" s="6">
        <v>0.26</v>
      </c>
      <c r="P824" s="6"/>
      <c r="Q824" s="7"/>
      <c r="R824" s="6"/>
      <c r="S824" s="6"/>
      <c r="T824" s="6"/>
      <c r="U824" s="5"/>
      <c r="V824" s="6"/>
      <c r="W824" s="6"/>
      <c r="X824" s="6"/>
      <c r="Y824" s="15"/>
      <c r="Z824" s="6"/>
      <c r="AA824" s="6"/>
      <c r="AB824" s="5"/>
      <c r="AC824" s="3"/>
      <c r="AD824" s="6">
        <v>0.0006031972799999999</v>
      </c>
      <c r="AE824" s="6">
        <v>0.0051420096000000005</v>
      </c>
      <c r="AF824" s="7">
        <v>0</v>
      </c>
      <c r="AG824" s="6">
        <v>0.00025710048</v>
      </c>
      <c r="AH824" s="7">
        <v>0</v>
      </c>
      <c r="AI824" s="15">
        <v>0.006002307360000001</v>
      </c>
      <c r="AJ824" s="6">
        <v>6.07</v>
      </c>
      <c r="AK824" s="3"/>
      <c r="AL824" s="6">
        <v>142.5406176</v>
      </c>
      <c r="AM824" s="6">
        <v>11.565331599999999</v>
      </c>
      <c r="AN824" s="6">
        <v>112.919612</v>
      </c>
      <c r="AO824" s="6">
        <v>0</v>
      </c>
      <c r="AP824" s="6">
        <v>18.055674</v>
      </c>
      <c r="AQ824" s="6">
        <v>0</v>
      </c>
      <c r="AR824" s="6">
        <v>0</v>
      </c>
      <c r="AS824" s="6">
        <v>0</v>
      </c>
      <c r="AT824" s="6">
        <v>0</v>
      </c>
      <c r="AU824" s="6">
        <v>0</v>
      </c>
      <c r="AV824" s="6">
        <v>0</v>
      </c>
      <c r="AW824" s="6">
        <v>0</v>
      </c>
      <c r="AX824" s="6">
        <v>0</v>
      </c>
      <c r="AY824" s="6">
        <v>0</v>
      </c>
      <c r="AZ824" s="6">
        <v>0</v>
      </c>
      <c r="BA824" s="6">
        <v>0</v>
      </c>
      <c r="BB824" s="6">
        <v>0</v>
      </c>
      <c r="BC824" s="6"/>
      <c r="BD824" s="3"/>
      <c r="BE824" s="3"/>
      <c r="BF824" s="7">
        <v>14.095100463252479</v>
      </c>
    </row>
    <row x14ac:dyDescent="0.25" r="825" customHeight="1" ht="12.75">
      <c r="A825" s="5" t="s">
        <v>765</v>
      </c>
      <c r="B825" s="3" t="s">
        <v>859</v>
      </c>
      <c r="C825" s="3" t="s">
        <v>870</v>
      </c>
      <c r="D825" s="3"/>
      <c r="E825" s="3"/>
      <c r="F825" s="6">
        <f>100*SUM(AM825:AO825)/AL825</f>
      </c>
      <c r="G825" s="6">
        <f>100*SUM(AP825)/AL825</f>
      </c>
      <c r="H825" s="6">
        <f>100*SUM(AQ825)/AL825</f>
      </c>
      <c r="I825" s="6">
        <f>100*SUM(AR825:BC825)/AL825</f>
      </c>
      <c r="J825" s="3"/>
      <c r="K825" s="6">
        <v>1.34</v>
      </c>
      <c r="L825" s="6">
        <v>0.4</v>
      </c>
      <c r="M825" s="6">
        <v>3.8</v>
      </c>
      <c r="N825" s="5">
        <v>13</v>
      </c>
      <c r="O825" s="6">
        <v>0.1</v>
      </c>
      <c r="P825" s="6">
        <v>0.25</v>
      </c>
      <c r="Q825" s="7"/>
      <c r="R825" s="6"/>
      <c r="S825" s="6"/>
      <c r="T825" s="6"/>
      <c r="U825" s="5"/>
      <c r="V825" s="6"/>
      <c r="W825" s="6"/>
      <c r="X825" s="6"/>
      <c r="Y825" s="15"/>
      <c r="Z825" s="6"/>
      <c r="AA825" s="6"/>
      <c r="AB825" s="5"/>
      <c r="AC825" s="3"/>
      <c r="AD825" s="6">
        <v>0.00536</v>
      </c>
      <c r="AE825" s="6">
        <v>0.05091999999999999</v>
      </c>
      <c r="AF825" s="7">
        <v>17.42</v>
      </c>
      <c r="AG825" s="6">
        <v>0.00134</v>
      </c>
      <c r="AH825" s="7">
        <v>0.335</v>
      </c>
      <c r="AI825" s="15">
        <v>0.05762</v>
      </c>
      <c r="AJ825" s="6">
        <v>4.3</v>
      </c>
      <c r="AK825" s="3"/>
      <c r="AL825" s="6">
        <v>115.2101575948553</v>
      </c>
      <c r="AM825" s="6">
        <v>7.583824</v>
      </c>
      <c r="AN825" s="6">
        <v>82.51817799999999</v>
      </c>
      <c r="AO825" s="6">
        <v>7.954662379421222</v>
      </c>
      <c r="AP825" s="6">
        <v>6.94449</v>
      </c>
      <c r="AQ825" s="6">
        <v>10.209003215434084</v>
      </c>
      <c r="AR825" s="6">
        <v>0</v>
      </c>
      <c r="AS825" s="6">
        <v>0</v>
      </c>
      <c r="AT825" s="6">
        <v>0</v>
      </c>
      <c r="AU825" s="6">
        <v>0</v>
      </c>
      <c r="AV825" s="6">
        <v>0</v>
      </c>
      <c r="AW825" s="6">
        <v>0</v>
      </c>
      <c r="AX825" s="6">
        <v>0</v>
      </c>
      <c r="AY825" s="6">
        <v>0</v>
      </c>
      <c r="AZ825" s="6">
        <v>0</v>
      </c>
      <c r="BA825" s="6">
        <v>0</v>
      </c>
      <c r="BB825" s="6">
        <v>0</v>
      </c>
      <c r="BC825" s="6"/>
      <c r="BD825" s="3"/>
      <c r="BE825" s="3"/>
      <c r="BF825" s="7">
        <v>154.38161117710612</v>
      </c>
    </row>
    <row x14ac:dyDescent="0.25" r="826" customHeight="1" ht="12.75">
      <c r="A826" s="5" t="s">
        <v>542</v>
      </c>
      <c r="B826" s="3" t="s">
        <v>859</v>
      </c>
      <c r="C826" s="3" t="s">
        <v>870</v>
      </c>
      <c r="D826" s="3"/>
      <c r="E826" s="3"/>
      <c r="F826" s="6">
        <f>100*SUM(AM826:AO826)/AL826</f>
      </c>
      <c r="G826" s="6">
        <f>100*SUM(AP826)/AL826</f>
      </c>
      <c r="H826" s="6">
        <f>100*SUM(AQ826)/AL826</f>
      </c>
      <c r="I826" s="6">
        <f>100*SUM(AR826:BC826)/AL826</f>
      </c>
      <c r="J826" s="3"/>
      <c r="K826" s="7">
        <v>1</v>
      </c>
      <c r="L826" s="7"/>
      <c r="M826" s="7">
        <v>6.7</v>
      </c>
      <c r="N826" s="31"/>
      <c r="O826" s="6">
        <v>0.4</v>
      </c>
      <c r="P826" s="6"/>
      <c r="Q826" s="7"/>
      <c r="R826" s="6"/>
      <c r="S826" s="6"/>
      <c r="T826" s="6"/>
      <c r="U826" s="5"/>
      <c r="V826" s="6"/>
      <c r="W826" s="6"/>
      <c r="X826" s="6"/>
      <c r="Y826" s="15"/>
      <c r="Z826" s="6"/>
      <c r="AA826" s="6"/>
      <c r="AB826" s="5"/>
      <c r="AC826" s="3"/>
      <c r="AD826" s="6">
        <v>0</v>
      </c>
      <c r="AE826" s="6">
        <v>0.067</v>
      </c>
      <c r="AF826" s="7">
        <v>0</v>
      </c>
      <c r="AG826" s="6">
        <v>0.004</v>
      </c>
      <c r="AH826" s="7">
        <v>0</v>
      </c>
      <c r="AI826" s="15">
        <v>0.07100000000000001</v>
      </c>
      <c r="AJ826" s="6">
        <v>7.1000000000000005</v>
      </c>
      <c r="AK826" s="3"/>
      <c r="AL826" s="6">
        <v>173.27053700000002</v>
      </c>
      <c r="AM826" s="6">
        <v>0</v>
      </c>
      <c r="AN826" s="6">
        <v>145.492577</v>
      </c>
      <c r="AO826" s="6">
        <v>0</v>
      </c>
      <c r="AP826" s="6">
        <v>27.77796</v>
      </c>
      <c r="AQ826" s="6">
        <v>0</v>
      </c>
      <c r="AR826" s="6">
        <v>0</v>
      </c>
      <c r="AS826" s="6">
        <v>0</v>
      </c>
      <c r="AT826" s="6">
        <v>0</v>
      </c>
      <c r="AU826" s="6">
        <v>0</v>
      </c>
      <c r="AV826" s="6">
        <v>0</v>
      </c>
      <c r="AW826" s="6">
        <v>0</v>
      </c>
      <c r="AX826" s="6">
        <v>0</v>
      </c>
      <c r="AY826" s="6">
        <v>0</v>
      </c>
      <c r="AZ826" s="6">
        <v>0</v>
      </c>
      <c r="BA826" s="6">
        <v>0</v>
      </c>
      <c r="BB826" s="6">
        <v>0</v>
      </c>
      <c r="BC826" s="6"/>
      <c r="BD826" s="3"/>
      <c r="BE826" s="3"/>
      <c r="BF826" s="7">
        <v>173.27053700000002</v>
      </c>
    </row>
    <row x14ac:dyDescent="0.25" r="827" customHeight="1" ht="12.75">
      <c r="A827" s="5" t="s">
        <v>549</v>
      </c>
      <c r="B827" s="3" t="s">
        <v>859</v>
      </c>
      <c r="C827" s="3" t="s">
        <v>870</v>
      </c>
      <c r="D827" s="3"/>
      <c r="E827" s="3"/>
      <c r="F827" s="6">
        <f>100*SUM(AM827:AO827)/AL827</f>
      </c>
      <c r="G827" s="6">
        <f>100*SUM(AP827)/AL827</f>
      </c>
      <c r="H827" s="6">
        <f>100*SUM(AQ827)/AL827</f>
      </c>
      <c r="I827" s="6">
        <f>100*SUM(AR827:BC827)/AL827</f>
      </c>
      <c r="J827" s="3"/>
      <c r="K827" s="23">
        <v>0.249906</v>
      </c>
      <c r="L827" s="6">
        <v>1.24</v>
      </c>
      <c r="M827" s="6">
        <v>2.19</v>
      </c>
      <c r="N827" s="6">
        <v>226.6</v>
      </c>
      <c r="O827" s="6">
        <v>0.28</v>
      </c>
      <c r="P827" s="6">
        <v>0.58</v>
      </c>
      <c r="Q827" s="7"/>
      <c r="R827" s="6"/>
      <c r="S827" s="6"/>
      <c r="T827" s="6"/>
      <c r="U827" s="5"/>
      <c r="V827" s="6"/>
      <c r="W827" s="6"/>
      <c r="X827" s="6"/>
      <c r="Y827" s="15"/>
      <c r="Z827" s="6"/>
      <c r="AA827" s="6"/>
      <c r="AB827" s="5"/>
      <c r="AC827" s="3"/>
      <c r="AD827" s="6">
        <v>0.0030988344</v>
      </c>
      <c r="AE827" s="6">
        <v>0.0054729413999999995</v>
      </c>
      <c r="AF827" s="7">
        <v>56.6286996</v>
      </c>
      <c r="AG827" s="6">
        <v>0.0006997368000000001</v>
      </c>
      <c r="AH827" s="7">
        <v>0.14494548</v>
      </c>
      <c r="AI827" s="15">
        <v>0.0092715126</v>
      </c>
      <c r="AJ827" s="6">
        <v>3.71</v>
      </c>
      <c r="AK827" s="3"/>
      <c r="AL827" s="6">
        <v>252.85172700418005</v>
      </c>
      <c r="AM827" s="6">
        <v>23.5098544</v>
      </c>
      <c r="AN827" s="6">
        <v>47.556528899999996</v>
      </c>
      <c r="AO827" s="6">
        <v>138.655884244373</v>
      </c>
      <c r="AP827" s="6">
        <v>19.444572</v>
      </c>
      <c r="AQ827" s="6">
        <v>23.684887459807072</v>
      </c>
      <c r="AR827" s="6">
        <v>0</v>
      </c>
      <c r="AS827" s="6">
        <v>0</v>
      </c>
      <c r="AT827" s="6">
        <v>0</v>
      </c>
      <c r="AU827" s="6">
        <v>0</v>
      </c>
      <c r="AV827" s="6">
        <v>0</v>
      </c>
      <c r="AW827" s="6">
        <v>0</v>
      </c>
      <c r="AX827" s="6">
        <v>0</v>
      </c>
      <c r="AY827" s="6">
        <v>0</v>
      </c>
      <c r="AZ827" s="6">
        <v>0</v>
      </c>
      <c r="BA827" s="6">
        <v>0</v>
      </c>
      <c r="BB827" s="6">
        <v>0</v>
      </c>
      <c r="BC827" s="6"/>
      <c r="BD827" s="3"/>
      <c r="BE827" s="3"/>
      <c r="BF827" s="7">
        <v>63.189163688706614</v>
      </c>
    </row>
    <row x14ac:dyDescent="0.25" r="828" customHeight="1" ht="12.75">
      <c r="A828" s="5" t="s">
        <v>139</v>
      </c>
      <c r="B828" s="3" t="s">
        <v>859</v>
      </c>
      <c r="C828" s="3" t="s">
        <v>870</v>
      </c>
      <c r="D828" s="3"/>
      <c r="E828" s="3"/>
      <c r="F828" s="6">
        <f>100*SUM(AM828:AO828)/AL828</f>
      </c>
      <c r="G828" s="6">
        <f>100*SUM(AP828)/AL828</f>
      </c>
      <c r="H828" s="6">
        <f>100*SUM(AQ828)/AL828</f>
      </c>
      <c r="I828" s="6">
        <f>100*SUM(AR828:BC828)/AL828</f>
      </c>
      <c r="J828" s="3"/>
      <c r="K828" s="6">
        <v>0.65</v>
      </c>
      <c r="L828" s="7">
        <v>2</v>
      </c>
      <c r="M828" s="7">
        <v>9</v>
      </c>
      <c r="N828" s="5">
        <v>280</v>
      </c>
      <c r="O828" s="6">
        <v>0.5</v>
      </c>
      <c r="P828" s="6">
        <v>1.7</v>
      </c>
      <c r="Q828" s="7"/>
      <c r="R828" s="6"/>
      <c r="S828" s="6"/>
      <c r="T828" s="6"/>
      <c r="U828" s="5"/>
      <c r="V828" s="6"/>
      <c r="W828" s="6"/>
      <c r="X828" s="6"/>
      <c r="Y828" s="15"/>
      <c r="Z828" s="6"/>
      <c r="AA828" s="6"/>
      <c r="AB828" s="5"/>
      <c r="AC828" s="3"/>
      <c r="AD828" s="6">
        <v>0.013000000000000001</v>
      </c>
      <c r="AE828" s="6">
        <v>0.0585</v>
      </c>
      <c r="AF828" s="7">
        <v>182</v>
      </c>
      <c r="AG828" s="6">
        <v>0.0032500000000000003</v>
      </c>
      <c r="AH828" s="7">
        <v>1.105</v>
      </c>
      <c r="AI828" s="15">
        <v>0.07475000000000001</v>
      </c>
      <c r="AJ828" s="6">
        <v>11.5</v>
      </c>
      <c r="AK828" s="3"/>
      <c r="AL828" s="6">
        <v>508.8317715755627</v>
      </c>
      <c r="AM828" s="6">
        <v>37.91912</v>
      </c>
      <c r="AN828" s="6">
        <v>195.43778999999998</v>
      </c>
      <c r="AO828" s="6">
        <v>171.33118971061094</v>
      </c>
      <c r="AP828" s="6">
        <v>34.72245</v>
      </c>
      <c r="AQ828" s="6">
        <v>69.42122186495178</v>
      </c>
      <c r="AR828" s="6">
        <v>0</v>
      </c>
      <c r="AS828" s="6">
        <v>0</v>
      </c>
      <c r="AT828" s="6">
        <v>0</v>
      </c>
      <c r="AU828" s="6">
        <v>0</v>
      </c>
      <c r="AV828" s="6">
        <v>0</v>
      </c>
      <c r="AW828" s="6">
        <v>0</v>
      </c>
      <c r="AX828" s="6">
        <v>0</v>
      </c>
      <c r="AY828" s="6">
        <v>0</v>
      </c>
      <c r="AZ828" s="6">
        <v>0</v>
      </c>
      <c r="BA828" s="6">
        <v>0</v>
      </c>
      <c r="BB828" s="6">
        <v>0</v>
      </c>
      <c r="BC828" s="6"/>
      <c r="BD828" s="3"/>
      <c r="BE828" s="3"/>
      <c r="BF828" s="7">
        <v>330.7406515241158</v>
      </c>
    </row>
    <row x14ac:dyDescent="0.25" r="829" customHeight="1" ht="12.75">
      <c r="A829" s="5" t="s">
        <v>819</v>
      </c>
      <c r="B829" s="3" t="s">
        <v>859</v>
      </c>
      <c r="C829" s="3" t="s">
        <v>870</v>
      </c>
      <c r="D829" s="3"/>
      <c r="E829" s="3"/>
      <c r="F829" s="6">
        <f>100*SUM(AM829:AO829)/AL829</f>
      </c>
      <c r="G829" s="6">
        <f>100*SUM(AP829)/AL829</f>
      </c>
      <c r="H829" s="6">
        <f>100*SUM(AQ829)/AL829</f>
      </c>
      <c r="I829" s="6">
        <f>100*SUM(AR829:BC829)/AL829</f>
      </c>
      <c r="J829" s="3"/>
      <c r="K829" s="23">
        <v>0.259637</v>
      </c>
      <c r="L829" s="6"/>
      <c r="M829" s="6">
        <v>3.05</v>
      </c>
      <c r="N829" s="5"/>
      <c r="O829" s="6"/>
      <c r="P829" s="6">
        <v>0.58</v>
      </c>
      <c r="Q829" s="7"/>
      <c r="R829" s="6"/>
      <c r="S829" s="6"/>
      <c r="T829" s="6"/>
      <c r="U829" s="5"/>
      <c r="V829" s="6"/>
      <c r="W829" s="6"/>
      <c r="X829" s="6"/>
      <c r="Y829" s="15"/>
      <c r="Z829" s="6"/>
      <c r="AA829" s="6"/>
      <c r="AB829" s="5"/>
      <c r="AC829" s="3"/>
      <c r="AD829" s="6">
        <v>0</v>
      </c>
      <c r="AE829" s="6">
        <v>0.0079189285</v>
      </c>
      <c r="AF829" s="7">
        <v>0</v>
      </c>
      <c r="AG829" s="6">
        <v>0</v>
      </c>
      <c r="AH829" s="7">
        <v>0.15058945999999998</v>
      </c>
      <c r="AI829" s="15">
        <v>0.0079189285</v>
      </c>
      <c r="AJ829" s="6">
        <v>3.05</v>
      </c>
      <c r="AK829" s="3"/>
      <c r="AL829" s="6">
        <v>89.91658295980707</v>
      </c>
      <c r="AM829" s="6">
        <v>0</v>
      </c>
      <c r="AN829" s="6">
        <v>66.2316955</v>
      </c>
      <c r="AO829" s="6">
        <v>0</v>
      </c>
      <c r="AP829" s="6">
        <v>0</v>
      </c>
      <c r="AQ829" s="6">
        <v>23.684887459807072</v>
      </c>
      <c r="AR829" s="6">
        <v>0</v>
      </c>
      <c r="AS829" s="6">
        <v>0</v>
      </c>
      <c r="AT829" s="6">
        <v>0</v>
      </c>
      <c r="AU829" s="6">
        <v>0</v>
      </c>
      <c r="AV829" s="6">
        <v>0</v>
      </c>
      <c r="AW829" s="6">
        <v>0</v>
      </c>
      <c r="AX829" s="6">
        <v>0</v>
      </c>
      <c r="AY829" s="6">
        <v>0</v>
      </c>
      <c r="AZ829" s="6">
        <v>0</v>
      </c>
      <c r="BA829" s="6">
        <v>0</v>
      </c>
      <c r="BB829" s="6">
        <v>0</v>
      </c>
      <c r="BC829" s="6"/>
      <c r="BD829" s="3"/>
      <c r="BE829" s="3"/>
      <c r="BF829" s="7">
        <v>23.345671849935428</v>
      </c>
    </row>
    <row x14ac:dyDescent="0.25" r="830" customHeight="1" ht="12.75">
      <c r="A830" s="5" t="s">
        <v>447</v>
      </c>
      <c r="B830" s="3" t="s">
        <v>859</v>
      </c>
      <c r="C830" s="3" t="s">
        <v>870</v>
      </c>
      <c r="D830" s="3"/>
      <c r="E830" s="3"/>
      <c r="F830" s="6">
        <f>100*SUM(AM830:AO830)/AL830</f>
      </c>
      <c r="G830" s="6">
        <f>100*SUM(AP830)/AL830</f>
      </c>
      <c r="H830" s="6">
        <f>100*SUM(AQ830)/AL830</f>
      </c>
      <c r="I830" s="6">
        <f>100*SUM(AR830:BC830)/AL830</f>
      </c>
      <c r="J830" s="3"/>
      <c r="K830" s="23">
        <v>0.496568</v>
      </c>
      <c r="L830" s="6">
        <v>1.7199240184627282</v>
      </c>
      <c r="M830" s="6">
        <v>0.2643362238404408</v>
      </c>
      <c r="N830" s="7">
        <v>277.3401583066166</v>
      </c>
      <c r="O830" s="6">
        <v>0.1764511607675082</v>
      </c>
      <c r="P830" s="6">
        <v>1.56979803370334</v>
      </c>
      <c r="Q830" s="7"/>
      <c r="R830" s="6"/>
      <c r="S830" s="6"/>
      <c r="T830" s="6"/>
      <c r="U830" s="5"/>
      <c r="V830" s="6"/>
      <c r="W830" s="6"/>
      <c r="X830" s="6"/>
      <c r="Y830" s="15"/>
      <c r="Z830" s="6"/>
      <c r="AA830" s="6"/>
      <c r="AB830" s="5"/>
      <c r="AC830" s="3"/>
      <c r="AD830" s="6">
        <v>0.0085405923</v>
      </c>
      <c r="AE830" s="6">
        <v>0.0013126091</v>
      </c>
      <c r="AF830" s="7">
        <v>137.71824773</v>
      </c>
      <c r="AG830" s="6">
        <v>0.0008762</v>
      </c>
      <c r="AH830" s="7">
        <v>0.7795114700000001</v>
      </c>
      <c r="AI830" s="15">
        <v>0.010729401400000001</v>
      </c>
      <c r="AJ830" s="6">
        <v>2.1607114030706773</v>
      </c>
      <c r="AK830" s="3"/>
      <c r="AL830" s="6">
        <v>284.41071185315207</v>
      </c>
      <c r="AM830" s="6">
        <v>32.6090026234852</v>
      </c>
      <c r="AN830" s="6">
        <v>5.7401430449245625</v>
      </c>
      <c r="AO830" s="6">
        <v>169.70364027572074</v>
      </c>
      <c r="AP830" s="6">
        <v>12.25363321438353</v>
      </c>
      <c r="AQ830" s="6">
        <v>64.10429269463799</v>
      </c>
      <c r="AR830" s="6">
        <v>0</v>
      </c>
      <c r="AS830" s="6">
        <v>0</v>
      </c>
      <c r="AT830" s="6">
        <v>0</v>
      </c>
      <c r="AU830" s="6">
        <v>0</v>
      </c>
      <c r="AV830" s="6">
        <v>0</v>
      </c>
      <c r="AW830" s="6">
        <v>0</v>
      </c>
      <c r="AX830" s="6">
        <v>0</v>
      </c>
      <c r="AY830" s="6">
        <v>0</v>
      </c>
      <c r="AZ830" s="6">
        <v>0</v>
      </c>
      <c r="BA830" s="6">
        <v>0</v>
      </c>
      <c r="BB830" s="6">
        <v>0</v>
      </c>
      <c r="BC830" s="6"/>
      <c r="BD830" s="3"/>
      <c r="BE830" s="3"/>
      <c r="BF830" s="7">
        <v>141.22925836349603</v>
      </c>
    </row>
    <row x14ac:dyDescent="0.25" r="831" customHeight="1" ht="12.75">
      <c r="A831" s="5" t="s">
        <v>429</v>
      </c>
      <c r="B831" s="3" t="s">
        <v>859</v>
      </c>
      <c r="C831" s="3" t="s">
        <v>870</v>
      </c>
      <c r="D831" s="3"/>
      <c r="E831" s="3"/>
      <c r="F831" s="6">
        <f>100*SUM(AM831:AO831)/AL831</f>
      </c>
      <c r="G831" s="6">
        <f>100*SUM(AP831)/AL831</f>
      </c>
      <c r="H831" s="6">
        <f>100*SUM(AQ831)/AL831</f>
      </c>
      <c r="I831" s="6">
        <f>100*SUM(AR831:BC831)/AL831</f>
      </c>
      <c r="J831" s="3"/>
      <c r="K831" s="6">
        <v>1.3</v>
      </c>
      <c r="L831" s="6">
        <v>1.6</v>
      </c>
      <c r="M831" s="6">
        <v>4.96</v>
      </c>
      <c r="N831" s="31">
        <v>117.24206349206351</v>
      </c>
      <c r="O831" s="6">
        <v>1.03</v>
      </c>
      <c r="P831" s="6">
        <v>0.2742504409171076</v>
      </c>
      <c r="Q831" s="7"/>
      <c r="R831" s="6"/>
      <c r="S831" s="6"/>
      <c r="T831" s="6"/>
      <c r="U831" s="5"/>
      <c r="V831" s="6"/>
      <c r="W831" s="6"/>
      <c r="X831" s="6"/>
      <c r="Y831" s="15"/>
      <c r="Z831" s="6"/>
      <c r="AA831" s="6"/>
      <c r="AB831" s="5"/>
      <c r="AC831" s="3"/>
      <c r="AD831" s="6">
        <v>0.0208</v>
      </c>
      <c r="AE831" s="6">
        <v>0.06448000000000001</v>
      </c>
      <c r="AF831" s="7">
        <v>152.41468253968256</v>
      </c>
      <c r="AG831" s="6">
        <v>0.013390000000000003</v>
      </c>
      <c r="AH831" s="7">
        <v>0.3565255731922399</v>
      </c>
      <c r="AI831" s="15">
        <v>0.09867000000000001</v>
      </c>
      <c r="AJ831" s="6">
        <v>7.590000000000001</v>
      </c>
      <c r="AK831" s="3"/>
      <c r="AL831" s="6">
        <v>292.5108544977072</v>
      </c>
      <c r="AM831" s="6">
        <v>30.335296</v>
      </c>
      <c r="AN831" s="6">
        <v>107.7079376</v>
      </c>
      <c r="AO831" s="6">
        <v>71.74007936507938</v>
      </c>
      <c r="AP831" s="6">
        <v>71.528247</v>
      </c>
      <c r="AQ831" s="6">
        <v>11.199294532627865</v>
      </c>
      <c r="AR831" s="6">
        <v>0</v>
      </c>
      <c r="AS831" s="6">
        <v>0</v>
      </c>
      <c r="AT831" s="6">
        <v>0</v>
      </c>
      <c r="AU831" s="6">
        <v>0</v>
      </c>
      <c r="AV831" s="6">
        <v>0</v>
      </c>
      <c r="AW831" s="6">
        <v>0</v>
      </c>
      <c r="AX831" s="6">
        <v>0</v>
      </c>
      <c r="AY831" s="6">
        <v>0</v>
      </c>
      <c r="AZ831" s="6">
        <v>0</v>
      </c>
      <c r="BA831" s="6">
        <v>0</v>
      </c>
      <c r="BB831" s="6">
        <v>0</v>
      </c>
      <c r="BC831" s="6"/>
      <c r="BD831" s="3"/>
      <c r="BE831" s="3"/>
      <c r="BF831" s="7">
        <v>380.26411084701937</v>
      </c>
    </row>
    <row x14ac:dyDescent="0.25" r="832" customHeight="1" ht="12.75">
      <c r="A832" s="5" t="s">
        <v>718</v>
      </c>
      <c r="B832" s="3" t="s">
        <v>859</v>
      </c>
      <c r="C832" s="3" t="s">
        <v>870</v>
      </c>
      <c r="D832" s="3"/>
      <c r="E832" s="3"/>
      <c r="F832" s="6">
        <f>100*SUM(AM832:AO832)/AL832</f>
      </c>
      <c r="G832" s="6">
        <f>100*SUM(AP832)/AL832</f>
      </c>
      <c r="H832" s="6">
        <f>100*SUM(AQ832)/AL832</f>
      </c>
      <c r="I832" s="6">
        <f>100*SUM(AR832:BC832)/AL832</f>
      </c>
      <c r="J832" s="3"/>
      <c r="K832" s="6">
        <v>0.2531088</v>
      </c>
      <c r="L832" s="6"/>
      <c r="M832" s="6">
        <v>4.38</v>
      </c>
      <c r="N832" s="6">
        <v>42.16</v>
      </c>
      <c r="O832" s="6">
        <v>0.77</v>
      </c>
      <c r="P832" s="6"/>
      <c r="Q832" s="7"/>
      <c r="R832" s="6"/>
      <c r="S832" s="6"/>
      <c r="T832" s="6"/>
      <c r="U832" s="5"/>
      <c r="V832" s="6"/>
      <c r="W832" s="6"/>
      <c r="X832" s="6"/>
      <c r="Y832" s="15"/>
      <c r="Z832" s="6"/>
      <c r="AA832" s="6"/>
      <c r="AB832" s="5"/>
      <c r="AC832" s="3"/>
      <c r="AD832" s="6">
        <v>0</v>
      </c>
      <c r="AE832" s="6">
        <v>0.01108616544</v>
      </c>
      <c r="AF832" s="7">
        <v>10.671067008</v>
      </c>
      <c r="AG832" s="6">
        <v>0.0019489377600000002</v>
      </c>
      <c r="AH832" s="7">
        <v>0</v>
      </c>
      <c r="AI832" s="15">
        <v>0.0130351032</v>
      </c>
      <c r="AJ832" s="6">
        <v>5.15</v>
      </c>
      <c r="AK832" s="3"/>
      <c r="AL832" s="6">
        <v>174.3832127935691</v>
      </c>
      <c r="AM832" s="6">
        <v>0</v>
      </c>
      <c r="AN832" s="6">
        <v>95.11305779999999</v>
      </c>
      <c r="AO832" s="6">
        <v>25.797581993569132</v>
      </c>
      <c r="AP832" s="6">
        <v>53.472573</v>
      </c>
      <c r="AQ832" s="6">
        <v>0</v>
      </c>
      <c r="AR832" s="6">
        <v>0</v>
      </c>
      <c r="AS832" s="6">
        <v>0</v>
      </c>
      <c r="AT832" s="6">
        <v>0</v>
      </c>
      <c r="AU832" s="6">
        <v>0</v>
      </c>
      <c r="AV832" s="6">
        <v>0</v>
      </c>
      <c r="AW832" s="6">
        <v>0</v>
      </c>
      <c r="AX832" s="6">
        <v>0</v>
      </c>
      <c r="AY832" s="6">
        <v>0</v>
      </c>
      <c r="AZ832" s="6">
        <v>0</v>
      </c>
      <c r="BA832" s="6">
        <v>0</v>
      </c>
      <c r="BB832" s="6">
        <v>0</v>
      </c>
      <c r="BC832" s="6"/>
      <c r="BD832" s="3"/>
      <c r="BE832" s="3"/>
      <c r="BF832" s="7">
        <v>44.13792573032492</v>
      </c>
    </row>
    <row x14ac:dyDescent="0.25" r="833" customHeight="1" ht="12.75">
      <c r="A833" s="5" t="s">
        <v>423</v>
      </c>
      <c r="B833" s="3" t="s">
        <v>859</v>
      </c>
      <c r="C833" s="3" t="s">
        <v>870</v>
      </c>
      <c r="D833" s="3"/>
      <c r="E833" s="3"/>
      <c r="F833" s="6">
        <f>100*SUM(AM833:AO833)/AL833</f>
      </c>
      <c r="G833" s="6">
        <f>100*SUM(AP833)/AL833</f>
      </c>
      <c r="H833" s="6">
        <f>100*SUM(AQ833)/AL833</f>
      </c>
      <c r="I833" s="6">
        <f>100*SUM(AR833:BC833)/AL833</f>
      </c>
      <c r="J833" s="3"/>
      <c r="K833" s="6">
        <v>0.961632</v>
      </c>
      <c r="L833" s="6">
        <v>1.03</v>
      </c>
      <c r="M833" s="6">
        <v>6.86</v>
      </c>
      <c r="N833" s="6">
        <v>54.52</v>
      </c>
      <c r="O833" s="6">
        <v>0.7</v>
      </c>
      <c r="P833" s="6">
        <v>1.02</v>
      </c>
      <c r="Q833" s="7"/>
      <c r="R833" s="6"/>
      <c r="S833" s="6"/>
      <c r="T833" s="6"/>
      <c r="U833" s="5"/>
      <c r="V833" s="6"/>
      <c r="W833" s="6"/>
      <c r="X833" s="6"/>
      <c r="Y833" s="15"/>
      <c r="Z833" s="6"/>
      <c r="AA833" s="6"/>
      <c r="AB833" s="5"/>
      <c r="AC833" s="3"/>
      <c r="AD833" s="6">
        <v>0.009904809600000002</v>
      </c>
      <c r="AE833" s="6">
        <v>0.06596795520000001</v>
      </c>
      <c r="AF833" s="7">
        <v>52.428176640000004</v>
      </c>
      <c r="AG833" s="6">
        <v>0.006731424000000001</v>
      </c>
      <c r="AH833" s="7">
        <v>0.9808646400000001</v>
      </c>
      <c r="AI833" s="15">
        <v>0.08260418880000002</v>
      </c>
      <c r="AJ833" s="6">
        <v>8.59</v>
      </c>
      <c r="AK833" s="3"/>
      <c r="AL833" s="6">
        <v>292.12016674405146</v>
      </c>
      <c r="AM833" s="6">
        <v>19.528346799999998</v>
      </c>
      <c r="AN833" s="6">
        <v>148.96702660000003</v>
      </c>
      <c r="AO833" s="6">
        <v>33.36063022508039</v>
      </c>
      <c r="AP833" s="6">
        <v>48.61142999999999</v>
      </c>
      <c r="AQ833" s="6">
        <v>41.652733118971064</v>
      </c>
      <c r="AR833" s="6">
        <v>0</v>
      </c>
      <c r="AS833" s="6">
        <v>0</v>
      </c>
      <c r="AT833" s="6">
        <v>0</v>
      </c>
      <c r="AU833" s="6">
        <v>0</v>
      </c>
      <c r="AV833" s="6">
        <v>0</v>
      </c>
      <c r="AW833" s="6">
        <v>0</v>
      </c>
      <c r="AX833" s="6">
        <v>0</v>
      </c>
      <c r="AY833" s="6">
        <v>0</v>
      </c>
      <c r="AZ833" s="6">
        <v>0</v>
      </c>
      <c r="BA833" s="6">
        <v>0</v>
      </c>
      <c r="BB833" s="6">
        <v>0</v>
      </c>
      <c r="BC833" s="6"/>
      <c r="BD833" s="3"/>
      <c r="BE833" s="3"/>
      <c r="BF833" s="7">
        <v>280.9121001864157</v>
      </c>
    </row>
    <row x14ac:dyDescent="0.25" r="834" customHeight="1" ht="12.75">
      <c r="A834" s="5" t="s">
        <v>212</v>
      </c>
      <c r="B834" s="3" t="s">
        <v>859</v>
      </c>
      <c r="C834" s="3" t="s">
        <v>870</v>
      </c>
      <c r="D834" s="3" t="s">
        <v>1031</v>
      </c>
      <c r="E834" s="3"/>
      <c r="F834" s="6">
        <f>100*SUM(AM834:AO834)/AL834</f>
      </c>
      <c r="G834" s="6">
        <f>100*SUM(AP834)/AL834</f>
      </c>
      <c r="H834" s="6">
        <f>100*SUM(AQ834)/AL834</f>
      </c>
      <c r="I834" s="6">
        <f>100*SUM(AR834:BC834)/AL834</f>
      </c>
      <c r="J834" s="3"/>
      <c r="K834" s="6">
        <v>89.5</v>
      </c>
      <c r="L834" s="6"/>
      <c r="M834" s="6">
        <v>2.06</v>
      </c>
      <c r="N834" s="6">
        <v>38.4</v>
      </c>
      <c r="O834" s="6">
        <v>0.45</v>
      </c>
      <c r="P834" s="6"/>
      <c r="Q834" s="7"/>
      <c r="R834" s="6"/>
      <c r="S834" s="6"/>
      <c r="T834" s="6"/>
      <c r="U834" s="5"/>
      <c r="V834" s="6"/>
      <c r="W834" s="6"/>
      <c r="X834" s="6"/>
      <c r="Y834" s="15"/>
      <c r="Z834" s="6"/>
      <c r="AA834" s="6"/>
      <c r="AB834" s="5"/>
      <c r="AC834" s="3"/>
      <c r="AD834" s="6">
        <v>0</v>
      </c>
      <c r="AE834" s="6">
        <v>1.8437000000000001</v>
      </c>
      <c r="AF834" s="7">
        <v>3436.7999999999997</v>
      </c>
      <c r="AG834" s="6">
        <v>0.40275</v>
      </c>
      <c r="AH834" s="7">
        <v>0</v>
      </c>
      <c r="AI834" s="15">
        <v>2.2464500000000003</v>
      </c>
      <c r="AJ834" s="6">
        <v>2.5100000000000002</v>
      </c>
      <c r="AK834" s="3"/>
      <c r="AL834" s="6">
        <v>99.48059247459807</v>
      </c>
      <c r="AM834" s="6">
        <v>0</v>
      </c>
      <c r="AN834" s="6">
        <v>44.7335386</v>
      </c>
      <c r="AO834" s="6">
        <v>23.496848874598072</v>
      </c>
      <c r="AP834" s="6">
        <v>31.250205</v>
      </c>
      <c r="AQ834" s="6">
        <v>0</v>
      </c>
      <c r="AR834" s="6">
        <v>0</v>
      </c>
      <c r="AS834" s="6">
        <v>0</v>
      </c>
      <c r="AT834" s="6">
        <v>0</v>
      </c>
      <c r="AU834" s="6">
        <v>0</v>
      </c>
      <c r="AV834" s="6">
        <v>0</v>
      </c>
      <c r="AW834" s="6">
        <v>0</v>
      </c>
      <c r="AX834" s="6">
        <v>0</v>
      </c>
      <c r="AY834" s="6">
        <v>0</v>
      </c>
      <c r="AZ834" s="6">
        <v>0</v>
      </c>
      <c r="BA834" s="6">
        <v>0</v>
      </c>
      <c r="BB834" s="6">
        <v>0</v>
      </c>
      <c r="BC834" s="6"/>
      <c r="BD834" s="3"/>
      <c r="BE834" s="3"/>
      <c r="BF834" s="7">
        <v>8903.513026476527</v>
      </c>
    </row>
    <row x14ac:dyDescent="0.25" r="835" customHeight="1" ht="12.75">
      <c r="A835" s="5" t="s">
        <v>438</v>
      </c>
      <c r="B835" s="3" t="s">
        <v>859</v>
      </c>
      <c r="C835" s="3" t="s">
        <v>870</v>
      </c>
      <c r="D835" s="3"/>
      <c r="E835" s="3"/>
      <c r="F835" s="6">
        <f>100*SUM(AM835:AO835)/AL835</f>
      </c>
      <c r="G835" s="6">
        <f>100*SUM(AP835)/AL835</f>
      </c>
      <c r="H835" s="6">
        <f>100*SUM(AQ835)/AL835</f>
      </c>
      <c r="I835" s="6">
        <f>100*SUM(AR835:BC835)/AL835</f>
      </c>
      <c r="J835" s="3"/>
      <c r="K835" s="6">
        <v>1.2</v>
      </c>
      <c r="L835" s="6">
        <v>1.67</v>
      </c>
      <c r="M835" s="6">
        <v>4.48</v>
      </c>
      <c r="N835" s="5">
        <v>104</v>
      </c>
      <c r="O835" s="6">
        <v>0.58</v>
      </c>
      <c r="P835" s="6">
        <v>1.3</v>
      </c>
      <c r="Q835" s="7"/>
      <c r="R835" s="6"/>
      <c r="S835" s="6"/>
      <c r="T835" s="6"/>
      <c r="U835" s="5"/>
      <c r="V835" s="6"/>
      <c r="W835" s="6"/>
      <c r="X835" s="6"/>
      <c r="Y835" s="15"/>
      <c r="Z835" s="6"/>
      <c r="AA835" s="6"/>
      <c r="AB835" s="5"/>
      <c r="AC835" s="3"/>
      <c r="AD835" s="6">
        <v>0.02004</v>
      </c>
      <c r="AE835" s="6">
        <v>0.05376</v>
      </c>
      <c r="AF835" s="7">
        <v>124.8</v>
      </c>
      <c r="AG835" s="6">
        <v>0.006959999999999999</v>
      </c>
      <c r="AH835" s="7">
        <v>1.56</v>
      </c>
      <c r="AI835" s="15">
        <v>0.08076</v>
      </c>
      <c r="AJ835" s="6">
        <v>6.73</v>
      </c>
      <c r="AK835" s="3"/>
      <c r="AL835" s="6">
        <v>285.949211755627</v>
      </c>
      <c r="AM835" s="6">
        <v>31.662465199999996</v>
      </c>
      <c r="AN835" s="6">
        <v>97.28458880000001</v>
      </c>
      <c r="AO835" s="6">
        <v>63.63729903536978</v>
      </c>
      <c r="AP835" s="6">
        <v>40.278042</v>
      </c>
      <c r="AQ835" s="6">
        <v>53.08681672025724</v>
      </c>
      <c r="AR835" s="6">
        <v>0</v>
      </c>
      <c r="AS835" s="6">
        <v>0</v>
      </c>
      <c r="AT835" s="6">
        <v>0</v>
      </c>
      <c r="AU835" s="6">
        <v>0</v>
      </c>
      <c r="AV835" s="6">
        <v>0</v>
      </c>
      <c r="AW835" s="6">
        <v>0</v>
      </c>
      <c r="AX835" s="6">
        <v>0</v>
      </c>
      <c r="AY835" s="6">
        <v>0</v>
      </c>
      <c r="AZ835" s="6">
        <v>0</v>
      </c>
      <c r="BA835" s="6">
        <v>0</v>
      </c>
      <c r="BB835" s="6">
        <v>0</v>
      </c>
      <c r="BC835" s="6"/>
      <c r="BD835" s="3"/>
      <c r="BE835" s="3"/>
      <c r="BF835" s="7">
        <v>343.1390541067524</v>
      </c>
    </row>
    <row x14ac:dyDescent="0.25" r="836" customHeight="1" ht="12.75">
      <c r="A836" s="5" t="s">
        <v>199</v>
      </c>
      <c r="B836" s="3" t="s">
        <v>859</v>
      </c>
      <c r="C836" s="3" t="s">
        <v>870</v>
      </c>
      <c r="D836" s="3"/>
      <c r="E836" s="3"/>
      <c r="F836" s="6">
        <f>100*SUM(AM836:AO836)/AL836</f>
      </c>
      <c r="G836" s="6">
        <f>100*SUM(AP836)/AL836</f>
      </c>
      <c r="H836" s="6">
        <f>100*SUM(AQ836)/AL836</f>
      </c>
      <c r="I836" s="6">
        <f>100*SUM(AR836:BC836)/AL836</f>
      </c>
      <c r="J836" s="3"/>
      <c r="K836" s="6">
        <v>0.131</v>
      </c>
      <c r="L836" s="6">
        <v>2.69</v>
      </c>
      <c r="M836" s="6">
        <v>8.43</v>
      </c>
      <c r="N836" s="5">
        <v>101</v>
      </c>
      <c r="O836" s="6">
        <v>0.28</v>
      </c>
      <c r="P836" s="6">
        <v>3.1</v>
      </c>
      <c r="Q836" s="7"/>
      <c r="R836" s="6"/>
      <c r="S836" s="6"/>
      <c r="T836" s="6"/>
      <c r="U836" s="5"/>
      <c r="V836" s="6"/>
      <c r="W836" s="6"/>
      <c r="X836" s="6"/>
      <c r="Y836" s="15"/>
      <c r="Z836" s="6"/>
      <c r="AA836" s="6"/>
      <c r="AB836" s="5"/>
      <c r="AC836" s="3"/>
      <c r="AD836" s="6">
        <v>0.0035239</v>
      </c>
      <c r="AE836" s="6">
        <v>0.0110433</v>
      </c>
      <c r="AF836" s="7">
        <v>13.231</v>
      </c>
      <c r="AG836" s="6">
        <v>0.0003668</v>
      </c>
      <c r="AH836" s="7">
        <v>0.4061</v>
      </c>
      <c r="AI836" s="15">
        <v>0.014934000000000001</v>
      </c>
      <c r="AJ836" s="6">
        <v>11.399999999999999</v>
      </c>
      <c r="AK836" s="3"/>
      <c r="AL836" s="6">
        <v>441.89909928842445</v>
      </c>
      <c r="AM836" s="6">
        <v>51.0012164</v>
      </c>
      <c r="AN836" s="6">
        <v>183.0600633</v>
      </c>
      <c r="AO836" s="6">
        <v>61.80160771704181</v>
      </c>
      <c r="AP836" s="6">
        <v>19.444572</v>
      </c>
      <c r="AQ836" s="6">
        <v>126.59163987138264</v>
      </c>
      <c r="AR836" s="6">
        <v>0</v>
      </c>
      <c r="AS836" s="6">
        <v>0</v>
      </c>
      <c r="AT836" s="6">
        <v>0</v>
      </c>
      <c r="AU836" s="6">
        <v>0</v>
      </c>
      <c r="AV836" s="6">
        <v>0</v>
      </c>
      <c r="AW836" s="6">
        <v>0</v>
      </c>
      <c r="AX836" s="6">
        <v>0</v>
      </c>
      <c r="AY836" s="6">
        <v>0</v>
      </c>
      <c r="AZ836" s="6">
        <v>0</v>
      </c>
      <c r="BA836" s="6">
        <v>0</v>
      </c>
      <c r="BB836" s="6">
        <v>0</v>
      </c>
      <c r="BC836" s="6"/>
      <c r="BD836" s="3"/>
      <c r="BE836" s="3"/>
      <c r="BF836" s="7">
        <v>57.88878200678361</v>
      </c>
    </row>
    <row x14ac:dyDescent="0.25" r="837" customHeight="1" ht="12.75">
      <c r="A837" s="5" t="s">
        <v>385</v>
      </c>
      <c r="B837" s="3" t="s">
        <v>859</v>
      </c>
      <c r="C837" s="3" t="s">
        <v>870</v>
      </c>
      <c r="D837" s="3"/>
      <c r="E837" s="3"/>
      <c r="F837" s="6">
        <f>100*SUM(AM837:AO837)/AL837</f>
      </c>
      <c r="G837" s="6">
        <f>100*SUM(AP837)/AL837</f>
      </c>
      <c r="H837" s="6">
        <f>100*SUM(AQ837)/AL837</f>
      </c>
      <c r="I837" s="6">
        <f>100*SUM(AR837:BC837)/AL837</f>
      </c>
      <c r="J837" s="3"/>
      <c r="K837" s="23">
        <v>0.35</v>
      </c>
      <c r="L837" s="6"/>
      <c r="M837" s="6">
        <v>7.84</v>
      </c>
      <c r="N837" s="6">
        <v>22.31</v>
      </c>
      <c r="O837" s="6">
        <v>1.35</v>
      </c>
      <c r="P837" s="6"/>
      <c r="Q837" s="7"/>
      <c r="R837" s="6"/>
      <c r="S837" s="6"/>
      <c r="T837" s="6"/>
      <c r="U837" s="5"/>
      <c r="V837" s="6"/>
      <c r="W837" s="6"/>
      <c r="X837" s="6"/>
      <c r="Y837" s="15"/>
      <c r="Z837" s="6"/>
      <c r="AA837" s="6"/>
      <c r="AB837" s="5"/>
      <c r="AC837" s="3"/>
      <c r="AD837" s="6">
        <v>0</v>
      </c>
      <c r="AE837" s="6">
        <v>0.02744</v>
      </c>
      <c r="AF837" s="7">
        <v>7.808499999999999</v>
      </c>
      <c r="AG837" s="6">
        <v>0.004725</v>
      </c>
      <c r="AH837" s="7">
        <v>0</v>
      </c>
      <c r="AI837" s="15">
        <v>0.032165</v>
      </c>
      <c r="AJ837" s="6">
        <v>9.19</v>
      </c>
      <c r="AK837" s="3"/>
      <c r="AL837" s="6">
        <v>277.65006983729904</v>
      </c>
      <c r="AM837" s="6">
        <v>0</v>
      </c>
      <c r="AN837" s="6">
        <v>170.2480304</v>
      </c>
      <c r="AO837" s="6">
        <v>13.651424437299037</v>
      </c>
      <c r="AP837" s="6">
        <v>93.75061500000001</v>
      </c>
      <c r="AQ837" s="6">
        <v>0</v>
      </c>
      <c r="AR837" s="6">
        <v>0</v>
      </c>
      <c r="AS837" s="6">
        <v>0</v>
      </c>
      <c r="AT837" s="6">
        <v>0</v>
      </c>
      <c r="AU837" s="6">
        <v>0</v>
      </c>
      <c r="AV837" s="6">
        <v>0</v>
      </c>
      <c r="AW837" s="6">
        <v>0</v>
      </c>
      <c r="AX837" s="6">
        <v>0</v>
      </c>
      <c r="AY837" s="6">
        <v>0</v>
      </c>
      <c r="AZ837" s="6">
        <v>0</v>
      </c>
      <c r="BA837" s="6">
        <v>0</v>
      </c>
      <c r="BB837" s="6">
        <v>0</v>
      </c>
      <c r="BC837" s="6"/>
      <c r="BD837" s="3"/>
      <c r="BE837" s="3"/>
      <c r="BF837" s="7">
        <v>97.17752444305466</v>
      </c>
    </row>
    <row x14ac:dyDescent="0.25" r="838" customHeight="1" ht="12.75">
      <c r="A838" s="5" t="s">
        <v>222</v>
      </c>
      <c r="B838" s="3" t="s">
        <v>859</v>
      </c>
      <c r="C838" s="3" t="s">
        <v>870</v>
      </c>
      <c r="D838" s="3"/>
      <c r="E838" s="3"/>
      <c r="F838" s="6">
        <f>100*SUM(AM838:AO838)/AL838</f>
      </c>
      <c r="G838" s="6">
        <f>100*SUM(AP838)/AL838</f>
      </c>
      <c r="H838" s="6">
        <f>100*SUM(AQ838)/AL838</f>
      </c>
      <c r="I838" s="6">
        <f>100*SUM(AR838:BC838)/AL838</f>
      </c>
      <c r="J838" s="3"/>
      <c r="K838" s="6">
        <v>0.762</v>
      </c>
      <c r="L838" s="6">
        <v>0.3</v>
      </c>
      <c r="M838" s="6">
        <v>9.99</v>
      </c>
      <c r="N838" s="6">
        <v>14.5</v>
      </c>
      <c r="O838" s="6">
        <v>1.77</v>
      </c>
      <c r="P838" s="6"/>
      <c r="Q838" s="7"/>
      <c r="R838" s="6"/>
      <c r="S838" s="6"/>
      <c r="T838" s="6"/>
      <c r="U838" s="5"/>
      <c r="V838" s="6"/>
      <c r="W838" s="6"/>
      <c r="X838" s="6"/>
      <c r="Y838" s="15"/>
      <c r="Z838" s="6"/>
      <c r="AA838" s="6"/>
      <c r="AB838" s="5"/>
      <c r="AC838" s="3"/>
      <c r="AD838" s="6">
        <v>0.002286</v>
      </c>
      <c r="AE838" s="6">
        <v>0.0761238</v>
      </c>
      <c r="AF838" s="7">
        <v>11.049</v>
      </c>
      <c r="AG838" s="6">
        <v>0.0134874</v>
      </c>
      <c r="AH838" s="7">
        <v>0</v>
      </c>
      <c r="AI838" s="15">
        <v>0.0918972</v>
      </c>
      <c r="AJ838" s="6">
        <v>12.06</v>
      </c>
      <c r="AK838" s="3"/>
      <c r="AL838" s="6">
        <v>354.4137959385852</v>
      </c>
      <c r="AM838" s="6">
        <v>5.687868</v>
      </c>
      <c r="AN838" s="6">
        <v>216.9359469</v>
      </c>
      <c r="AO838" s="6">
        <v>8.87250803858521</v>
      </c>
      <c r="AP838" s="6">
        <v>122.917473</v>
      </c>
      <c r="AQ838" s="6">
        <v>0</v>
      </c>
      <c r="AR838" s="6">
        <v>0</v>
      </c>
      <c r="AS838" s="6">
        <v>0</v>
      </c>
      <c r="AT838" s="6">
        <v>0</v>
      </c>
      <c r="AU838" s="6">
        <v>0</v>
      </c>
      <c r="AV838" s="6">
        <v>0</v>
      </c>
      <c r="AW838" s="6">
        <v>0</v>
      </c>
      <c r="AX838" s="6">
        <v>0</v>
      </c>
      <c r="AY838" s="6">
        <v>0</v>
      </c>
      <c r="AZ838" s="6">
        <v>0</v>
      </c>
      <c r="BA838" s="6">
        <v>0</v>
      </c>
      <c r="BB838" s="6">
        <v>0</v>
      </c>
      <c r="BC838" s="6"/>
      <c r="BD838" s="3"/>
      <c r="BE838" s="3"/>
      <c r="BF838" s="7">
        <v>270.06331250520196</v>
      </c>
    </row>
    <row x14ac:dyDescent="0.25" r="839" customHeight="1" ht="12.75">
      <c r="A839" s="5" t="s">
        <v>427</v>
      </c>
      <c r="B839" s="3" t="s">
        <v>859</v>
      </c>
      <c r="C839" s="3" t="s">
        <v>870</v>
      </c>
      <c r="D839" s="3"/>
      <c r="E839" s="3"/>
      <c r="F839" s="6">
        <f>100*SUM(AM839:AO839)/AL839</f>
      </c>
      <c r="G839" s="6">
        <f>100*SUM(AP839)/AL839</f>
      </c>
      <c r="H839" s="6">
        <f>100*SUM(AQ839)/AL839</f>
      </c>
      <c r="I839" s="6">
        <f>100*SUM(AR839:BC839)/AL839</f>
      </c>
      <c r="J839" s="3"/>
      <c r="K839" s="6">
        <v>0.48</v>
      </c>
      <c r="L839" s="6"/>
      <c r="M839" s="6">
        <v>7.97</v>
      </c>
      <c r="N839" s="6">
        <v>23.3</v>
      </c>
      <c r="O839" s="6">
        <v>0.4</v>
      </c>
      <c r="P839" s="6">
        <v>1.9</v>
      </c>
      <c r="Q839" s="7"/>
      <c r="R839" s="6"/>
      <c r="S839" s="6"/>
      <c r="T839" s="6"/>
      <c r="U839" s="5"/>
      <c r="V839" s="6"/>
      <c r="W839" s="6"/>
      <c r="X839" s="6"/>
      <c r="Y839" s="15"/>
      <c r="Z839" s="6"/>
      <c r="AA839" s="6"/>
      <c r="AB839" s="5"/>
      <c r="AC839" s="3"/>
      <c r="AD839" s="6">
        <v>0</v>
      </c>
      <c r="AE839" s="6">
        <v>0.038256</v>
      </c>
      <c r="AF839" s="7">
        <v>11.184</v>
      </c>
      <c r="AG839" s="6">
        <v>0.00192</v>
      </c>
      <c r="AH839" s="7">
        <v>0.9119999999999999</v>
      </c>
      <c r="AI839" s="15">
        <v>0.040175999999999996</v>
      </c>
      <c r="AJ839" s="6">
        <v>8.37</v>
      </c>
      <c r="AK839" s="3"/>
      <c r="AL839" s="6">
        <v>292.6946077096463</v>
      </c>
      <c r="AM839" s="6">
        <v>0</v>
      </c>
      <c r="AN839" s="6">
        <v>173.0710207</v>
      </c>
      <c r="AO839" s="6">
        <v>14.25720257234727</v>
      </c>
      <c r="AP839" s="6">
        <v>27.77796</v>
      </c>
      <c r="AQ839" s="6">
        <v>77.58842443729903</v>
      </c>
      <c r="AR839" s="6">
        <v>0</v>
      </c>
      <c r="AS839" s="6">
        <v>0</v>
      </c>
      <c r="AT839" s="6">
        <v>0</v>
      </c>
      <c r="AU839" s="6">
        <v>0</v>
      </c>
      <c r="AV839" s="6">
        <v>0</v>
      </c>
      <c r="AW839" s="6">
        <v>0</v>
      </c>
      <c r="AX839" s="6">
        <v>0</v>
      </c>
      <c r="AY839" s="6">
        <v>0</v>
      </c>
      <c r="AZ839" s="6">
        <v>0</v>
      </c>
      <c r="BA839" s="6">
        <v>0</v>
      </c>
      <c r="BB839" s="6">
        <v>0</v>
      </c>
      <c r="BC839" s="6"/>
      <c r="BD839" s="3"/>
      <c r="BE839" s="3"/>
      <c r="BF839" s="7">
        <v>140.49341170063022</v>
      </c>
    </row>
    <row x14ac:dyDescent="0.25" r="840" customHeight="1" ht="12.75">
      <c r="A840" s="5" t="s">
        <v>798</v>
      </c>
      <c r="B840" s="3" t="s">
        <v>859</v>
      </c>
      <c r="C840" s="3" t="s">
        <v>870</v>
      </c>
      <c r="D840" s="3"/>
      <c r="E840" s="3"/>
      <c r="F840" s="6">
        <f>100*SUM(AM840:AO840)/AL840</f>
      </c>
      <c r="G840" s="6">
        <f>100*SUM(AP840)/AL840</f>
      </c>
      <c r="H840" s="6">
        <f>100*SUM(AQ840)/AL840</f>
      </c>
      <c r="I840" s="6">
        <f>100*SUM(AR840:BC840)/AL840</f>
      </c>
      <c r="J840" s="3"/>
      <c r="K840" s="23">
        <v>3.865583</v>
      </c>
      <c r="L840" s="6">
        <v>0.39598531191802117</v>
      </c>
      <c r="M840" s="6">
        <v>2.1133840096047605</v>
      </c>
      <c r="N840" s="7">
        <v>23.896256510337505</v>
      </c>
      <c r="O840" s="6">
        <v>0.3380293761639577</v>
      </c>
      <c r="P840" s="6">
        <v>0.37081814049782397</v>
      </c>
      <c r="Q840" s="7"/>
      <c r="R840" s="6"/>
      <c r="S840" s="6"/>
      <c r="T840" s="6"/>
      <c r="U840" s="5"/>
      <c r="V840" s="6"/>
      <c r="W840" s="6"/>
      <c r="X840" s="6"/>
      <c r="Y840" s="15"/>
      <c r="Z840" s="6"/>
      <c r="AA840" s="6"/>
      <c r="AB840" s="5"/>
      <c r="AC840" s="3"/>
      <c r="AD840" s="6">
        <v>0.0153071409</v>
      </c>
      <c r="AE840" s="6">
        <v>0.08169461299999999</v>
      </c>
      <c r="AF840" s="7">
        <v>92.37296292999999</v>
      </c>
      <c r="AG840" s="6">
        <v>0.0130668061</v>
      </c>
      <c r="AH840" s="7">
        <v>1.4334282999999999</v>
      </c>
      <c r="AI840" s="15">
        <v>0.11006855999999998</v>
      </c>
      <c r="AJ840" s="6">
        <v>2.8473986976867396</v>
      </c>
      <c r="AK840" s="3"/>
      <c r="AL840" s="6">
        <v>106.63969698306313</v>
      </c>
      <c r="AM840" s="6">
        <v>7.507707280428438</v>
      </c>
      <c r="AN840" s="6">
        <v>45.89278891761035</v>
      </c>
      <c r="AO840" s="6">
        <v>14.622050205521633</v>
      </c>
      <c r="AP840" s="6">
        <v>23.474416224768426</v>
      </c>
      <c r="AQ840" s="6">
        <v>15.14273435473429</v>
      </c>
      <c r="AR840" s="6">
        <v>0</v>
      </c>
      <c r="AS840" s="6">
        <v>0</v>
      </c>
      <c r="AT840" s="6">
        <v>0</v>
      </c>
      <c r="AU840" s="6">
        <v>0</v>
      </c>
      <c r="AV840" s="6">
        <v>0</v>
      </c>
      <c r="AW840" s="6">
        <v>0</v>
      </c>
      <c r="AX840" s="6">
        <v>0</v>
      </c>
      <c r="AY840" s="6">
        <v>0</v>
      </c>
      <c r="AZ840" s="6">
        <v>0</v>
      </c>
      <c r="BA840" s="6">
        <v>0</v>
      </c>
      <c r="BB840" s="6">
        <v>0</v>
      </c>
      <c r="BC840" s="6"/>
      <c r="BD840" s="3"/>
      <c r="BE840" s="3"/>
      <c r="BF840" s="7">
        <v>412.22459978288015</v>
      </c>
    </row>
    <row x14ac:dyDescent="0.25" r="841" customHeight="1" ht="12.75">
      <c r="A841" s="5" t="s">
        <v>450</v>
      </c>
      <c r="B841" s="3" t="s">
        <v>859</v>
      </c>
      <c r="C841" s="3" t="s">
        <v>870</v>
      </c>
      <c r="D841" s="3"/>
      <c r="E841" s="3"/>
      <c r="F841" s="6">
        <f>100*SUM(AM841:AO841)/AL841</f>
      </c>
      <c r="G841" s="6">
        <f>100*SUM(AP841)/AL841</f>
      </c>
      <c r="H841" s="6">
        <f>100*SUM(AQ841)/AL841</f>
      </c>
      <c r="I841" s="6">
        <f>100*SUM(AR841:BC841)/AL841</f>
      </c>
      <c r="J841" s="3"/>
      <c r="K841" s="6">
        <v>0.3</v>
      </c>
      <c r="L841" s="6">
        <v>0.5</v>
      </c>
      <c r="M841" s="6">
        <v>6.4</v>
      </c>
      <c r="N841" s="5"/>
      <c r="O841" s="6">
        <v>1.4</v>
      </c>
      <c r="P841" s="6"/>
      <c r="Q841" s="7"/>
      <c r="R841" s="6"/>
      <c r="S841" s="6"/>
      <c r="T841" s="6"/>
      <c r="U841" s="5"/>
      <c r="V841" s="6"/>
      <c r="W841" s="6"/>
      <c r="X841" s="6"/>
      <c r="Y841" s="15"/>
      <c r="Z841" s="6"/>
      <c r="AA841" s="6"/>
      <c r="AB841" s="5"/>
      <c r="AC841" s="3"/>
      <c r="AD841" s="6">
        <v>0.0015</v>
      </c>
      <c r="AE841" s="6">
        <v>0.0192</v>
      </c>
      <c r="AF841" s="7">
        <v>0</v>
      </c>
      <c r="AG841" s="6">
        <v>0.0042</v>
      </c>
      <c r="AH841" s="7">
        <v>0</v>
      </c>
      <c r="AI841" s="15">
        <v>0.0249</v>
      </c>
      <c r="AJ841" s="6">
        <v>8.3</v>
      </c>
      <c r="AK841" s="3"/>
      <c r="AL841" s="6">
        <v>245.68062399999997</v>
      </c>
      <c r="AM841" s="6">
        <v>9.47978</v>
      </c>
      <c r="AN841" s="6">
        <v>138.977984</v>
      </c>
      <c r="AO841" s="6">
        <v>0</v>
      </c>
      <c r="AP841" s="6">
        <v>97.22285999999998</v>
      </c>
      <c r="AQ841" s="6">
        <v>0</v>
      </c>
      <c r="AR841" s="6">
        <v>0</v>
      </c>
      <c r="AS841" s="6">
        <v>0</v>
      </c>
      <c r="AT841" s="6">
        <v>0</v>
      </c>
      <c r="AU841" s="6">
        <v>0</v>
      </c>
      <c r="AV841" s="6">
        <v>0</v>
      </c>
      <c r="AW841" s="6">
        <v>0</v>
      </c>
      <c r="AX841" s="6">
        <v>0</v>
      </c>
      <c r="AY841" s="6">
        <v>0</v>
      </c>
      <c r="AZ841" s="6">
        <v>0</v>
      </c>
      <c r="BA841" s="6">
        <v>0</v>
      </c>
      <c r="BB841" s="6">
        <v>0</v>
      </c>
      <c r="BC841" s="6"/>
      <c r="BD841" s="3"/>
      <c r="BE841" s="3"/>
      <c r="BF841" s="7">
        <v>73.70418719999999</v>
      </c>
    </row>
    <row x14ac:dyDescent="0.25" r="842" customHeight="1" ht="12.75">
      <c r="A842" s="5" t="s">
        <v>797</v>
      </c>
      <c r="B842" s="3" t="s">
        <v>859</v>
      </c>
      <c r="C842" s="3" t="s">
        <v>870</v>
      </c>
      <c r="D842" s="3"/>
      <c r="E842" s="3"/>
      <c r="F842" s="6">
        <f>100*SUM(AM842:AO842)/AL842</f>
      </c>
      <c r="G842" s="6">
        <f>100*SUM(AP842)/AL842</f>
      </c>
      <c r="H842" s="6">
        <f>100*SUM(AQ842)/AL842</f>
      </c>
      <c r="I842" s="6">
        <f>100*SUM(AR842:BC842)/AL842</f>
      </c>
      <c r="J842" s="3"/>
      <c r="K842" s="6">
        <v>1.015</v>
      </c>
      <c r="L842" s="6"/>
      <c r="M842" s="6">
        <v>2.96</v>
      </c>
      <c r="N842" s="6">
        <v>21.9</v>
      </c>
      <c r="O842" s="6">
        <v>0.83</v>
      </c>
      <c r="P842" s="6"/>
      <c r="Q842" s="7"/>
      <c r="R842" s="6"/>
      <c r="S842" s="6"/>
      <c r="T842" s="6"/>
      <c r="U842" s="5"/>
      <c r="V842" s="6"/>
      <c r="W842" s="6"/>
      <c r="X842" s="6"/>
      <c r="Y842" s="15"/>
      <c r="Z842" s="6"/>
      <c r="AA842" s="6"/>
      <c r="AB842" s="5"/>
      <c r="AC842" s="3"/>
      <c r="AD842" s="6">
        <v>0</v>
      </c>
      <c r="AE842" s="6">
        <v>0.030043999999999994</v>
      </c>
      <c r="AF842" s="7">
        <v>22.228499999999997</v>
      </c>
      <c r="AG842" s="6">
        <v>0.0084245</v>
      </c>
      <c r="AH842" s="7">
        <v>0</v>
      </c>
      <c r="AI842" s="15">
        <v>0.038468499999999996</v>
      </c>
      <c r="AJ842" s="6">
        <v>3.79</v>
      </c>
      <c r="AK842" s="3"/>
      <c r="AL842" s="6">
        <v>135.3171312237942</v>
      </c>
      <c r="AM842" s="6">
        <v>0</v>
      </c>
      <c r="AN842" s="6">
        <v>64.2773176</v>
      </c>
      <c r="AO842" s="6">
        <v>13.400546623794213</v>
      </c>
      <c r="AP842" s="6">
        <v>57.639267</v>
      </c>
      <c r="AQ842" s="6">
        <v>0</v>
      </c>
      <c r="AR842" s="6">
        <v>0</v>
      </c>
      <c r="AS842" s="6">
        <v>0</v>
      </c>
      <c r="AT842" s="6">
        <v>0</v>
      </c>
      <c r="AU842" s="6">
        <v>0</v>
      </c>
      <c r="AV842" s="6">
        <v>0</v>
      </c>
      <c r="AW842" s="6">
        <v>0</v>
      </c>
      <c r="AX842" s="6">
        <v>0</v>
      </c>
      <c r="AY842" s="6">
        <v>0</v>
      </c>
      <c r="AZ842" s="6">
        <v>0</v>
      </c>
      <c r="BA842" s="6">
        <v>0</v>
      </c>
      <c r="BB842" s="6">
        <v>0</v>
      </c>
      <c r="BC842" s="6"/>
      <c r="BD842" s="3"/>
      <c r="BE842" s="3"/>
      <c r="BF842" s="7">
        <v>137.3468881921511</v>
      </c>
    </row>
    <row x14ac:dyDescent="0.25" r="843" customHeight="1" ht="12.75">
      <c r="A843" s="5" t="s">
        <v>726</v>
      </c>
      <c r="B843" s="3" t="s">
        <v>859</v>
      </c>
      <c r="C843" s="3" t="s">
        <v>870</v>
      </c>
      <c r="D843" s="3"/>
      <c r="E843" s="3"/>
      <c r="F843" s="6">
        <f>100*SUM(AM843:AO843)/AL843</f>
      </c>
      <c r="G843" s="6">
        <f>100*SUM(AP843)/AL843</f>
      </c>
      <c r="H843" s="6">
        <f>100*SUM(AQ843)/AL843</f>
      </c>
      <c r="I843" s="6">
        <f>100*SUM(AR843:BC843)/AL843</f>
      </c>
      <c r="J843" s="3"/>
      <c r="K843" s="6">
        <v>0.1</v>
      </c>
      <c r="L843" s="6"/>
      <c r="M843" s="6">
        <v>3.5</v>
      </c>
      <c r="N843" s="5">
        <v>42</v>
      </c>
      <c r="O843" s="6">
        <v>0.8</v>
      </c>
      <c r="P843" s="6">
        <v>0.52</v>
      </c>
      <c r="Q843" s="7"/>
      <c r="R843" s="6"/>
      <c r="S843" s="6"/>
      <c r="T843" s="6"/>
      <c r="U843" s="5"/>
      <c r="V843" s="6"/>
      <c r="W843" s="6"/>
      <c r="X843" s="6"/>
      <c r="Y843" s="15"/>
      <c r="Z843" s="6"/>
      <c r="AA843" s="6"/>
      <c r="AB843" s="5"/>
      <c r="AC843" s="3"/>
      <c r="AD843" s="6">
        <v>0</v>
      </c>
      <c r="AE843" s="6">
        <v>0.0035000000000000005</v>
      </c>
      <c r="AF843" s="7">
        <v>4.2</v>
      </c>
      <c r="AG843" s="6">
        <v>0.0008000000000000001</v>
      </c>
      <c r="AH843" s="7">
        <v>0.052000000000000005</v>
      </c>
      <c r="AI843" s="15">
        <v>0.004300000000000001</v>
      </c>
      <c r="AJ843" s="6">
        <v>4.3</v>
      </c>
      <c r="AK843" s="3"/>
      <c r="AL843" s="6">
        <v>178.49391014469455</v>
      </c>
      <c r="AM843" s="6">
        <v>0</v>
      </c>
      <c r="AN843" s="6">
        <v>76.003585</v>
      </c>
      <c r="AO843" s="6">
        <v>25.69967845659164</v>
      </c>
      <c r="AP843" s="6">
        <v>55.55592</v>
      </c>
      <c r="AQ843" s="6">
        <v>21.234726688102896</v>
      </c>
      <c r="AR843" s="6">
        <v>0</v>
      </c>
      <c r="AS843" s="6">
        <v>0</v>
      </c>
      <c r="AT843" s="6">
        <v>0</v>
      </c>
      <c r="AU843" s="6">
        <v>0</v>
      </c>
      <c r="AV843" s="6">
        <v>0</v>
      </c>
      <c r="AW843" s="6">
        <v>0</v>
      </c>
      <c r="AX843" s="6">
        <v>0</v>
      </c>
      <c r="AY843" s="6">
        <v>0</v>
      </c>
      <c r="AZ843" s="6">
        <v>0</v>
      </c>
      <c r="BA843" s="6">
        <v>0</v>
      </c>
      <c r="BB843" s="6">
        <v>0</v>
      </c>
      <c r="BC843" s="6"/>
      <c r="BD843" s="3"/>
      <c r="BE843" s="3"/>
      <c r="BF843" s="7">
        <v>17.849391014469457</v>
      </c>
    </row>
    <row x14ac:dyDescent="0.25" r="844" customHeight="1" ht="12.75">
      <c r="A844" s="5" t="s">
        <v>192</v>
      </c>
      <c r="B844" s="3" t="s">
        <v>859</v>
      </c>
      <c r="C844" s="3" t="s">
        <v>870</v>
      </c>
      <c r="D844" s="3"/>
      <c r="E844" s="3"/>
      <c r="F844" s="6">
        <f>100*SUM(AM844:AO844)/AL844</f>
      </c>
      <c r="G844" s="6">
        <f>100*SUM(AP844)/AL844</f>
      </c>
      <c r="H844" s="6">
        <f>100*SUM(AQ844)/AL844</f>
      </c>
      <c r="I844" s="6">
        <f>100*SUM(AR844:BC844)/AL844</f>
      </c>
      <c r="J844" s="3"/>
      <c r="K844" s="6">
        <v>0.375</v>
      </c>
      <c r="L844" s="6">
        <v>4.8</v>
      </c>
      <c r="M844" s="6">
        <v>6.1</v>
      </c>
      <c r="N844" s="5">
        <v>55</v>
      </c>
      <c r="O844" s="6">
        <v>0.5</v>
      </c>
      <c r="P844" s="7">
        <v>4</v>
      </c>
      <c r="Q844" s="7"/>
      <c r="R844" s="6"/>
      <c r="S844" s="6"/>
      <c r="T844" s="6"/>
      <c r="U844" s="5"/>
      <c r="V844" s="6"/>
      <c r="W844" s="6"/>
      <c r="X844" s="6"/>
      <c r="Y844" s="15"/>
      <c r="Z844" s="6"/>
      <c r="AA844" s="6"/>
      <c r="AB844" s="5"/>
      <c r="AC844" s="3"/>
      <c r="AD844" s="6">
        <v>0.018</v>
      </c>
      <c r="AE844" s="6">
        <v>0.022874999999999996</v>
      </c>
      <c r="AF844" s="7">
        <v>20.625</v>
      </c>
      <c r="AG844" s="6">
        <v>0.001875</v>
      </c>
      <c r="AH844" s="7">
        <v>1.5</v>
      </c>
      <c r="AI844" s="15">
        <v>0.042749999999999996</v>
      </c>
      <c r="AJ844" s="6">
        <v>11.399999999999999</v>
      </c>
      <c r="AK844" s="3"/>
      <c r="AL844" s="6">
        <v>455.1901212829582</v>
      </c>
      <c r="AM844" s="6">
        <v>91.005888</v>
      </c>
      <c r="AN844" s="6">
        <v>132.463391</v>
      </c>
      <c r="AO844" s="6">
        <v>33.65434083601287</v>
      </c>
      <c r="AP844" s="6">
        <v>34.72245</v>
      </c>
      <c r="AQ844" s="6">
        <v>163.34405144694534</v>
      </c>
      <c r="AR844" s="6">
        <v>0</v>
      </c>
      <c r="AS844" s="6">
        <v>0</v>
      </c>
      <c r="AT844" s="6">
        <v>0</v>
      </c>
      <c r="AU844" s="6">
        <v>0</v>
      </c>
      <c r="AV844" s="6">
        <v>0</v>
      </c>
      <c r="AW844" s="6">
        <v>0</v>
      </c>
      <c r="AX844" s="6">
        <v>0</v>
      </c>
      <c r="AY844" s="6">
        <v>0</v>
      </c>
      <c r="AZ844" s="6">
        <v>0</v>
      </c>
      <c r="BA844" s="6">
        <v>0</v>
      </c>
      <c r="BB844" s="6">
        <v>0</v>
      </c>
      <c r="BC844" s="6"/>
      <c r="BD844" s="3"/>
      <c r="BE844" s="3"/>
      <c r="BF844" s="7">
        <v>170.69629548110933</v>
      </c>
    </row>
    <row x14ac:dyDescent="0.25" r="845" customHeight="1" ht="12.75">
      <c r="A845" s="5" t="s">
        <v>729</v>
      </c>
      <c r="B845" s="3" t="s">
        <v>859</v>
      </c>
      <c r="C845" s="3" t="s">
        <v>870</v>
      </c>
      <c r="D845" s="3"/>
      <c r="E845" s="3"/>
      <c r="F845" s="6">
        <f>100*SUM(AM845:AO845)/AL845</f>
      </c>
      <c r="G845" s="6">
        <f>100*SUM(AP845)/AL845</f>
      </c>
      <c r="H845" s="6">
        <f>100*SUM(AQ845)/AL845</f>
      </c>
      <c r="I845" s="6">
        <f>100*SUM(AR845:BC845)/AL845</f>
      </c>
      <c r="J845" s="3"/>
      <c r="K845" s="23">
        <v>6.3497</v>
      </c>
      <c r="L845" s="6"/>
      <c r="M845" s="7">
        <v>2.5</v>
      </c>
      <c r="N845" s="5">
        <v>20</v>
      </c>
      <c r="O845" s="6">
        <v>0.6</v>
      </c>
      <c r="P845" s="6">
        <v>0.5</v>
      </c>
      <c r="Q845" s="7"/>
      <c r="R845" s="6"/>
      <c r="S845" s="6"/>
      <c r="T845" s="6"/>
      <c r="U845" s="5"/>
      <c r="V845" s="6"/>
      <c r="W845" s="6"/>
      <c r="X845" s="6"/>
      <c r="Y845" s="15"/>
      <c r="Z845" s="6"/>
      <c r="AA845" s="6"/>
      <c r="AB845" s="5"/>
      <c r="AC845" s="3"/>
      <c r="AD845" s="6">
        <v>0</v>
      </c>
      <c r="AE845" s="6">
        <v>0.1587425</v>
      </c>
      <c r="AF845" s="7">
        <v>126.994</v>
      </c>
      <c r="AG845" s="6">
        <v>0.0380982</v>
      </c>
      <c r="AH845" s="7">
        <v>3.17485</v>
      </c>
      <c r="AI845" s="15">
        <v>0.1968407</v>
      </c>
      <c r="AJ845" s="6">
        <v>3.1</v>
      </c>
      <c r="AK845" s="3"/>
      <c r="AL845" s="6">
        <v>128.61116355305467</v>
      </c>
      <c r="AM845" s="6">
        <v>0</v>
      </c>
      <c r="AN845" s="6">
        <v>54.288275</v>
      </c>
      <c r="AO845" s="6">
        <v>12.237942122186498</v>
      </c>
      <c r="AP845" s="6">
        <v>41.66694</v>
      </c>
      <c r="AQ845" s="6">
        <v>20.418006430868168</v>
      </c>
      <c r="AR845" s="6">
        <v>0</v>
      </c>
      <c r="AS845" s="6">
        <v>0</v>
      </c>
      <c r="AT845" s="6">
        <v>0</v>
      </c>
      <c r="AU845" s="6">
        <v>0</v>
      </c>
      <c r="AV845" s="6">
        <v>0</v>
      </c>
      <c r="AW845" s="6">
        <v>0</v>
      </c>
      <c r="AX845" s="6">
        <v>0</v>
      </c>
      <c r="AY845" s="6">
        <v>0</v>
      </c>
      <c r="AZ845" s="6">
        <v>0</v>
      </c>
      <c r="BA845" s="6">
        <v>0</v>
      </c>
      <c r="BB845" s="6">
        <v>0</v>
      </c>
      <c r="BC845" s="6"/>
      <c r="BD845" s="3"/>
      <c r="BE845" s="3"/>
      <c r="BF845" s="7">
        <v>816.6423052128313</v>
      </c>
    </row>
    <row x14ac:dyDescent="0.25" r="846" customHeight="1" ht="12.75">
      <c r="A846" s="5" t="s">
        <v>525</v>
      </c>
      <c r="B846" s="3" t="s">
        <v>859</v>
      </c>
      <c r="C846" s="3" t="s">
        <v>870</v>
      </c>
      <c r="D846" s="3"/>
      <c r="E846" s="3"/>
      <c r="F846" s="6">
        <f>100*SUM(AM846:AO846)/AL846</f>
      </c>
      <c r="G846" s="6">
        <f>100*SUM(AP846)/AL846</f>
      </c>
      <c r="H846" s="6">
        <f>100*SUM(AQ846)/AL846</f>
      </c>
      <c r="I846" s="6">
        <f>100*SUM(AR846:BC846)/AL846</f>
      </c>
      <c r="J846" s="3"/>
      <c r="K846" s="6">
        <v>0.03</v>
      </c>
      <c r="L846" s="6"/>
      <c r="M846" s="6">
        <v>5.51</v>
      </c>
      <c r="N846" s="5"/>
      <c r="O846" s="6">
        <v>1.8</v>
      </c>
      <c r="P846" s="6"/>
      <c r="Q846" s="7"/>
      <c r="R846" s="6"/>
      <c r="S846" s="6"/>
      <c r="T846" s="6"/>
      <c r="U846" s="5"/>
      <c r="V846" s="6"/>
      <c r="W846" s="6"/>
      <c r="X846" s="6"/>
      <c r="Y846" s="15"/>
      <c r="Z846" s="6"/>
      <c r="AA846" s="6"/>
      <c r="AB846" s="5"/>
      <c r="AC846" s="3"/>
      <c r="AD846" s="6">
        <v>0</v>
      </c>
      <c r="AE846" s="6">
        <v>0.0016529999999999997</v>
      </c>
      <c r="AF846" s="7">
        <v>0</v>
      </c>
      <c r="AG846" s="6">
        <v>0.00054</v>
      </c>
      <c r="AH846" s="7">
        <v>0</v>
      </c>
      <c r="AI846" s="15">
        <v>0.0021929999999999996</v>
      </c>
      <c r="AJ846" s="6">
        <v>7.31</v>
      </c>
      <c r="AK846" s="3"/>
      <c r="AL846" s="6">
        <v>244.65217810000001</v>
      </c>
      <c r="AM846" s="6">
        <v>0</v>
      </c>
      <c r="AN846" s="6">
        <v>119.6513581</v>
      </c>
      <c r="AO846" s="6">
        <v>0</v>
      </c>
      <c r="AP846" s="6">
        <v>125.00082</v>
      </c>
      <c r="AQ846" s="6">
        <v>0</v>
      </c>
      <c r="AR846" s="6">
        <v>0</v>
      </c>
      <c r="AS846" s="6">
        <v>0</v>
      </c>
      <c r="AT846" s="6">
        <v>0</v>
      </c>
      <c r="AU846" s="6">
        <v>0</v>
      </c>
      <c r="AV846" s="6">
        <v>0</v>
      </c>
      <c r="AW846" s="6">
        <v>0</v>
      </c>
      <c r="AX846" s="6">
        <v>0</v>
      </c>
      <c r="AY846" s="6">
        <v>0</v>
      </c>
      <c r="AZ846" s="6">
        <v>0</v>
      </c>
      <c r="BA846" s="6">
        <v>0</v>
      </c>
      <c r="BB846" s="6">
        <v>0</v>
      </c>
      <c r="BC846" s="6"/>
      <c r="BD846" s="3"/>
      <c r="BE846" s="3"/>
      <c r="BF846" s="7">
        <v>7.339565343</v>
      </c>
    </row>
    <row x14ac:dyDescent="0.25" r="847" customHeight="1" ht="12.75">
      <c r="A847" s="5" t="s">
        <v>800</v>
      </c>
      <c r="B847" s="3" t="s">
        <v>859</v>
      </c>
      <c r="C847" s="3" t="s">
        <v>870</v>
      </c>
      <c r="D847" s="3"/>
      <c r="E847" s="3"/>
      <c r="F847" s="6">
        <f>100*SUM(AM847:AO847)/AL847</f>
      </c>
      <c r="G847" s="6">
        <f>100*SUM(AP847)/AL847</f>
      </c>
      <c r="H847" s="6">
        <f>100*SUM(AQ847)/AL847</f>
      </c>
      <c r="I847" s="6">
        <f>100*SUM(AR847:BC847)/AL847</f>
      </c>
      <c r="J847" s="3"/>
      <c r="K847" s="23">
        <v>1.388915</v>
      </c>
      <c r="L847" s="6"/>
      <c r="M847" s="6">
        <v>3.17</v>
      </c>
      <c r="N847" s="5"/>
      <c r="O847" s="6"/>
      <c r="P847" s="6">
        <v>1.77</v>
      </c>
      <c r="Q847" s="7"/>
      <c r="R847" s="6"/>
      <c r="S847" s="6"/>
      <c r="T847" s="6"/>
      <c r="U847" s="5"/>
      <c r="V847" s="6"/>
      <c r="W847" s="6"/>
      <c r="X847" s="6"/>
      <c r="Y847" s="15"/>
      <c r="Z847" s="6"/>
      <c r="AA847" s="6"/>
      <c r="AB847" s="5"/>
      <c r="AC847" s="3"/>
      <c r="AD847" s="6">
        <v>0</v>
      </c>
      <c r="AE847" s="6">
        <v>0.0440286055</v>
      </c>
      <c r="AF847" s="7">
        <v>0</v>
      </c>
      <c r="AG847" s="6">
        <v>0</v>
      </c>
      <c r="AH847" s="7">
        <v>2.4583795499999996</v>
      </c>
      <c r="AI847" s="15">
        <v>0.0440286055</v>
      </c>
      <c r="AJ847" s="6">
        <v>3.17</v>
      </c>
      <c r="AK847" s="3"/>
      <c r="AL847" s="6">
        <v>141.1172754652733</v>
      </c>
      <c r="AM847" s="6">
        <v>0</v>
      </c>
      <c r="AN847" s="6">
        <v>68.8375327</v>
      </c>
      <c r="AO847" s="6">
        <v>0</v>
      </c>
      <c r="AP847" s="6">
        <v>0</v>
      </c>
      <c r="AQ847" s="6">
        <v>72.27974276527331</v>
      </c>
      <c r="AR847" s="6">
        <v>0</v>
      </c>
      <c r="AS847" s="6">
        <v>0</v>
      </c>
      <c r="AT847" s="6">
        <v>0</v>
      </c>
      <c r="AU847" s="6">
        <v>0</v>
      </c>
      <c r="AV847" s="6">
        <v>0</v>
      </c>
      <c r="AW847" s="6">
        <v>0</v>
      </c>
      <c r="AX847" s="6">
        <v>0</v>
      </c>
      <c r="AY847" s="6">
        <v>0</v>
      </c>
      <c r="AZ847" s="6">
        <v>0</v>
      </c>
      <c r="BA847" s="6">
        <v>0</v>
      </c>
      <c r="BB847" s="6">
        <v>0</v>
      </c>
      <c r="BC847" s="6"/>
      <c r="BD847" s="3"/>
      <c r="BE847" s="3"/>
      <c r="BF847" s="7">
        <v>195.99990065285007</v>
      </c>
    </row>
    <row x14ac:dyDescent="0.25" r="848" customHeight="1" ht="12.75">
      <c r="A848" s="5" t="s">
        <v>655</v>
      </c>
      <c r="B848" s="3" t="s">
        <v>859</v>
      </c>
      <c r="C848" s="3" t="s">
        <v>870</v>
      </c>
      <c r="D848" s="3"/>
      <c r="E848" s="3"/>
      <c r="F848" s="6">
        <f>100*SUM(AM848:AO848)/AL848</f>
      </c>
      <c r="G848" s="6">
        <f>100*SUM(AP848)/AL848</f>
      </c>
      <c r="H848" s="6">
        <f>100*SUM(AQ848)/AL848</f>
      </c>
      <c r="I848" s="6">
        <f>100*SUM(AR848:BC848)/AL848</f>
      </c>
      <c r="J848" s="3"/>
      <c r="K848" s="6">
        <v>7.7</v>
      </c>
      <c r="L848" s="7">
        <v>1</v>
      </c>
      <c r="M848" s="6">
        <v>2.6</v>
      </c>
      <c r="N848" s="5"/>
      <c r="O848" s="6">
        <v>1.2</v>
      </c>
      <c r="P848" s="6"/>
      <c r="Q848" s="7"/>
      <c r="R848" s="6"/>
      <c r="S848" s="6"/>
      <c r="T848" s="6"/>
      <c r="U848" s="5"/>
      <c r="V848" s="6"/>
      <c r="W848" s="6"/>
      <c r="X848" s="6"/>
      <c r="Y848" s="15"/>
      <c r="Z848" s="6"/>
      <c r="AA848" s="6"/>
      <c r="AB848" s="5"/>
      <c r="AC848" s="3"/>
      <c r="AD848" s="6">
        <v>0.077</v>
      </c>
      <c r="AE848" s="6">
        <v>0.2002</v>
      </c>
      <c r="AF848" s="7">
        <v>0</v>
      </c>
      <c r="AG848" s="6">
        <v>0.0924</v>
      </c>
      <c r="AH848" s="7">
        <v>0</v>
      </c>
      <c r="AI848" s="15">
        <v>0.3696</v>
      </c>
      <c r="AJ848" s="6">
        <v>4.8</v>
      </c>
      <c r="AK848" s="3"/>
      <c r="AL848" s="6">
        <v>158.753246</v>
      </c>
      <c r="AM848" s="6">
        <v>18.95956</v>
      </c>
      <c r="AN848" s="6">
        <v>56.459806</v>
      </c>
      <c r="AO848" s="6">
        <v>0</v>
      </c>
      <c r="AP848" s="6">
        <v>83.33388</v>
      </c>
      <c r="AQ848" s="6">
        <v>0</v>
      </c>
      <c r="AR848" s="6">
        <v>0</v>
      </c>
      <c r="AS848" s="6">
        <v>0</v>
      </c>
      <c r="AT848" s="6">
        <v>0</v>
      </c>
      <c r="AU848" s="6">
        <v>0</v>
      </c>
      <c r="AV848" s="6">
        <v>0</v>
      </c>
      <c r="AW848" s="6">
        <v>0</v>
      </c>
      <c r="AX848" s="6">
        <v>0</v>
      </c>
      <c r="AY848" s="6">
        <v>0</v>
      </c>
      <c r="AZ848" s="6">
        <v>0</v>
      </c>
      <c r="BA848" s="6">
        <v>0</v>
      </c>
      <c r="BB848" s="6">
        <v>0</v>
      </c>
      <c r="BC848" s="6"/>
      <c r="BD848" s="3"/>
      <c r="BE848" s="3"/>
      <c r="BF848" s="7">
        <v>1222.3999942</v>
      </c>
    </row>
    <row x14ac:dyDescent="0.25" r="849" customHeight="1" ht="12.75">
      <c r="A849" s="5" t="s">
        <v>121</v>
      </c>
      <c r="B849" s="3" t="s">
        <v>859</v>
      </c>
      <c r="C849" s="3" t="s">
        <v>870</v>
      </c>
      <c r="D849" s="3"/>
      <c r="E849" s="3"/>
      <c r="F849" s="6">
        <f>100*SUM(AM849:AO849)/AL849</f>
      </c>
      <c r="G849" s="6">
        <f>100*SUM(AP849)/AL849</f>
      </c>
      <c r="H849" s="6">
        <f>100*SUM(AQ849)/AL849</f>
      </c>
      <c r="I849" s="6">
        <f>100*SUM(AR849:BC849)/AL849</f>
      </c>
      <c r="J849" s="3"/>
      <c r="K849" s="23">
        <v>0.317485</v>
      </c>
      <c r="L849" s="6">
        <v>0.65</v>
      </c>
      <c r="M849" s="6">
        <v>6.6</v>
      </c>
      <c r="N849" s="7">
        <v>140.54</v>
      </c>
      <c r="O849" s="6">
        <v>1.6</v>
      </c>
      <c r="P849" s="6">
        <v>4.11</v>
      </c>
      <c r="Q849" s="7"/>
      <c r="R849" s="6"/>
      <c r="S849" s="6"/>
      <c r="T849" s="6"/>
      <c r="U849" s="5"/>
      <c r="V849" s="6"/>
      <c r="W849" s="6"/>
      <c r="X849" s="6"/>
      <c r="Y849" s="15"/>
      <c r="Z849" s="6"/>
      <c r="AA849" s="6"/>
      <c r="AB849" s="5"/>
      <c r="AC849" s="3"/>
      <c r="AD849" s="6">
        <v>0.0020636525</v>
      </c>
      <c r="AE849" s="6">
        <v>0.02095401</v>
      </c>
      <c r="AF849" s="7">
        <v>44.6193419</v>
      </c>
      <c r="AG849" s="6">
        <v>0.005079760000000001</v>
      </c>
      <c r="AH849" s="7">
        <v>1.3048633500000002</v>
      </c>
      <c r="AI849" s="15">
        <v>0.028097422499999997</v>
      </c>
      <c r="AJ849" s="6">
        <v>8.85</v>
      </c>
      <c r="AK849" s="3"/>
      <c r="AL849" s="6">
        <v>520.5886321543409</v>
      </c>
      <c r="AM849" s="6">
        <v>12.323714</v>
      </c>
      <c r="AN849" s="6">
        <v>143.321046</v>
      </c>
      <c r="AO849" s="6">
        <v>85.9960192926045</v>
      </c>
      <c r="AP849" s="6">
        <v>111.11184</v>
      </c>
      <c r="AQ849" s="6">
        <v>167.83601286173635</v>
      </c>
      <c r="AR849" s="6">
        <v>0</v>
      </c>
      <c r="AS849" s="6">
        <v>0</v>
      </c>
      <c r="AT849" s="6">
        <v>0</v>
      </c>
      <c r="AU849" s="6">
        <v>0</v>
      </c>
      <c r="AV849" s="6">
        <v>0</v>
      </c>
      <c r="AW849" s="6">
        <v>0</v>
      </c>
      <c r="AX849" s="6">
        <v>0</v>
      </c>
      <c r="AY849" s="6">
        <v>0</v>
      </c>
      <c r="AZ849" s="6">
        <v>0</v>
      </c>
      <c r="BA849" s="6">
        <v>0</v>
      </c>
      <c r="BB849" s="6">
        <v>0</v>
      </c>
      <c r="BC849" s="6"/>
      <c r="BD849" s="3"/>
      <c r="BE849" s="3"/>
      <c r="BF849" s="7">
        <v>165.27908187952093</v>
      </c>
    </row>
    <row x14ac:dyDescent="0.25" r="850" customHeight="1" ht="12.75">
      <c r="A850" s="5" t="s">
        <v>584</v>
      </c>
      <c r="B850" s="3" t="s">
        <v>859</v>
      </c>
      <c r="C850" s="3" t="s">
        <v>870</v>
      </c>
      <c r="D850" s="3"/>
      <c r="E850" s="3"/>
      <c r="F850" s="6">
        <f>100*SUM(AM850:AO850)/AL850</f>
      </c>
      <c r="G850" s="6">
        <f>100*SUM(AP850)/AL850</f>
      </c>
      <c r="H850" s="6">
        <f>100*SUM(AQ850)/AL850</f>
      </c>
      <c r="I850" s="6">
        <f>100*SUM(AR850:BC850)/AL850</f>
      </c>
      <c r="J850" s="3"/>
      <c r="K850" s="6">
        <v>9.1</v>
      </c>
      <c r="L850" s="6"/>
      <c r="M850" s="6">
        <v>4.24</v>
      </c>
      <c r="N850" s="5"/>
      <c r="O850" s="6">
        <v>1.58</v>
      </c>
      <c r="P850" s="6"/>
      <c r="Q850" s="7"/>
      <c r="R850" s="6"/>
      <c r="S850" s="6"/>
      <c r="T850" s="6"/>
      <c r="U850" s="5"/>
      <c r="V850" s="6"/>
      <c r="W850" s="6"/>
      <c r="X850" s="6"/>
      <c r="Y850" s="15"/>
      <c r="Z850" s="6"/>
      <c r="AA850" s="6"/>
      <c r="AB850" s="5"/>
      <c r="AC850" s="3"/>
      <c r="AD850" s="6">
        <v>0</v>
      </c>
      <c r="AE850" s="6">
        <v>0.38584</v>
      </c>
      <c r="AF850" s="7">
        <v>0</v>
      </c>
      <c r="AG850" s="6">
        <v>0.14378</v>
      </c>
      <c r="AH850" s="7">
        <v>0</v>
      </c>
      <c r="AI850" s="15">
        <v>0.52962</v>
      </c>
      <c r="AJ850" s="6">
        <v>5.82</v>
      </c>
      <c r="AK850" s="3"/>
      <c r="AL850" s="6">
        <v>201.7958564</v>
      </c>
      <c r="AM850" s="6">
        <v>0</v>
      </c>
      <c r="AN850" s="6">
        <v>92.0729144</v>
      </c>
      <c r="AO850" s="6">
        <v>0</v>
      </c>
      <c r="AP850" s="6">
        <v>109.722942</v>
      </c>
      <c r="AQ850" s="6">
        <v>0</v>
      </c>
      <c r="AR850" s="6">
        <v>0</v>
      </c>
      <c r="AS850" s="6">
        <v>0</v>
      </c>
      <c r="AT850" s="6">
        <v>0</v>
      </c>
      <c r="AU850" s="6">
        <v>0</v>
      </c>
      <c r="AV850" s="6">
        <v>0</v>
      </c>
      <c r="AW850" s="6">
        <v>0</v>
      </c>
      <c r="AX850" s="6">
        <v>0</v>
      </c>
      <c r="AY850" s="6">
        <v>0</v>
      </c>
      <c r="AZ850" s="6">
        <v>0</v>
      </c>
      <c r="BA850" s="6">
        <v>0</v>
      </c>
      <c r="BB850" s="6">
        <v>0</v>
      </c>
      <c r="BC850" s="6"/>
      <c r="BD850" s="3"/>
      <c r="BE850" s="3"/>
      <c r="BF850" s="7">
        <v>1836.34229324</v>
      </c>
    </row>
    <row x14ac:dyDescent="0.25" r="851" customHeight="1" ht="12.75">
      <c r="A851" s="5" t="s">
        <v>437</v>
      </c>
      <c r="B851" s="3" t="s">
        <v>859</v>
      </c>
      <c r="C851" s="3" t="s">
        <v>870</v>
      </c>
      <c r="D851" s="3"/>
      <c r="E851" s="3"/>
      <c r="F851" s="6">
        <f>100*SUM(AM851:AO851)/AL851</f>
      </c>
      <c r="G851" s="6">
        <f>100*SUM(AP851)/AL851</f>
      </c>
      <c r="H851" s="6">
        <f>100*SUM(AQ851)/AL851</f>
      </c>
      <c r="I851" s="6">
        <f>100*SUM(AR851:BC851)/AL851</f>
      </c>
      <c r="J851" s="3"/>
      <c r="K851" s="6">
        <v>22.8</v>
      </c>
      <c r="L851" s="6">
        <v>0.64</v>
      </c>
      <c r="M851" s="6">
        <v>1.82</v>
      </c>
      <c r="N851" s="6">
        <v>32.23</v>
      </c>
      <c r="O851" s="6">
        <v>0.56</v>
      </c>
      <c r="P851" s="6">
        <v>1.17</v>
      </c>
      <c r="Q851" s="7"/>
      <c r="R851" s="6"/>
      <c r="S851" s="6"/>
      <c r="T851" s="6"/>
      <c r="U851" s="5"/>
      <c r="V851" s="6"/>
      <c r="W851" s="6"/>
      <c r="X851" s="6"/>
      <c r="Y851" s="15"/>
      <c r="Z851" s="6"/>
      <c r="AA851" s="6"/>
      <c r="AB851" s="5"/>
      <c r="AC851" s="3"/>
      <c r="AD851" s="6">
        <v>0.14592</v>
      </c>
      <c r="AE851" s="6">
        <v>0.41496</v>
      </c>
      <c r="AF851" s="7">
        <v>734.8439999999999</v>
      </c>
      <c r="AG851" s="6">
        <v>0.12768000000000002</v>
      </c>
      <c r="AH851" s="7">
        <v>26.676</v>
      </c>
      <c r="AI851" s="15">
        <v>0.6885600000000001</v>
      </c>
      <c r="AJ851" s="6">
        <v>3.02</v>
      </c>
      <c r="AK851" s="3"/>
      <c r="AL851" s="6">
        <v>158.04470537813506</v>
      </c>
      <c r="AM851" s="6">
        <v>12.1341184</v>
      </c>
      <c r="AN851" s="6">
        <v>39.5218642</v>
      </c>
      <c r="AO851" s="6">
        <v>19.721443729903537</v>
      </c>
      <c r="AP851" s="6">
        <v>38.889144</v>
      </c>
      <c r="AQ851" s="6">
        <v>47.77813504823151</v>
      </c>
      <c r="AR851" s="6">
        <v>0</v>
      </c>
      <c r="AS851" s="6">
        <v>0</v>
      </c>
      <c r="AT851" s="6">
        <v>0</v>
      </c>
      <c r="AU851" s="6">
        <v>0</v>
      </c>
      <c r="AV851" s="6">
        <v>0</v>
      </c>
      <c r="AW851" s="6">
        <v>0</v>
      </c>
      <c r="AX851" s="6">
        <v>0</v>
      </c>
      <c r="AY851" s="6">
        <v>0</v>
      </c>
      <c r="AZ851" s="6">
        <v>0</v>
      </c>
      <c r="BA851" s="6">
        <v>0</v>
      </c>
      <c r="BB851" s="6">
        <v>0</v>
      </c>
      <c r="BC851" s="6"/>
      <c r="BD851" s="3"/>
      <c r="BE851" s="3"/>
      <c r="BF851" s="7">
        <v>3603.4192826214794</v>
      </c>
    </row>
    <row x14ac:dyDescent="0.25" r="852" customHeight="1" ht="12.75">
      <c r="A852" s="5" t="s">
        <v>445</v>
      </c>
      <c r="B852" s="3" t="s">
        <v>859</v>
      </c>
      <c r="C852" s="3" t="s">
        <v>870</v>
      </c>
      <c r="D852" s="3"/>
      <c r="E852" s="3"/>
      <c r="F852" s="6">
        <f>100*SUM(AM852:AO852)/AL852</f>
      </c>
      <c r="G852" s="6">
        <f>100*SUM(AP852)/AL852</f>
      </c>
      <c r="H852" s="6">
        <f>100*SUM(AQ852)/AL852</f>
      </c>
      <c r="I852" s="6">
        <f>100*SUM(AR852:BC852)/AL852</f>
      </c>
      <c r="J852" s="3"/>
      <c r="K852" s="23">
        <v>0.523849</v>
      </c>
      <c r="L852" s="6">
        <v>0.87</v>
      </c>
      <c r="M852" s="6">
        <v>3.65</v>
      </c>
      <c r="N852" s="6">
        <v>49.7</v>
      </c>
      <c r="O852" s="6">
        <v>1.45</v>
      </c>
      <c r="P852" s="6">
        <v>1.41</v>
      </c>
      <c r="Q852" s="7"/>
      <c r="R852" s="6"/>
      <c r="S852" s="6"/>
      <c r="T852" s="6"/>
      <c r="U852" s="5"/>
      <c r="V852" s="6"/>
      <c r="W852" s="6"/>
      <c r="X852" s="6"/>
      <c r="Y852" s="15"/>
      <c r="Z852" s="6"/>
      <c r="AA852" s="6"/>
      <c r="AB852" s="5"/>
      <c r="AC852" s="3"/>
      <c r="AD852" s="6">
        <v>0.0045574863</v>
      </c>
      <c r="AE852" s="6">
        <v>0.019120488499999998</v>
      </c>
      <c r="AF852" s="7">
        <v>26.0352953</v>
      </c>
      <c r="AG852" s="6">
        <v>0.0075958104999999995</v>
      </c>
      <c r="AH852" s="7">
        <v>0.7386270899999999</v>
      </c>
      <c r="AI852" s="15">
        <v>0.031273785299999995</v>
      </c>
      <c r="AJ852" s="6">
        <v>5.97</v>
      </c>
      <c r="AK852" s="3"/>
      <c r="AL852" s="6">
        <v>284.4408680086816</v>
      </c>
      <c r="AM852" s="6">
        <v>16.494817199999996</v>
      </c>
      <c r="AN852" s="6">
        <v>79.2608815</v>
      </c>
      <c r="AO852" s="6">
        <v>30.411286173633446</v>
      </c>
      <c r="AP852" s="6">
        <v>100.69510499999998</v>
      </c>
      <c r="AQ852" s="6">
        <v>57.578778135048225</v>
      </c>
      <c r="AR852" s="6">
        <v>0</v>
      </c>
      <c r="AS852" s="6">
        <v>0</v>
      </c>
      <c r="AT852" s="6">
        <v>0</v>
      </c>
      <c r="AU852" s="6">
        <v>0</v>
      </c>
      <c r="AV852" s="6">
        <v>0</v>
      </c>
      <c r="AW852" s="6">
        <v>0</v>
      </c>
      <c r="AX852" s="6">
        <v>0</v>
      </c>
      <c r="AY852" s="6">
        <v>0</v>
      </c>
      <c r="AZ852" s="6">
        <v>0</v>
      </c>
      <c r="BA852" s="6">
        <v>0</v>
      </c>
      <c r="BB852" s="6">
        <v>0</v>
      </c>
      <c r="BC852" s="6"/>
      <c r="BD852" s="3"/>
      <c r="BE852" s="3"/>
      <c r="BF852" s="7">
        <v>149.00406426547985</v>
      </c>
    </row>
    <row x14ac:dyDescent="0.25" r="853" customHeight="1" ht="12.75">
      <c r="A853" s="5" t="s">
        <v>501</v>
      </c>
      <c r="B853" s="3" t="s">
        <v>859</v>
      </c>
      <c r="C853" s="3" t="s">
        <v>870</v>
      </c>
      <c r="D853" s="3"/>
      <c r="E853" s="3"/>
      <c r="F853" s="6">
        <f>100*SUM(AM853:AO853)/AL853</f>
      </c>
      <c r="G853" s="6">
        <f>100*SUM(AP853)/AL853</f>
      </c>
      <c r="H853" s="6">
        <f>100*SUM(AQ853)/AL853</f>
      </c>
      <c r="I853" s="6">
        <f>100*SUM(AR853:BC853)/AL853</f>
      </c>
      <c r="J853" s="3"/>
      <c r="K853" s="7">
        <v>16.3296</v>
      </c>
      <c r="L853" s="7">
        <v>1</v>
      </c>
      <c r="M853" s="6">
        <v>2.2</v>
      </c>
      <c r="N853" s="5">
        <v>10</v>
      </c>
      <c r="O853" s="6">
        <v>0.9</v>
      </c>
      <c r="P853" s="6">
        <v>0.9</v>
      </c>
      <c r="Q853" s="7"/>
      <c r="R853" s="6"/>
      <c r="S853" s="6"/>
      <c r="T853" s="6"/>
      <c r="U853" s="5"/>
      <c r="V853" s="6"/>
      <c r="W853" s="6"/>
      <c r="X853" s="6"/>
      <c r="Y853" s="15"/>
      <c r="Z853" s="6"/>
      <c r="AA853" s="6"/>
      <c r="AB853" s="5"/>
      <c r="AC853" s="3"/>
      <c r="AD853" s="6">
        <v>0.163296</v>
      </c>
      <c r="AE853" s="6">
        <v>0.3592512</v>
      </c>
      <c r="AF853" s="7">
        <v>163.296</v>
      </c>
      <c r="AG853" s="6">
        <v>0.1469664</v>
      </c>
      <c r="AH853" s="7">
        <v>14.69664</v>
      </c>
      <c r="AI853" s="15">
        <v>0.6695135999999999</v>
      </c>
      <c r="AJ853" s="6">
        <v>4.1000000000000005</v>
      </c>
      <c r="AK853" s="3"/>
      <c r="AL853" s="6">
        <v>172.10503463665594</v>
      </c>
      <c r="AM853" s="6">
        <v>18.95956</v>
      </c>
      <c r="AN853" s="6">
        <v>47.773682</v>
      </c>
      <c r="AO853" s="6">
        <v>6.118971061093249</v>
      </c>
      <c r="AP853" s="6">
        <v>62.50041</v>
      </c>
      <c r="AQ853" s="6">
        <v>36.752411575562704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0</v>
      </c>
      <c r="BA853" s="6">
        <v>0</v>
      </c>
      <c r="BB853" s="6">
        <v>0</v>
      </c>
      <c r="BC853" s="6"/>
      <c r="BD853" s="3"/>
      <c r="BE853" s="3"/>
      <c r="BF853" s="7">
        <v>2810.406373602737</v>
      </c>
    </row>
    <row x14ac:dyDescent="0.25" r="854" customHeight="1" ht="12.75">
      <c r="A854" s="5" t="s">
        <v>100</v>
      </c>
      <c r="B854" s="3" t="s">
        <v>859</v>
      </c>
      <c r="C854" s="3" t="s">
        <v>870</v>
      </c>
      <c r="D854" s="3"/>
      <c r="E854" s="3"/>
      <c r="F854" s="6">
        <f>100*SUM(AM854:AO854)/AL854</f>
      </c>
      <c r="G854" s="6">
        <f>100*SUM(AP854)/AL854</f>
      </c>
      <c r="H854" s="6">
        <f>100*SUM(AQ854)/AL854</f>
      </c>
      <c r="I854" s="6">
        <f>100*SUM(AR854:BC854)/AL854</f>
      </c>
      <c r="J854" s="3"/>
      <c r="K854" s="5">
        <v>113</v>
      </c>
      <c r="L854" s="6"/>
      <c r="M854" s="6">
        <v>3.73</v>
      </c>
      <c r="N854" s="5">
        <v>18</v>
      </c>
      <c r="O854" s="6">
        <v>1.08</v>
      </c>
      <c r="P854" s="6">
        <v>1.26</v>
      </c>
      <c r="Q854" s="7"/>
      <c r="R854" s="6"/>
      <c r="S854" s="6"/>
      <c r="T854" s="6"/>
      <c r="U854" s="5"/>
      <c r="V854" s="6"/>
      <c r="W854" s="6"/>
      <c r="X854" s="6"/>
      <c r="Y854" s="15"/>
      <c r="Z854" s="6"/>
      <c r="AA854" s="6"/>
      <c r="AB854" s="5"/>
      <c r="AC854" s="3"/>
      <c r="AD854" s="6">
        <v>0</v>
      </c>
      <c r="AE854" s="6">
        <v>4.2149</v>
      </c>
      <c r="AF854" s="7">
        <v>2034</v>
      </c>
      <c r="AG854" s="6">
        <v>1.2204000000000002</v>
      </c>
      <c r="AH854" s="7">
        <v>142.38</v>
      </c>
      <c r="AI854" s="15">
        <v>5.4353</v>
      </c>
      <c r="AJ854" s="6">
        <v>4.8100000000000005</v>
      </c>
      <c r="AK854" s="3"/>
      <c r="AL854" s="6">
        <v>218.46612241575565</v>
      </c>
      <c r="AM854" s="6">
        <v>0</v>
      </c>
      <c r="AN854" s="6">
        <v>80.9981063</v>
      </c>
      <c r="AO854" s="6">
        <v>11.014147909967848</v>
      </c>
      <c r="AP854" s="6">
        <v>75.00049200000001</v>
      </c>
      <c r="AQ854" s="6">
        <v>51.453376205787784</v>
      </c>
      <c r="AR854" s="6">
        <v>0</v>
      </c>
      <c r="AS854" s="6">
        <v>0</v>
      </c>
      <c r="AT854" s="6">
        <v>0</v>
      </c>
      <c r="AU854" s="6">
        <v>0</v>
      </c>
      <c r="AV854" s="6">
        <v>0</v>
      </c>
      <c r="AW854" s="6">
        <v>0</v>
      </c>
      <c r="AX854" s="6">
        <v>0</v>
      </c>
      <c r="AY854" s="6">
        <v>0</v>
      </c>
      <c r="AZ854" s="6">
        <v>0</v>
      </c>
      <c r="BA854" s="6">
        <v>0</v>
      </c>
      <c r="BB854" s="6">
        <v>0</v>
      </c>
      <c r="BC854" s="6"/>
      <c r="BD854" s="3"/>
      <c r="BE854" s="3"/>
      <c r="BF854" s="7">
        <v>24686.671832980388</v>
      </c>
    </row>
    <row x14ac:dyDescent="0.25" r="855" customHeight="1" ht="12.75">
      <c r="A855" s="5" t="s">
        <v>65</v>
      </c>
      <c r="B855" s="3" t="s">
        <v>859</v>
      </c>
      <c r="C855" s="3" t="s">
        <v>870</v>
      </c>
      <c r="D855" s="3"/>
      <c r="E855" s="3"/>
      <c r="F855" s="6">
        <f>100*SUM(AM855:AO855)/AL855</f>
      </c>
      <c r="G855" s="6">
        <f>100*SUM(AP855)/AL855</f>
      </c>
      <c r="H855" s="6">
        <f>100*SUM(AQ855)/AL855</f>
      </c>
      <c r="I855" s="6">
        <f>100*SUM(AR855:BC855)/AL855</f>
      </c>
      <c r="J855" s="3"/>
      <c r="K855" s="23">
        <v>0.07503</v>
      </c>
      <c r="L855" s="7">
        <v>1.3128082100493135</v>
      </c>
      <c r="M855" s="7">
        <v>7.131280821004931</v>
      </c>
      <c r="N855" s="31">
        <v>130.18842063174728</v>
      </c>
      <c r="O855" s="7">
        <v>0.516206850593096</v>
      </c>
      <c r="P855" s="6">
        <v>8.759230974276957</v>
      </c>
      <c r="Q855" s="7"/>
      <c r="R855" s="6"/>
      <c r="S855" s="6"/>
      <c r="T855" s="6"/>
      <c r="U855" s="5"/>
      <c r="V855" s="6"/>
      <c r="W855" s="6"/>
      <c r="X855" s="6"/>
      <c r="Y855" s="15"/>
      <c r="Z855" s="6"/>
      <c r="AA855" s="6"/>
      <c r="AB855" s="5"/>
      <c r="AC855" s="3"/>
      <c r="AD855" s="6">
        <v>0.000985</v>
      </c>
      <c r="AE855" s="6">
        <v>0.0053506</v>
      </c>
      <c r="AF855" s="7">
        <v>9.768037199999998</v>
      </c>
      <c r="AG855" s="6">
        <v>0.0003873099999999999</v>
      </c>
      <c r="AH855" s="7">
        <v>0.6572051000000001</v>
      </c>
      <c r="AI855" s="15">
        <v>0.0067229099999999995</v>
      </c>
      <c r="AJ855" s="6">
        <v>8.96029588164734</v>
      </c>
      <c r="AK855" s="3"/>
      <c r="AL855" s="6">
        <v>652.9501594288545</v>
      </c>
      <c r="AM855" s="6">
        <v>24.89026602692256</v>
      </c>
      <c r="AN855" s="6">
        <v>154.8579737251766</v>
      </c>
      <c r="AO855" s="6">
        <v>79.66191783350968</v>
      </c>
      <c r="AP855" s="6">
        <v>35.84793311875249</v>
      </c>
      <c r="AQ855" s="6">
        <v>357.6920687244931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0</v>
      </c>
      <c r="BA855" s="6">
        <v>0</v>
      </c>
      <c r="BB855" s="6">
        <v>0</v>
      </c>
      <c r="BC855" s="6"/>
      <c r="BD855" s="3"/>
      <c r="BE855" s="3"/>
      <c r="BF855" s="7">
        <v>48.99085046194695</v>
      </c>
    </row>
    <row x14ac:dyDescent="0.25" r="856" customHeight="1" ht="12.75">
      <c r="A856" s="5" t="s">
        <v>745</v>
      </c>
      <c r="B856" s="3" t="s">
        <v>859</v>
      </c>
      <c r="C856" s="3" t="s">
        <v>870</v>
      </c>
      <c r="D856" s="3"/>
      <c r="E856" s="3"/>
      <c r="F856" s="6">
        <f>100*SUM(AM856:AO856)/AL856</f>
      </c>
      <c r="G856" s="6">
        <f>100*SUM(AP856)/AL856</f>
      </c>
      <c r="H856" s="6">
        <f>100*SUM(AQ856)/AL856</f>
      </c>
      <c r="I856" s="6">
        <f>100*SUM(AR856:BC856)/AL856</f>
      </c>
      <c r="J856" s="3"/>
      <c r="K856" s="6">
        <v>1.54224</v>
      </c>
      <c r="L856" s="6"/>
      <c r="M856" s="7">
        <v>3</v>
      </c>
      <c r="N856" s="5"/>
      <c r="O856" s="6">
        <v>1.55</v>
      </c>
      <c r="P856" s="6"/>
      <c r="Q856" s="7"/>
      <c r="R856" s="6"/>
      <c r="S856" s="6"/>
      <c r="T856" s="6"/>
      <c r="U856" s="5"/>
      <c r="V856" s="6"/>
      <c r="W856" s="6"/>
      <c r="X856" s="6"/>
      <c r="Y856" s="15"/>
      <c r="Z856" s="6"/>
      <c r="AA856" s="6"/>
      <c r="AB856" s="5"/>
      <c r="AC856" s="3"/>
      <c r="AD856" s="6">
        <v>0</v>
      </c>
      <c r="AE856" s="6">
        <v>0.04626720000000001</v>
      </c>
      <c r="AF856" s="7">
        <v>0</v>
      </c>
      <c r="AG856" s="6">
        <v>0.023904720000000004</v>
      </c>
      <c r="AH856" s="7">
        <v>0</v>
      </c>
      <c r="AI856" s="15">
        <v>0.07017192000000001</v>
      </c>
      <c r="AJ856" s="6">
        <v>4.55</v>
      </c>
      <c r="AK856" s="3"/>
      <c r="AL856" s="6">
        <v>172.785525</v>
      </c>
      <c r="AM856" s="6">
        <v>0</v>
      </c>
      <c r="AN856" s="6">
        <v>65.14592999999999</v>
      </c>
      <c r="AO856" s="6">
        <v>0</v>
      </c>
      <c r="AP856" s="6">
        <v>107.639595</v>
      </c>
      <c r="AQ856" s="6">
        <v>0</v>
      </c>
      <c r="AR856" s="6">
        <v>0</v>
      </c>
      <c r="AS856" s="6">
        <v>0</v>
      </c>
      <c r="AT856" s="6">
        <v>0</v>
      </c>
      <c r="AU856" s="6">
        <v>0</v>
      </c>
      <c r="AV856" s="6">
        <v>0</v>
      </c>
      <c r="AW856" s="6">
        <v>0</v>
      </c>
      <c r="AX856" s="6">
        <v>0</v>
      </c>
      <c r="AY856" s="6">
        <v>0</v>
      </c>
      <c r="AZ856" s="6">
        <v>0</v>
      </c>
      <c r="BA856" s="6">
        <v>0</v>
      </c>
      <c r="BB856" s="6">
        <v>0</v>
      </c>
      <c r="BC856" s="6"/>
      <c r="BD856" s="3"/>
      <c r="BE856" s="3"/>
      <c r="BF856" s="7">
        <v>266.47674807600004</v>
      </c>
    </row>
    <row x14ac:dyDescent="0.25" r="857" customHeight="1" ht="12.75">
      <c r="A857" s="5" t="s">
        <v>263</v>
      </c>
      <c r="B857" s="3" t="s">
        <v>859</v>
      </c>
      <c r="C857" s="3" t="s">
        <v>870</v>
      </c>
      <c r="D857" s="3"/>
      <c r="E857" s="3"/>
      <c r="F857" s="6">
        <f>100*SUM(AM857:AO857)/AL857</f>
      </c>
      <c r="G857" s="6">
        <f>100*SUM(AP857)/AL857</f>
      </c>
      <c r="H857" s="6">
        <f>100*SUM(AQ857)/AL857</f>
      </c>
      <c r="I857" s="6">
        <f>100*SUM(AR857:BC857)/AL857</f>
      </c>
      <c r="J857" s="3"/>
      <c r="K857" s="6">
        <v>4.5</v>
      </c>
      <c r="L857" s="6">
        <v>1.71</v>
      </c>
      <c r="M857" s="6">
        <v>4.96</v>
      </c>
      <c r="N857" s="6">
        <v>8.1</v>
      </c>
      <c r="O857" s="6">
        <v>3.54</v>
      </c>
      <c r="P857" s="6"/>
      <c r="Q857" s="7"/>
      <c r="R857" s="6"/>
      <c r="S857" s="6"/>
      <c r="T857" s="6"/>
      <c r="U857" s="5"/>
      <c r="V857" s="6"/>
      <c r="W857" s="6"/>
      <c r="X857" s="6"/>
      <c r="Y857" s="15"/>
      <c r="Z857" s="6"/>
      <c r="AA857" s="6"/>
      <c r="AB857" s="5"/>
      <c r="AC857" s="3"/>
      <c r="AD857" s="6">
        <v>0.07695</v>
      </c>
      <c r="AE857" s="6">
        <v>0.2232</v>
      </c>
      <c r="AF857" s="7">
        <v>36.449999999999996</v>
      </c>
      <c r="AG857" s="6">
        <v>0.1593</v>
      </c>
      <c r="AH857" s="7">
        <v>0</v>
      </c>
      <c r="AI857" s="15">
        <v>0.45945</v>
      </c>
      <c r="AJ857" s="6">
        <v>10.21</v>
      </c>
      <c r="AK857" s="3"/>
      <c r="AL857" s="6">
        <v>390.92009775948554</v>
      </c>
      <c r="AM857" s="6">
        <v>32.4208476</v>
      </c>
      <c r="AN857" s="6">
        <v>107.7079376</v>
      </c>
      <c r="AO857" s="6">
        <v>4.956366559485532</v>
      </c>
      <c r="AP857" s="6">
        <v>245.834946</v>
      </c>
      <c r="AQ857" s="6">
        <v>0</v>
      </c>
      <c r="AR857" s="6">
        <v>0</v>
      </c>
      <c r="AS857" s="6">
        <v>0</v>
      </c>
      <c r="AT857" s="6">
        <v>0</v>
      </c>
      <c r="AU857" s="6">
        <v>0</v>
      </c>
      <c r="AV857" s="6">
        <v>0</v>
      </c>
      <c r="AW857" s="6">
        <v>0</v>
      </c>
      <c r="AX857" s="6">
        <v>0</v>
      </c>
      <c r="AY857" s="6">
        <v>0</v>
      </c>
      <c r="AZ857" s="6">
        <v>0</v>
      </c>
      <c r="BA857" s="6">
        <v>0</v>
      </c>
      <c r="BB857" s="6">
        <v>0</v>
      </c>
      <c r="BC857" s="6"/>
      <c r="BD857" s="3"/>
      <c r="BE857" s="3"/>
      <c r="BF857" s="7">
        <v>1759.140439917685</v>
      </c>
    </row>
    <row x14ac:dyDescent="0.25" r="858" customHeight="1" ht="12.75">
      <c r="A858" s="5" t="s">
        <v>818</v>
      </c>
      <c r="B858" s="3" t="s">
        <v>859</v>
      </c>
      <c r="C858" s="3" t="s">
        <v>870</v>
      </c>
      <c r="D858" s="3"/>
      <c r="E858" s="3"/>
      <c r="F858" s="6">
        <f>100*SUM(AM858:AO858)/AL858</f>
      </c>
      <c r="G858" s="6">
        <f>100*SUM(AP858)/AL858</f>
      </c>
      <c r="H858" s="6">
        <f>100*SUM(AQ858)/AL858</f>
      </c>
      <c r="I858" s="6">
        <f>100*SUM(AR858:BC858)/AL858</f>
      </c>
      <c r="J858" s="3"/>
      <c r="K858" s="23">
        <v>2.5465104</v>
      </c>
      <c r="L858" s="6"/>
      <c r="M858" s="6">
        <v>0.96</v>
      </c>
      <c r="N858" s="7">
        <v>38.052248677248684</v>
      </c>
      <c r="O858" s="6">
        <v>1.12</v>
      </c>
      <c r="P858" s="6"/>
      <c r="Q858" s="7"/>
      <c r="R858" s="6"/>
      <c r="S858" s="6"/>
      <c r="T858" s="6"/>
      <c r="U858" s="5"/>
      <c r="V858" s="6"/>
      <c r="W858" s="6"/>
      <c r="X858" s="6"/>
      <c r="Y858" s="15"/>
      <c r="Z858" s="6"/>
      <c r="AA858" s="6"/>
      <c r="AB858" s="5"/>
      <c r="AC858" s="3"/>
      <c r="AD858" s="6">
        <v>0</v>
      </c>
      <c r="AE858" s="6">
        <v>0.024446499839999997</v>
      </c>
      <c r="AF858" s="7">
        <v>96.90044700000001</v>
      </c>
      <c r="AG858" s="6">
        <v>0.028520916480000002</v>
      </c>
      <c r="AH858" s="7">
        <v>0</v>
      </c>
      <c r="AI858" s="15">
        <v>0.05296741632</v>
      </c>
      <c r="AJ858" s="6">
        <v>2.08</v>
      </c>
      <c r="AK858" s="3"/>
      <c r="AL858" s="6">
        <v>121.90904644656085</v>
      </c>
      <c r="AM858" s="6">
        <v>0</v>
      </c>
      <c r="AN858" s="6">
        <v>20.8466976</v>
      </c>
      <c r="AO858" s="6">
        <v>23.284060846560852</v>
      </c>
      <c r="AP858" s="6">
        <v>77.778288</v>
      </c>
      <c r="AQ858" s="6">
        <v>0</v>
      </c>
      <c r="AR858" s="6">
        <v>0</v>
      </c>
      <c r="AS858" s="6">
        <v>0</v>
      </c>
      <c r="AT858" s="6">
        <v>0</v>
      </c>
      <c r="AU858" s="6">
        <v>0</v>
      </c>
      <c r="AV858" s="6">
        <v>0</v>
      </c>
      <c r="AW858" s="6">
        <v>0</v>
      </c>
      <c r="AX858" s="6">
        <v>0</v>
      </c>
      <c r="AY858" s="6">
        <v>0</v>
      </c>
      <c r="AZ858" s="6">
        <v>0</v>
      </c>
      <c r="BA858" s="6">
        <v>0</v>
      </c>
      <c r="BB858" s="6">
        <v>0</v>
      </c>
      <c r="BC858" s="6"/>
      <c r="BD858" s="3"/>
      <c r="BE858" s="3"/>
      <c r="BF858" s="7">
        <v>310.4426546302502</v>
      </c>
    </row>
    <row x14ac:dyDescent="0.25" r="859" customHeight="1" ht="12.75">
      <c r="A859" s="5" t="s">
        <v>687</v>
      </c>
      <c r="B859" s="3" t="s">
        <v>859</v>
      </c>
      <c r="C859" s="3" t="s">
        <v>870</v>
      </c>
      <c r="D859" s="3"/>
      <c r="E859" s="3"/>
      <c r="F859" s="6">
        <f>100*SUM(AM859:AO859)/AL859</f>
      </c>
      <c r="G859" s="6">
        <f>100*SUM(AP859)/AL859</f>
      </c>
      <c r="H859" s="6">
        <f>100*SUM(AQ859)/AL859</f>
      </c>
      <c r="I859" s="6">
        <f>100*SUM(AR859:BC859)/AL859</f>
      </c>
      <c r="J859" s="3"/>
      <c r="K859" s="6">
        <v>0.6</v>
      </c>
      <c r="L859" s="6"/>
      <c r="M859" s="6">
        <v>1.8</v>
      </c>
      <c r="N859" s="5">
        <v>50</v>
      </c>
      <c r="O859" s="6">
        <v>1.8</v>
      </c>
      <c r="P859" s="6"/>
      <c r="Q859" s="7"/>
      <c r="R859" s="6"/>
      <c r="S859" s="6"/>
      <c r="T859" s="6"/>
      <c r="U859" s="5"/>
      <c r="V859" s="6"/>
      <c r="W859" s="6"/>
      <c r="X859" s="6"/>
      <c r="Y859" s="15"/>
      <c r="Z859" s="6"/>
      <c r="AA859" s="6"/>
      <c r="AB859" s="5"/>
      <c r="AC859" s="3"/>
      <c r="AD859" s="6">
        <v>0</v>
      </c>
      <c r="AE859" s="6">
        <v>0.0108</v>
      </c>
      <c r="AF859" s="7">
        <v>30</v>
      </c>
      <c r="AG859" s="6">
        <v>0.0108</v>
      </c>
      <c r="AH859" s="7">
        <v>0</v>
      </c>
      <c r="AI859" s="15">
        <v>0.0216</v>
      </c>
      <c r="AJ859" s="6">
        <v>3.6</v>
      </c>
      <c r="AK859" s="3"/>
      <c r="AL859" s="6">
        <v>194.68323330546625</v>
      </c>
      <c r="AM859" s="6">
        <v>0</v>
      </c>
      <c r="AN859" s="6">
        <v>39.087558</v>
      </c>
      <c r="AO859" s="6">
        <v>30.594855305466243</v>
      </c>
      <c r="AP859" s="6">
        <v>125.00082</v>
      </c>
      <c r="AQ859" s="6">
        <v>0</v>
      </c>
      <c r="AR859" s="6">
        <v>0</v>
      </c>
      <c r="AS859" s="6">
        <v>0</v>
      </c>
      <c r="AT859" s="6">
        <v>0</v>
      </c>
      <c r="AU859" s="6">
        <v>0</v>
      </c>
      <c r="AV859" s="6">
        <v>0</v>
      </c>
      <c r="AW859" s="6">
        <v>0</v>
      </c>
      <c r="AX859" s="6">
        <v>0</v>
      </c>
      <c r="AY859" s="6">
        <v>0</v>
      </c>
      <c r="AZ859" s="6">
        <v>0</v>
      </c>
      <c r="BA859" s="6">
        <v>0</v>
      </c>
      <c r="BB859" s="6">
        <v>0</v>
      </c>
      <c r="BC859" s="6"/>
      <c r="BD859" s="3"/>
      <c r="BE859" s="3"/>
      <c r="BF859" s="7">
        <v>116.80993998327975</v>
      </c>
    </row>
    <row x14ac:dyDescent="0.25" r="860" customHeight="1" ht="12.75">
      <c r="A860" s="5" t="s">
        <v>838</v>
      </c>
      <c r="B860" s="3" t="s">
        <v>859</v>
      </c>
      <c r="C860" s="3" t="s">
        <v>870</v>
      </c>
      <c r="D860" s="3"/>
      <c r="E860" s="3"/>
      <c r="F860" s="6">
        <f>100*SUM(AM860:AO860)/AL860</f>
      </c>
      <c r="G860" s="6">
        <f>100*SUM(AP860)/AL860</f>
      </c>
      <c r="H860" s="6">
        <f>100*SUM(AQ860)/AL860</f>
      </c>
      <c r="I860" s="6">
        <f>100*SUM(AR860:BC860)/AL860</f>
      </c>
      <c r="J860" s="3"/>
      <c r="K860" s="6">
        <v>2.7</v>
      </c>
      <c r="L860" s="6">
        <v>0.01</v>
      </c>
      <c r="M860" s="6">
        <v>0.2</v>
      </c>
      <c r="N860" s="5">
        <v>34</v>
      </c>
      <c r="O860" s="6">
        <v>0.5</v>
      </c>
      <c r="P860" s="6">
        <v>0.3</v>
      </c>
      <c r="Q860" s="7"/>
      <c r="R860" s="6"/>
      <c r="S860" s="6"/>
      <c r="T860" s="6"/>
      <c r="U860" s="5"/>
      <c r="V860" s="6"/>
      <c r="W860" s="6"/>
      <c r="X860" s="6"/>
      <c r="Y860" s="15"/>
      <c r="Z860" s="6"/>
      <c r="AA860" s="6"/>
      <c r="AB860" s="5"/>
      <c r="AC860" s="3"/>
      <c r="AD860" s="6">
        <v>0.00027000000000000006</v>
      </c>
      <c r="AE860" s="6">
        <v>0.0054</v>
      </c>
      <c r="AF860" s="7">
        <v>91.80000000000001</v>
      </c>
      <c r="AG860" s="6">
        <v>0.013500000000000002</v>
      </c>
      <c r="AH860" s="7">
        <v>0.81</v>
      </c>
      <c r="AI860" s="15">
        <v>0.019170000000000003</v>
      </c>
      <c r="AJ860" s="6">
        <v>0.71</v>
      </c>
      <c r="AK860" s="3"/>
      <c r="AL860" s="6">
        <v>72.31041306623794</v>
      </c>
      <c r="AM860" s="6">
        <v>0.1895956</v>
      </c>
      <c r="AN860" s="6">
        <v>4.343062</v>
      </c>
      <c r="AO860" s="6">
        <v>20.804501607717043</v>
      </c>
      <c r="AP860" s="6">
        <v>34.72245</v>
      </c>
      <c r="AQ860" s="6">
        <v>12.2508038585209</v>
      </c>
      <c r="AR860" s="6">
        <v>0</v>
      </c>
      <c r="AS860" s="6">
        <v>0</v>
      </c>
      <c r="AT860" s="6">
        <v>0</v>
      </c>
      <c r="AU860" s="6">
        <v>0</v>
      </c>
      <c r="AV860" s="6">
        <v>0</v>
      </c>
      <c r="AW860" s="6">
        <v>0</v>
      </c>
      <c r="AX860" s="6">
        <v>0</v>
      </c>
      <c r="AY860" s="6">
        <v>0</v>
      </c>
      <c r="AZ860" s="6">
        <v>0</v>
      </c>
      <c r="BA860" s="6">
        <v>0</v>
      </c>
      <c r="BB860" s="6">
        <v>0</v>
      </c>
      <c r="BC860" s="6"/>
      <c r="BD860" s="3"/>
      <c r="BE860" s="3"/>
      <c r="BF860" s="7">
        <v>195.23811527884246</v>
      </c>
    </row>
    <row x14ac:dyDescent="0.25" r="861" customHeight="1" ht="12.75">
      <c r="A861" s="5" t="s">
        <v>365</v>
      </c>
      <c r="B861" s="3" t="s">
        <v>859</v>
      </c>
      <c r="C861" s="3" t="s">
        <v>870</v>
      </c>
      <c r="D861" s="3"/>
      <c r="E861" s="3"/>
      <c r="F861" s="6">
        <f>100*SUM(AM861:AO861)/AL861</f>
      </c>
      <c r="G861" s="6">
        <f>100*SUM(AP861)/AL861</f>
      </c>
      <c r="H861" s="6">
        <f>100*SUM(AQ861)/AL861</f>
      </c>
      <c r="I861" s="6">
        <f>100*SUM(AR861:BC861)/AL861</f>
      </c>
      <c r="J861" s="3"/>
      <c r="K861" s="5">
        <v>10</v>
      </c>
      <c r="L861" s="6"/>
      <c r="M861" s="5">
        <v>5</v>
      </c>
      <c r="N861" s="5"/>
      <c r="O861" s="5">
        <v>3</v>
      </c>
      <c r="P861" s="6"/>
      <c r="Q861" s="7"/>
      <c r="R861" s="6"/>
      <c r="S861" s="6"/>
      <c r="T861" s="6"/>
      <c r="U861" s="5"/>
      <c r="V861" s="6"/>
      <c r="W861" s="6"/>
      <c r="X861" s="6"/>
      <c r="Y861" s="15"/>
      <c r="Z861" s="6"/>
      <c r="AA861" s="6"/>
      <c r="AB861" s="5"/>
      <c r="AC861" s="3"/>
      <c r="AD861" s="6">
        <v>0</v>
      </c>
      <c r="AE861" s="6">
        <v>0.5</v>
      </c>
      <c r="AF861" s="7">
        <v>0</v>
      </c>
      <c r="AG861" s="6">
        <v>0.3</v>
      </c>
      <c r="AH861" s="7">
        <v>0</v>
      </c>
      <c r="AI861" s="15">
        <v>0.8</v>
      </c>
      <c r="AJ861" s="6">
        <v>8</v>
      </c>
      <c r="AK861" s="3"/>
      <c r="AL861" s="6">
        <v>316.91125</v>
      </c>
      <c r="AM861" s="6">
        <v>0</v>
      </c>
      <c r="AN861" s="6">
        <v>108.57655</v>
      </c>
      <c r="AO861" s="6">
        <v>0</v>
      </c>
      <c r="AP861" s="6">
        <v>208.3347</v>
      </c>
      <c r="AQ861" s="6">
        <v>0</v>
      </c>
      <c r="AR861" s="6">
        <v>0</v>
      </c>
      <c r="AS861" s="6">
        <v>0</v>
      </c>
      <c r="AT861" s="6">
        <v>0</v>
      </c>
      <c r="AU861" s="6">
        <v>0</v>
      </c>
      <c r="AV861" s="6">
        <v>0</v>
      </c>
      <c r="AW861" s="6">
        <v>0</v>
      </c>
      <c r="AX861" s="6">
        <v>0</v>
      </c>
      <c r="AY861" s="6">
        <v>0</v>
      </c>
      <c r="AZ861" s="6">
        <v>0</v>
      </c>
      <c r="BA861" s="6">
        <v>0</v>
      </c>
      <c r="BB861" s="6">
        <v>0</v>
      </c>
      <c r="BC861" s="6"/>
      <c r="BD861" s="3"/>
      <c r="BE861" s="3"/>
      <c r="BF861" s="7">
        <v>3169.1125</v>
      </c>
    </row>
    <row x14ac:dyDescent="0.25" r="862" customHeight="1" ht="12.75">
      <c r="A862" s="5" t="s">
        <v>128</v>
      </c>
      <c r="B862" s="3" t="s">
        <v>859</v>
      </c>
      <c r="C862" s="3" t="s">
        <v>870</v>
      </c>
      <c r="D862" s="3"/>
      <c r="E862" s="3"/>
      <c r="F862" s="6">
        <f>100*SUM(AM862:AO862)/AL862</f>
      </c>
      <c r="G862" s="6">
        <f>100*SUM(AP862)/AL862</f>
      </c>
      <c r="H862" s="6">
        <f>100*SUM(AQ862)/AL862</f>
      </c>
      <c r="I862" s="6">
        <f>100*SUM(AR862:BC862)/AL862</f>
      </c>
      <c r="J862" s="3"/>
      <c r="K862" s="5">
        <v>69</v>
      </c>
      <c r="L862" s="6">
        <v>0.0391304347826087</v>
      </c>
      <c r="M862" s="7">
        <v>2.8595652173913044</v>
      </c>
      <c r="N862" s="5">
        <v>35</v>
      </c>
      <c r="O862" s="7">
        <v>1.3873913043478259</v>
      </c>
      <c r="P862" s="6">
        <v>1.8</v>
      </c>
      <c r="Q862" s="7"/>
      <c r="R862" s="6"/>
      <c r="S862" s="6"/>
      <c r="T862" s="6"/>
      <c r="U862" s="5"/>
      <c r="V862" s="6"/>
      <c r="W862" s="6"/>
      <c r="X862" s="6"/>
      <c r="Y862" s="15"/>
      <c r="Z862" s="6"/>
      <c r="AA862" s="6"/>
      <c r="AB862" s="5"/>
      <c r="AC862" s="3"/>
      <c r="AD862" s="6">
        <v>0.027000000000000003</v>
      </c>
      <c r="AE862" s="6">
        <v>1.9731</v>
      </c>
      <c r="AF862" s="7">
        <v>2415</v>
      </c>
      <c r="AG862" s="6">
        <v>0.9572999999999999</v>
      </c>
      <c r="AH862" s="7">
        <v>124.2</v>
      </c>
      <c r="AI862" s="15">
        <v>2.9574000000000003</v>
      </c>
      <c r="AJ862" s="6">
        <v>4.286086956521739</v>
      </c>
      <c r="AK862" s="3"/>
      <c r="AL862" s="6">
        <v>254.10671324321262</v>
      </c>
      <c r="AM862" s="6">
        <v>0.7418958260869565</v>
      </c>
      <c r="AN862" s="6">
        <v>62.09634516086956</v>
      </c>
      <c r="AO862" s="6">
        <v>21.416398713826368</v>
      </c>
      <c r="AP862" s="6">
        <v>96.34725039130433</v>
      </c>
      <c r="AQ862" s="6">
        <v>73.50482315112541</v>
      </c>
      <c r="AR862" s="6">
        <v>0</v>
      </c>
      <c r="AS862" s="6">
        <v>0</v>
      </c>
      <c r="AT862" s="6">
        <v>0</v>
      </c>
      <c r="AU862" s="6">
        <v>0</v>
      </c>
      <c r="AV862" s="6">
        <v>0</v>
      </c>
      <c r="AW862" s="6">
        <v>0</v>
      </c>
      <c r="AX862" s="6">
        <v>0</v>
      </c>
      <c r="AY862" s="6">
        <v>0</v>
      </c>
      <c r="AZ862" s="6">
        <v>0</v>
      </c>
      <c r="BA862" s="6">
        <v>0</v>
      </c>
      <c r="BB862" s="6">
        <v>0</v>
      </c>
      <c r="BC862" s="6"/>
      <c r="BD862" s="3"/>
      <c r="BE862" s="3"/>
      <c r="BF862" s="7">
        <v>17533.36321378167</v>
      </c>
    </row>
    <row x14ac:dyDescent="0.25" r="863" customHeight="1" ht="12.75">
      <c r="A863" s="5" t="s">
        <v>161</v>
      </c>
      <c r="B863" s="3" t="s">
        <v>859</v>
      </c>
      <c r="C863" s="3" t="s">
        <v>870</v>
      </c>
      <c r="D863" s="3"/>
      <c r="E863" s="3"/>
      <c r="F863" s="6">
        <f>100*SUM(AM863:AO863)/AL863</f>
      </c>
      <c r="G863" s="6">
        <f>100*SUM(AP863)/AL863</f>
      </c>
      <c r="H863" s="6">
        <f>100*SUM(AQ863)/AL863</f>
      </c>
      <c r="I863" s="6">
        <f>100*SUM(AR863:BC863)/AL863</f>
      </c>
      <c r="J863" s="3"/>
      <c r="K863" s="5">
        <v>130</v>
      </c>
      <c r="L863" s="6">
        <v>0.1</v>
      </c>
      <c r="M863" s="6">
        <v>1.5</v>
      </c>
      <c r="N863" s="5"/>
      <c r="O863" s="5">
        <v>1</v>
      </c>
      <c r="P863" s="6"/>
      <c r="Q863" s="7"/>
      <c r="R863" s="6"/>
      <c r="S863" s="6"/>
      <c r="T863" s="6"/>
      <c r="U863" s="5"/>
      <c r="V863" s="6"/>
      <c r="W863" s="6"/>
      <c r="X863" s="6"/>
      <c r="Y863" s="15"/>
      <c r="Z863" s="6">
        <v>0.07</v>
      </c>
      <c r="AA863" s="6"/>
      <c r="AB863" s="5"/>
      <c r="AC863" s="3"/>
      <c r="AD863" s="6">
        <v>0.13</v>
      </c>
      <c r="AE863" s="6">
        <v>1.95</v>
      </c>
      <c r="AF863" s="7">
        <v>0</v>
      </c>
      <c r="AG863" s="6">
        <v>1.3</v>
      </c>
      <c r="AH863" s="7">
        <v>0</v>
      </c>
      <c r="AI863" s="15">
        <v>3.38</v>
      </c>
      <c r="AJ863" s="6">
        <v>2.6</v>
      </c>
      <c r="AK863" s="3"/>
      <c r="AL863" s="6">
        <v>105.1329648</v>
      </c>
      <c r="AM863" s="6">
        <v>1.895956</v>
      </c>
      <c r="AN863" s="6">
        <v>32.572964999999996</v>
      </c>
      <c r="AO863" s="6">
        <v>0</v>
      </c>
      <c r="AP863" s="6">
        <v>69.4449</v>
      </c>
      <c r="AQ863" s="6">
        <v>0</v>
      </c>
      <c r="AR863" s="6">
        <v>0</v>
      </c>
      <c r="AS863" s="6">
        <v>0</v>
      </c>
      <c r="AT863" s="6">
        <v>0</v>
      </c>
      <c r="AU863" s="6">
        <v>0</v>
      </c>
      <c r="AV863" s="6">
        <v>0</v>
      </c>
      <c r="AW863" s="6">
        <v>0</v>
      </c>
      <c r="AX863" s="6">
        <v>0</v>
      </c>
      <c r="AY863" s="6">
        <v>0</v>
      </c>
      <c r="AZ863" s="6">
        <v>0</v>
      </c>
      <c r="BA863" s="6">
        <v>1.2191438</v>
      </c>
      <c r="BB863" s="6">
        <v>0</v>
      </c>
      <c r="BC863" s="6"/>
      <c r="BD863" s="3"/>
      <c r="BE863" s="3"/>
      <c r="BF863" s="7">
        <v>13667.285424</v>
      </c>
    </row>
    <row x14ac:dyDescent="0.25" r="864" customHeight="1" ht="12.75">
      <c r="A864" s="5" t="s">
        <v>304</v>
      </c>
      <c r="B864" s="3" t="s">
        <v>859</v>
      </c>
      <c r="C864" s="3" t="s">
        <v>870</v>
      </c>
      <c r="D864" s="3"/>
      <c r="E864" s="3"/>
      <c r="F864" s="6">
        <f>100*SUM(AM864:AO864)/AL864</f>
      </c>
      <c r="G864" s="6">
        <f>100*SUM(AP864)/AL864</f>
      </c>
      <c r="H864" s="6">
        <f>100*SUM(AQ864)/AL864</f>
      </c>
      <c r="I864" s="6">
        <f>100*SUM(AR864:BC864)/AL864</f>
      </c>
      <c r="J864" s="3"/>
      <c r="K864" s="6">
        <v>1.3</v>
      </c>
      <c r="L864" s="6">
        <v>0.67</v>
      </c>
      <c r="M864" s="6">
        <v>4.66</v>
      </c>
      <c r="N864" s="5"/>
      <c r="O864" s="6">
        <v>2.63</v>
      </c>
      <c r="P864" s="6">
        <v>1.5</v>
      </c>
      <c r="Q864" s="7"/>
      <c r="R864" s="6"/>
      <c r="S864" s="6"/>
      <c r="T864" s="6"/>
      <c r="U864" s="5"/>
      <c r="V864" s="6"/>
      <c r="W864" s="6"/>
      <c r="X864" s="6"/>
      <c r="Y864" s="15"/>
      <c r="Z864" s="6"/>
      <c r="AA864" s="6"/>
      <c r="AB864" s="5"/>
      <c r="AC864" s="3"/>
      <c r="AD864" s="6">
        <v>0.00871</v>
      </c>
      <c r="AE864" s="6">
        <v>0.06058000000000001</v>
      </c>
      <c r="AF864" s="7">
        <v>0</v>
      </c>
      <c r="AG864" s="6">
        <v>0.03419</v>
      </c>
      <c r="AH864" s="7">
        <v>1.9500000000000002</v>
      </c>
      <c r="AI864" s="15">
        <v>0.10348</v>
      </c>
      <c r="AJ864" s="6">
        <v>7.96</v>
      </c>
      <c r="AK864" s="3"/>
      <c r="AL864" s="6">
        <v>357.7903560926045</v>
      </c>
      <c r="AM864" s="6">
        <v>12.7029052</v>
      </c>
      <c r="AN864" s="6">
        <v>101.1933446</v>
      </c>
      <c r="AO864" s="6">
        <v>0</v>
      </c>
      <c r="AP864" s="6">
        <v>182.640087</v>
      </c>
      <c r="AQ864" s="6">
        <v>61.254019292604504</v>
      </c>
      <c r="AR864" s="6">
        <v>0</v>
      </c>
      <c r="AS864" s="6">
        <v>0</v>
      </c>
      <c r="AT864" s="6">
        <v>0</v>
      </c>
      <c r="AU864" s="6">
        <v>0</v>
      </c>
      <c r="AV864" s="6">
        <v>0</v>
      </c>
      <c r="AW864" s="6">
        <v>0</v>
      </c>
      <c r="AX864" s="6">
        <v>0</v>
      </c>
      <c r="AY864" s="6">
        <v>0</v>
      </c>
      <c r="AZ864" s="6">
        <v>0</v>
      </c>
      <c r="BA864" s="6">
        <v>0</v>
      </c>
      <c r="BB864" s="6">
        <v>0</v>
      </c>
      <c r="BC864" s="6"/>
      <c r="BD864" s="3"/>
      <c r="BE864" s="3"/>
      <c r="BF864" s="7">
        <v>465.1274629203859</v>
      </c>
    </row>
    <row x14ac:dyDescent="0.25" r="865" customHeight="1" ht="12.75">
      <c r="A865" s="5" t="s">
        <v>195</v>
      </c>
      <c r="B865" s="3" t="s">
        <v>859</v>
      </c>
      <c r="C865" s="3" t="s">
        <v>870</v>
      </c>
      <c r="D865" s="3"/>
      <c r="E865" s="3"/>
      <c r="F865" s="6">
        <f>100*SUM(AM865:AO865)/AL865</f>
      </c>
      <c r="G865" s="6">
        <f>100*SUM(AP865)/AL865</f>
      </c>
      <c r="H865" s="6">
        <f>100*SUM(AQ865)/AL865</f>
      </c>
      <c r="I865" s="6">
        <f>100*SUM(AR865:BC865)/AL865</f>
      </c>
      <c r="J865" s="3"/>
      <c r="K865" s="6">
        <v>2.3</v>
      </c>
      <c r="L865" s="6"/>
      <c r="M865" s="6">
        <v>5.56</v>
      </c>
      <c r="N865" s="6">
        <v>33.5</v>
      </c>
      <c r="O865" s="6">
        <v>2.56</v>
      </c>
      <c r="P865" s="6">
        <v>3.3</v>
      </c>
      <c r="Q865" s="7"/>
      <c r="R865" s="6"/>
      <c r="S865" s="6"/>
      <c r="T865" s="6"/>
      <c r="U865" s="5"/>
      <c r="V865" s="6"/>
      <c r="W865" s="6"/>
      <c r="X865" s="6"/>
      <c r="Y865" s="15"/>
      <c r="Z865" s="6"/>
      <c r="AA865" s="6"/>
      <c r="AB865" s="5"/>
      <c r="AC865" s="3"/>
      <c r="AD865" s="6">
        <v>0</v>
      </c>
      <c r="AE865" s="6">
        <v>0.12788</v>
      </c>
      <c r="AF865" s="7">
        <v>77.05</v>
      </c>
      <c r="AG865" s="6">
        <v>0.05888</v>
      </c>
      <c r="AH865" s="7">
        <v>7.589999999999999</v>
      </c>
      <c r="AI865" s="15">
        <v>0.18675999999999998</v>
      </c>
      <c r="AJ865" s="6">
        <v>8.12</v>
      </c>
      <c r="AK865" s="3"/>
      <c r="AL865" s="6">
        <v>453.7734630983923</v>
      </c>
      <c r="AM865" s="6">
        <v>0</v>
      </c>
      <c r="AN865" s="6">
        <v>120.73712359999999</v>
      </c>
      <c r="AO865" s="6">
        <v>20.498553054662384</v>
      </c>
      <c r="AP865" s="6">
        <v>177.778944</v>
      </c>
      <c r="AQ865" s="6">
        <v>134.7588424437299</v>
      </c>
      <c r="AR865" s="6">
        <v>0</v>
      </c>
      <c r="AS865" s="6">
        <v>0</v>
      </c>
      <c r="AT865" s="6">
        <v>0</v>
      </c>
      <c r="AU865" s="6">
        <v>0</v>
      </c>
      <c r="AV865" s="6">
        <v>0</v>
      </c>
      <c r="AW865" s="6">
        <v>0</v>
      </c>
      <c r="AX865" s="6">
        <v>0</v>
      </c>
      <c r="AY865" s="6">
        <v>0</v>
      </c>
      <c r="AZ865" s="6">
        <v>0</v>
      </c>
      <c r="BA865" s="6">
        <v>0</v>
      </c>
      <c r="BB865" s="6">
        <v>0</v>
      </c>
      <c r="BC865" s="6"/>
      <c r="BD865" s="3"/>
      <c r="BE865" s="3"/>
      <c r="BF865" s="7">
        <v>1043.6789651263023</v>
      </c>
    </row>
    <row x14ac:dyDescent="0.25" r="866" customHeight="1" ht="12.75">
      <c r="A866" s="5" t="s">
        <v>706</v>
      </c>
      <c r="B866" s="3" t="s">
        <v>859</v>
      </c>
      <c r="C866" s="3" t="s">
        <v>870</v>
      </c>
      <c r="D866" s="3"/>
      <c r="E866" s="3"/>
      <c r="F866" s="6">
        <f>100*SUM(AM866:AO866)/AL866</f>
      </c>
      <c r="G866" s="6">
        <f>100*SUM(AP866)/AL866</f>
      </c>
      <c r="H866" s="6">
        <f>100*SUM(AQ866)/AL866</f>
      </c>
      <c r="I866" s="6">
        <f>100*SUM(AR866:BC866)/AL866</f>
      </c>
      <c r="J866" s="3"/>
      <c r="K866" s="6">
        <v>11.8</v>
      </c>
      <c r="L866" s="6"/>
      <c r="M866" s="6">
        <v>0.8</v>
      </c>
      <c r="N866" s="6">
        <v>10.3</v>
      </c>
      <c r="O866" s="6">
        <v>0.3</v>
      </c>
      <c r="P866" s="6">
        <v>0.9</v>
      </c>
      <c r="Q866" s="7"/>
      <c r="R866" s="6"/>
      <c r="S866" s="6"/>
      <c r="T866" s="6"/>
      <c r="U866" s="5"/>
      <c r="V866" s="6"/>
      <c r="W866" s="6"/>
      <c r="X866" s="6"/>
      <c r="Y866" s="15"/>
      <c r="Z866" s="6"/>
      <c r="AA866" s="6"/>
      <c r="AB866" s="5"/>
      <c r="AC866" s="3"/>
      <c r="AD866" s="6">
        <v>0</v>
      </c>
      <c r="AE866" s="6">
        <v>0.09440000000000001</v>
      </c>
      <c r="AF866" s="7">
        <v>121.54000000000002</v>
      </c>
      <c r="AG866" s="6">
        <v>0.0354</v>
      </c>
      <c r="AH866" s="7">
        <v>10.620000000000001</v>
      </c>
      <c r="AI866" s="15">
        <v>0.12980000000000003</v>
      </c>
      <c r="AJ866" s="6">
        <v>1.1</v>
      </c>
      <c r="AK866" s="3"/>
      <c r="AL866" s="6">
        <v>81.26066976848875</v>
      </c>
      <c r="AM866" s="6">
        <v>0</v>
      </c>
      <c r="AN866" s="6">
        <v>17.372248</v>
      </c>
      <c r="AO866" s="6">
        <v>6.302540192926046</v>
      </c>
      <c r="AP866" s="6">
        <v>20.83347</v>
      </c>
      <c r="AQ866" s="6">
        <v>36.752411575562704</v>
      </c>
      <c r="AR866" s="6">
        <v>0</v>
      </c>
      <c r="AS866" s="6">
        <v>0</v>
      </c>
      <c r="AT866" s="6">
        <v>0</v>
      </c>
      <c r="AU866" s="6">
        <v>0</v>
      </c>
      <c r="AV866" s="6">
        <v>0</v>
      </c>
      <c r="AW866" s="6">
        <v>0</v>
      </c>
      <c r="AX866" s="6">
        <v>0</v>
      </c>
      <c r="AY866" s="6">
        <v>0</v>
      </c>
      <c r="AZ866" s="6">
        <v>0</v>
      </c>
      <c r="BA866" s="6">
        <v>0</v>
      </c>
      <c r="BB866" s="6">
        <v>0</v>
      </c>
      <c r="BC866" s="6"/>
      <c r="BD866" s="3"/>
      <c r="BE866" s="3"/>
      <c r="BF866" s="7">
        <v>958.8759032681673</v>
      </c>
    </row>
    <row x14ac:dyDescent="0.25" r="867" customHeight="1" ht="12.75">
      <c r="A867" s="5" t="s">
        <v>739</v>
      </c>
      <c r="B867" s="3" t="s">
        <v>859</v>
      </c>
      <c r="C867" s="3" t="s">
        <v>870</v>
      </c>
      <c r="D867" s="3"/>
      <c r="E867" s="3"/>
      <c r="F867" s="6">
        <f>100*SUM(AM867:AO867)/AL867</f>
      </c>
      <c r="G867" s="6">
        <f>100*SUM(AP867)/AL867</f>
      </c>
      <c r="H867" s="6">
        <f>100*SUM(AQ867)/AL867</f>
      </c>
      <c r="I867" s="6">
        <f>100*SUM(AR867:BC867)/AL867</f>
      </c>
      <c r="J867" s="3"/>
      <c r="K867" s="6">
        <v>4.935168</v>
      </c>
      <c r="L867" s="6"/>
      <c r="M867" s="6">
        <v>1.8</v>
      </c>
      <c r="N867" s="5"/>
      <c r="O867" s="6">
        <v>1.49</v>
      </c>
      <c r="P867" s="6"/>
      <c r="Q867" s="7"/>
      <c r="R867" s="6"/>
      <c r="S867" s="6"/>
      <c r="T867" s="6"/>
      <c r="U867" s="5"/>
      <c r="V867" s="6"/>
      <c r="W867" s="6"/>
      <c r="X867" s="6"/>
      <c r="Y867" s="15"/>
      <c r="Z867" s="6"/>
      <c r="AA867" s="6"/>
      <c r="AB867" s="5"/>
      <c r="AC867" s="3"/>
      <c r="AD867" s="6">
        <v>0</v>
      </c>
      <c r="AE867" s="6">
        <v>0.088833024</v>
      </c>
      <c r="AF867" s="7">
        <v>0</v>
      </c>
      <c r="AG867" s="6">
        <v>0.07353400319999999</v>
      </c>
      <c r="AH867" s="7">
        <v>0</v>
      </c>
      <c r="AI867" s="15">
        <v>0.16236702719999999</v>
      </c>
      <c r="AJ867" s="6">
        <v>3.29</v>
      </c>
      <c r="AK867" s="3"/>
      <c r="AL867" s="6">
        <v>142.56045899999998</v>
      </c>
      <c r="AM867" s="6">
        <v>0</v>
      </c>
      <c r="AN867" s="6">
        <v>39.087558</v>
      </c>
      <c r="AO867" s="6">
        <v>0</v>
      </c>
      <c r="AP867" s="6">
        <v>103.472901</v>
      </c>
      <c r="AQ867" s="6">
        <v>0</v>
      </c>
      <c r="AR867" s="6">
        <v>0</v>
      </c>
      <c r="AS867" s="6">
        <v>0</v>
      </c>
      <c r="AT867" s="6">
        <v>0</v>
      </c>
      <c r="AU867" s="6">
        <v>0</v>
      </c>
      <c r="AV867" s="6">
        <v>0</v>
      </c>
      <c r="AW867" s="6">
        <v>0</v>
      </c>
      <c r="AX867" s="6">
        <v>0</v>
      </c>
      <c r="AY867" s="6">
        <v>0</v>
      </c>
      <c r="AZ867" s="6">
        <v>0</v>
      </c>
      <c r="BA867" s="6">
        <v>0</v>
      </c>
      <c r="BB867" s="6">
        <v>0</v>
      </c>
      <c r="BC867" s="6"/>
      <c r="BD867" s="3"/>
      <c r="BE867" s="3"/>
      <c r="BF867" s="7">
        <v>703.559815322112</v>
      </c>
    </row>
    <row x14ac:dyDescent="0.25" r="868" customHeight="1" ht="12.75">
      <c r="A868" s="5" t="s">
        <v>708</v>
      </c>
      <c r="B868" s="3" t="s">
        <v>859</v>
      </c>
      <c r="C868" s="3" t="s">
        <v>870</v>
      </c>
      <c r="D868" s="3"/>
      <c r="E868" s="3"/>
      <c r="F868" s="6">
        <f>100*SUM(AM868:AO868)/AL868</f>
      </c>
      <c r="G868" s="6">
        <f>100*SUM(AP868)/AL868</f>
      </c>
      <c r="H868" s="6">
        <f>100*SUM(AQ868)/AL868</f>
      </c>
      <c r="I868" s="6">
        <f>100*SUM(AR868:BC868)/AL868</f>
      </c>
      <c r="J868" s="3"/>
      <c r="K868" s="23">
        <v>6.58504</v>
      </c>
      <c r="L868" s="6"/>
      <c r="M868" s="6">
        <v>1.65</v>
      </c>
      <c r="N868" s="5"/>
      <c r="O868" s="6">
        <v>0.55</v>
      </c>
      <c r="P868" s="6">
        <v>1.62</v>
      </c>
      <c r="Q868" s="7"/>
      <c r="R868" s="6"/>
      <c r="S868" s="6"/>
      <c r="T868" s="6"/>
      <c r="U868" s="5"/>
      <c r="V868" s="6"/>
      <c r="W868" s="6"/>
      <c r="X868" s="6"/>
      <c r="Y868" s="15"/>
      <c r="Z868" s="6"/>
      <c r="AA868" s="6"/>
      <c r="AB868" s="5"/>
      <c r="AC868" s="3"/>
      <c r="AD868" s="6">
        <v>0</v>
      </c>
      <c r="AE868" s="6">
        <v>0.10865316</v>
      </c>
      <c r="AF868" s="7">
        <v>0</v>
      </c>
      <c r="AG868" s="6">
        <v>0.03621772</v>
      </c>
      <c r="AH868" s="7">
        <v>10.6677648</v>
      </c>
      <c r="AI868" s="15">
        <v>0.14487088</v>
      </c>
      <c r="AJ868" s="6">
        <v>2.2</v>
      </c>
      <c r="AK868" s="3"/>
      <c r="AL868" s="6">
        <v>140.17929733601287</v>
      </c>
      <c r="AM868" s="6">
        <v>0</v>
      </c>
      <c r="AN868" s="6">
        <v>35.8302615</v>
      </c>
      <c r="AO868" s="6">
        <v>0</v>
      </c>
      <c r="AP868" s="6">
        <v>38.194695</v>
      </c>
      <c r="AQ868" s="6">
        <v>66.15434083601286</v>
      </c>
      <c r="AR868" s="6">
        <v>0</v>
      </c>
      <c r="AS868" s="6">
        <v>0</v>
      </c>
      <c r="AT868" s="6">
        <v>0</v>
      </c>
      <c r="AU868" s="6">
        <v>0</v>
      </c>
      <c r="AV868" s="6">
        <v>0</v>
      </c>
      <c r="AW868" s="6">
        <v>0</v>
      </c>
      <c r="AX868" s="6">
        <v>0</v>
      </c>
      <c r="AY868" s="6">
        <v>0</v>
      </c>
      <c r="AZ868" s="6">
        <v>0</v>
      </c>
      <c r="BA868" s="6">
        <v>0</v>
      </c>
      <c r="BB868" s="6">
        <v>0</v>
      </c>
      <c r="BC868" s="6"/>
      <c r="BD868" s="3"/>
      <c r="BE868" s="3"/>
      <c r="BF868" s="7">
        <v>923.0862801295382</v>
      </c>
    </row>
    <row x14ac:dyDescent="0.25" r="869" customHeight="1" ht="12.75">
      <c r="A869" s="5" t="s">
        <v>792</v>
      </c>
      <c r="B869" s="3" t="s">
        <v>859</v>
      </c>
      <c r="C869" s="3" t="s">
        <v>870</v>
      </c>
      <c r="D869" s="3"/>
      <c r="E869" s="3"/>
      <c r="F869" s="6">
        <f>100*SUM(AM869:AO869)/AL869</f>
      </c>
      <c r="G869" s="6">
        <f>100*SUM(AP869)/AL869</f>
      </c>
      <c r="H869" s="6">
        <f>100*SUM(AQ869)/AL869</f>
      </c>
      <c r="I869" s="6">
        <f>100*SUM(AR869:BC869)/AL869</f>
      </c>
      <c r="J869" s="3"/>
      <c r="K869" s="5">
        <v>3</v>
      </c>
      <c r="L869" s="6"/>
      <c r="M869" s="6">
        <v>1.7</v>
      </c>
      <c r="N869" s="5"/>
      <c r="O869" s="6">
        <v>1.55</v>
      </c>
      <c r="P869" s="6"/>
      <c r="Q869" s="7"/>
      <c r="R869" s="6"/>
      <c r="S869" s="6"/>
      <c r="T869" s="6"/>
      <c r="U869" s="5"/>
      <c r="V869" s="6"/>
      <c r="W869" s="6"/>
      <c r="X869" s="6"/>
      <c r="Y869" s="15"/>
      <c r="Z869" s="6"/>
      <c r="AA869" s="6"/>
      <c r="AB869" s="5"/>
      <c r="AC869" s="3"/>
      <c r="AD869" s="6">
        <v>0</v>
      </c>
      <c r="AE869" s="6">
        <v>0.051</v>
      </c>
      <c r="AF869" s="7">
        <v>0</v>
      </c>
      <c r="AG869" s="6">
        <v>0.04650000000000001</v>
      </c>
      <c r="AH869" s="7">
        <v>0</v>
      </c>
      <c r="AI869" s="15">
        <v>0.0975</v>
      </c>
      <c r="AJ869" s="6">
        <v>3.25</v>
      </c>
      <c r="AK869" s="3"/>
      <c r="AL869" s="6">
        <v>144.555622</v>
      </c>
      <c r="AM869" s="6">
        <v>0</v>
      </c>
      <c r="AN869" s="6">
        <v>36.916027</v>
      </c>
      <c r="AO869" s="6">
        <v>0</v>
      </c>
      <c r="AP869" s="6">
        <v>107.639595</v>
      </c>
      <c r="AQ869" s="6">
        <v>0</v>
      </c>
      <c r="AR869" s="6">
        <v>0</v>
      </c>
      <c r="AS869" s="6">
        <v>0</v>
      </c>
      <c r="AT869" s="6">
        <v>0</v>
      </c>
      <c r="AU869" s="6">
        <v>0</v>
      </c>
      <c r="AV869" s="6">
        <v>0</v>
      </c>
      <c r="AW869" s="6">
        <v>0</v>
      </c>
      <c r="AX869" s="6">
        <v>0</v>
      </c>
      <c r="AY869" s="6">
        <v>0</v>
      </c>
      <c r="AZ869" s="6">
        <v>0</v>
      </c>
      <c r="BA869" s="6">
        <v>0</v>
      </c>
      <c r="BB869" s="6">
        <v>0</v>
      </c>
      <c r="BC869" s="6"/>
      <c r="BD869" s="3"/>
      <c r="BE869" s="3"/>
      <c r="BF869" s="7">
        <v>433.666866</v>
      </c>
    </row>
    <row x14ac:dyDescent="0.25" r="870" customHeight="1" ht="12.75">
      <c r="A870" s="5" t="s">
        <v>168</v>
      </c>
      <c r="B870" s="3" t="s">
        <v>859</v>
      </c>
      <c r="C870" s="3" t="s">
        <v>870</v>
      </c>
      <c r="D870" s="3"/>
      <c r="E870" s="3"/>
      <c r="F870" s="6">
        <f>100*SUM(AM870:AO870)/AL870</f>
      </c>
      <c r="G870" s="6">
        <f>100*SUM(AP870)/AL870</f>
      </c>
      <c r="H870" s="6">
        <f>100*SUM(AQ870)/AL870</f>
      </c>
      <c r="I870" s="6">
        <f>100*SUM(AR870:BC870)/AL870</f>
      </c>
      <c r="J870" s="3"/>
      <c r="K870" s="6">
        <v>80.8</v>
      </c>
      <c r="L870" s="6">
        <v>0.13</v>
      </c>
      <c r="M870" s="6">
        <v>1.75</v>
      </c>
      <c r="N870" s="5"/>
      <c r="O870" s="6">
        <v>1.73</v>
      </c>
      <c r="P870" s="6"/>
      <c r="Q870" s="7"/>
      <c r="R870" s="6"/>
      <c r="S870" s="6"/>
      <c r="T870" s="6"/>
      <c r="U870" s="5"/>
      <c r="V870" s="6"/>
      <c r="W870" s="6"/>
      <c r="X870" s="6"/>
      <c r="Y870" s="15"/>
      <c r="Z870" s="6">
        <v>0.15</v>
      </c>
      <c r="AA870" s="6"/>
      <c r="AB870" s="5"/>
      <c r="AC870" s="3"/>
      <c r="AD870" s="6">
        <v>0.10504</v>
      </c>
      <c r="AE870" s="6">
        <v>1.4140000000000001</v>
      </c>
      <c r="AF870" s="7">
        <v>0</v>
      </c>
      <c r="AG870" s="6">
        <v>1.39784</v>
      </c>
      <c r="AH870" s="7">
        <v>0</v>
      </c>
      <c r="AI870" s="15">
        <v>2.91688</v>
      </c>
      <c r="AJ870" s="6">
        <v>3.61</v>
      </c>
      <c r="AK870" s="3"/>
      <c r="AL870" s="6">
        <v>163.21866329999997</v>
      </c>
      <c r="AM870" s="6">
        <v>2.4647428</v>
      </c>
      <c r="AN870" s="6">
        <v>38.0017925</v>
      </c>
      <c r="AO870" s="6">
        <v>0</v>
      </c>
      <c r="AP870" s="6">
        <v>120.13967699999999</v>
      </c>
      <c r="AQ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v>0</v>
      </c>
      <c r="AW870" s="6">
        <v>0</v>
      </c>
      <c r="AX870" s="6">
        <v>0</v>
      </c>
      <c r="AY870" s="6">
        <v>0</v>
      </c>
      <c r="AZ870" s="6">
        <v>0</v>
      </c>
      <c r="BA870" s="6">
        <v>2.612451</v>
      </c>
      <c r="BB870" s="6">
        <v>0</v>
      </c>
      <c r="BC870" s="6"/>
      <c r="BD870" s="3"/>
      <c r="BE870" s="3"/>
      <c r="BF870" s="7">
        <v>13188.067994639998</v>
      </c>
    </row>
    <row x14ac:dyDescent="0.25" r="871" customHeight="1" ht="12.75">
      <c r="A871" s="5" t="s">
        <v>722</v>
      </c>
      <c r="B871" s="3" t="s">
        <v>859</v>
      </c>
      <c r="C871" s="3" t="s">
        <v>870</v>
      </c>
      <c r="D871" s="3"/>
      <c r="E871" s="3"/>
      <c r="F871" s="6">
        <f>100*SUM(AM871:AO871)/AL871</f>
      </c>
      <c r="G871" s="6">
        <f>100*SUM(AP871)/AL871</f>
      </c>
      <c r="H871" s="6">
        <f>100*SUM(AQ871)/AL871</f>
      </c>
      <c r="I871" s="6">
        <f>100*SUM(AR871:BC871)/AL871</f>
      </c>
      <c r="J871" s="3"/>
      <c r="K871" s="7">
        <v>1</v>
      </c>
      <c r="L871" s="6"/>
      <c r="M871" s="6">
        <v>2.06</v>
      </c>
      <c r="N871" s="5"/>
      <c r="O871" s="6">
        <v>1.97</v>
      </c>
      <c r="P871" s="7"/>
      <c r="Q871" s="7"/>
      <c r="R871" s="6"/>
      <c r="S871" s="6"/>
      <c r="T871" s="6"/>
      <c r="U871" s="5"/>
      <c r="V871" s="6"/>
      <c r="W871" s="6"/>
      <c r="X871" s="6"/>
      <c r="Y871" s="15"/>
      <c r="Z871" s="6"/>
      <c r="AA871" s="6"/>
      <c r="AB871" s="5"/>
      <c r="AC871" s="3"/>
      <c r="AD871" s="6">
        <v>0</v>
      </c>
      <c r="AE871" s="6">
        <v>0.0206</v>
      </c>
      <c r="AF871" s="7">
        <v>0</v>
      </c>
      <c r="AG871" s="6">
        <v>0.0197</v>
      </c>
      <c r="AH871" s="7">
        <v>0</v>
      </c>
      <c r="AI871" s="15">
        <v>0.0403</v>
      </c>
      <c r="AJ871" s="6">
        <v>4.03</v>
      </c>
      <c r="AK871" s="3"/>
      <c r="AL871" s="6">
        <v>181.53999159999998</v>
      </c>
      <c r="AM871" s="6">
        <v>0</v>
      </c>
      <c r="AN871" s="6">
        <v>44.7335386</v>
      </c>
      <c r="AO871" s="6">
        <v>0</v>
      </c>
      <c r="AP871" s="6">
        <v>136.80645299999998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6">
        <v>0</v>
      </c>
      <c r="AW871" s="6">
        <v>0</v>
      </c>
      <c r="AX871" s="6">
        <v>0</v>
      </c>
      <c r="AY871" s="6">
        <v>0</v>
      </c>
      <c r="AZ871" s="6">
        <v>0</v>
      </c>
      <c r="BA871" s="6">
        <v>0</v>
      </c>
      <c r="BB871" s="6">
        <v>0</v>
      </c>
      <c r="BC871" s="6"/>
      <c r="BD871" s="3"/>
      <c r="BE871" s="3"/>
      <c r="BF871" s="7">
        <v>181.53999159999998</v>
      </c>
    </row>
    <row x14ac:dyDescent="0.25" r="872" customHeight="1" ht="12.75">
      <c r="A872" s="5" t="s">
        <v>716</v>
      </c>
      <c r="B872" s="3" t="s">
        <v>859</v>
      </c>
      <c r="C872" s="3" t="s">
        <v>870</v>
      </c>
      <c r="D872" s="3"/>
      <c r="E872" s="3"/>
      <c r="F872" s="6">
        <f>100*SUM(AM872:AO872)/AL872</f>
      </c>
      <c r="G872" s="6">
        <f>100*SUM(AP872)/AL872</f>
      </c>
      <c r="H872" s="6">
        <f>100*SUM(AQ872)/AL872</f>
      </c>
      <c r="I872" s="6">
        <f>100*SUM(AR872:BC872)/AL872</f>
      </c>
      <c r="J872" s="3"/>
      <c r="K872" s="5">
        <v>1</v>
      </c>
      <c r="L872" s="6"/>
      <c r="M872" s="5">
        <v>2</v>
      </c>
      <c r="N872" s="5"/>
      <c r="O872" s="5">
        <v>2</v>
      </c>
      <c r="P872" s="6"/>
      <c r="Q872" s="7"/>
      <c r="R872" s="6"/>
      <c r="S872" s="6"/>
      <c r="T872" s="6"/>
      <c r="U872" s="5"/>
      <c r="V872" s="6"/>
      <c r="W872" s="6"/>
      <c r="X872" s="6"/>
      <c r="Y872" s="15"/>
      <c r="Z872" s="6"/>
      <c r="AA872" s="6"/>
      <c r="AB872" s="5"/>
      <c r="AC872" s="3"/>
      <c r="AD872" s="6">
        <v>0</v>
      </c>
      <c r="AE872" s="6">
        <v>0.02</v>
      </c>
      <c r="AF872" s="7">
        <v>0</v>
      </c>
      <c r="AG872" s="6">
        <v>0.02</v>
      </c>
      <c r="AH872" s="7">
        <v>0</v>
      </c>
      <c r="AI872" s="15">
        <v>0.04</v>
      </c>
      <c r="AJ872" s="6">
        <v>4</v>
      </c>
      <c r="AK872" s="3"/>
      <c r="AL872" s="6">
        <v>182.32042</v>
      </c>
      <c r="AM872" s="6">
        <v>0</v>
      </c>
      <c r="AN872" s="6">
        <v>43.43062</v>
      </c>
      <c r="AO872" s="6">
        <v>0</v>
      </c>
      <c r="AP872" s="6">
        <v>138.8898</v>
      </c>
      <c r="AQ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v>0</v>
      </c>
      <c r="AW872" s="6">
        <v>0</v>
      </c>
      <c r="AX872" s="6">
        <v>0</v>
      </c>
      <c r="AY872" s="6">
        <v>0</v>
      </c>
      <c r="AZ872" s="6">
        <v>0</v>
      </c>
      <c r="BA872" s="6">
        <v>0</v>
      </c>
      <c r="BB872" s="6">
        <v>0</v>
      </c>
      <c r="BC872" s="6"/>
      <c r="BD872" s="3"/>
      <c r="BE872" s="3"/>
      <c r="BF872" s="7">
        <v>182.32042</v>
      </c>
    </row>
    <row x14ac:dyDescent="0.25" r="873" customHeight="1" ht="12.75">
      <c r="A873" s="5" t="s">
        <v>131</v>
      </c>
      <c r="B873" s="3" t="s">
        <v>859</v>
      </c>
      <c r="C873" s="3" t="s">
        <v>870</v>
      </c>
      <c r="D873" s="3"/>
      <c r="E873" s="3"/>
      <c r="F873" s="6">
        <f>100*SUM(AM873:AO873)/AL873</f>
      </c>
      <c r="G873" s="6">
        <f>100*SUM(AP873)/AL873</f>
      </c>
      <c r="H873" s="6">
        <f>100*SUM(AQ873)/AL873</f>
      </c>
      <c r="I873" s="6">
        <f>100*SUM(AR873:BC873)/AL873</f>
      </c>
      <c r="J873" s="3"/>
      <c r="K873" s="5">
        <v>10</v>
      </c>
      <c r="L873" s="6"/>
      <c r="M873" s="6">
        <v>5.5</v>
      </c>
      <c r="N873" s="5"/>
      <c r="O873" s="6">
        <v>4.4</v>
      </c>
      <c r="P873" s="6">
        <v>2.2</v>
      </c>
      <c r="Q873" s="7"/>
      <c r="R873" s="6"/>
      <c r="S873" s="6"/>
      <c r="T873" s="6"/>
      <c r="U873" s="5"/>
      <c r="V873" s="6"/>
      <c r="W873" s="6"/>
      <c r="X873" s="6"/>
      <c r="Y873" s="15"/>
      <c r="Z873" s="6"/>
      <c r="AA873" s="6"/>
      <c r="AB873" s="5"/>
      <c r="AC873" s="3"/>
      <c r="AD873" s="6">
        <v>0</v>
      </c>
      <c r="AE873" s="6">
        <v>0.55</v>
      </c>
      <c r="AF873" s="7">
        <v>0</v>
      </c>
      <c r="AG873" s="6">
        <v>0.44</v>
      </c>
      <c r="AH873" s="7">
        <v>22</v>
      </c>
      <c r="AI873" s="15">
        <v>0.99</v>
      </c>
      <c r="AJ873" s="6">
        <v>9.9</v>
      </c>
      <c r="AK873" s="3"/>
      <c r="AL873" s="6">
        <v>514.8309932958199</v>
      </c>
      <c r="AM873" s="6">
        <v>0</v>
      </c>
      <c r="AN873" s="6">
        <v>119.43420499999999</v>
      </c>
      <c r="AO873" s="6">
        <v>0</v>
      </c>
      <c r="AP873" s="6">
        <v>305.55756</v>
      </c>
      <c r="AQ873" s="6">
        <v>89.83922829581994</v>
      </c>
      <c r="AR873" s="6">
        <v>0</v>
      </c>
      <c r="AS873" s="6">
        <v>0</v>
      </c>
      <c r="AT873" s="6">
        <v>0</v>
      </c>
      <c r="AU873" s="6">
        <v>0</v>
      </c>
      <c r="AV873" s="6">
        <v>0</v>
      </c>
      <c r="AW873" s="6">
        <v>0</v>
      </c>
      <c r="AX873" s="6">
        <v>0</v>
      </c>
      <c r="AY873" s="6">
        <v>0</v>
      </c>
      <c r="AZ873" s="6">
        <v>0</v>
      </c>
      <c r="BA873" s="6">
        <v>0</v>
      </c>
      <c r="BB873" s="6">
        <v>0</v>
      </c>
      <c r="BC873" s="6"/>
      <c r="BD873" s="3"/>
      <c r="BE873" s="3"/>
      <c r="BF873" s="7">
        <v>5148.309932958199</v>
      </c>
    </row>
    <row x14ac:dyDescent="0.25" r="874" customHeight="1" ht="12.75">
      <c r="A874" s="5" t="s">
        <v>147</v>
      </c>
      <c r="B874" s="3" t="s">
        <v>859</v>
      </c>
      <c r="C874" s="3" t="s">
        <v>870</v>
      </c>
      <c r="D874" s="3"/>
      <c r="E874" s="3"/>
      <c r="F874" s="6">
        <f>100*SUM(AM874:AO874)/AL874</f>
      </c>
      <c r="G874" s="6">
        <f>100*SUM(AP874)/AL874</f>
      </c>
      <c r="H874" s="6">
        <f>100*SUM(AQ874)/AL874</f>
      </c>
      <c r="I874" s="6">
        <f>100*SUM(AR874:BC874)/AL874</f>
      </c>
      <c r="J874" s="3"/>
      <c r="K874" s="6">
        <v>3.5</v>
      </c>
      <c r="L874" s="6"/>
      <c r="M874" s="6">
        <v>5.1</v>
      </c>
      <c r="N874" s="5"/>
      <c r="O874" s="5">
        <v>3</v>
      </c>
      <c r="P874" s="6">
        <v>4.5</v>
      </c>
      <c r="Q874" s="7"/>
      <c r="R874" s="6"/>
      <c r="S874" s="6"/>
      <c r="T874" s="6"/>
      <c r="U874" s="5"/>
      <c r="V874" s="6"/>
      <c r="W874" s="6"/>
      <c r="X874" s="6"/>
      <c r="Y874" s="15"/>
      <c r="Z874" s="6"/>
      <c r="AA874" s="6"/>
      <c r="AB874" s="5"/>
      <c r="AC874" s="3"/>
      <c r="AD874" s="6">
        <v>0</v>
      </c>
      <c r="AE874" s="6">
        <v>0.1785</v>
      </c>
      <c r="AF874" s="7">
        <v>0</v>
      </c>
      <c r="AG874" s="6">
        <v>0.105</v>
      </c>
      <c r="AH874" s="7">
        <v>15.75</v>
      </c>
      <c r="AI874" s="15">
        <v>0.2835</v>
      </c>
      <c r="AJ874" s="6">
        <v>8.1</v>
      </c>
      <c r="AK874" s="3"/>
      <c r="AL874" s="6">
        <v>502.84483887781346</v>
      </c>
      <c r="AM874" s="6">
        <v>0</v>
      </c>
      <c r="AN874" s="6">
        <v>110.74808099999998</v>
      </c>
      <c r="AO874" s="6">
        <v>0</v>
      </c>
      <c r="AP874" s="6">
        <v>208.3347</v>
      </c>
      <c r="AQ874" s="6">
        <v>183.7620578778135</v>
      </c>
      <c r="AR874" s="6">
        <v>0</v>
      </c>
      <c r="AS874" s="6">
        <v>0</v>
      </c>
      <c r="AT874" s="6">
        <v>0</v>
      </c>
      <c r="AU874" s="6">
        <v>0</v>
      </c>
      <c r="AV874" s="6">
        <v>0</v>
      </c>
      <c r="AW874" s="6">
        <v>0</v>
      </c>
      <c r="AX874" s="6">
        <v>0</v>
      </c>
      <c r="AY874" s="6">
        <v>0</v>
      </c>
      <c r="AZ874" s="6">
        <v>0</v>
      </c>
      <c r="BA874" s="6">
        <v>0</v>
      </c>
      <c r="BB874" s="6">
        <v>0</v>
      </c>
      <c r="BC874" s="6"/>
      <c r="BD874" s="3"/>
      <c r="BE874" s="3"/>
      <c r="BF874" s="7">
        <v>1759.9569360723472</v>
      </c>
    </row>
    <row x14ac:dyDescent="0.25" r="875" customHeight="1" ht="12.75">
      <c r="A875" s="5" t="s">
        <v>747</v>
      </c>
      <c r="B875" s="3" t="s">
        <v>859</v>
      </c>
      <c r="C875" s="3" t="s">
        <v>870</v>
      </c>
      <c r="D875" s="3"/>
      <c r="E875" s="3"/>
      <c r="F875" s="6">
        <f>100*SUM(AM875:AO875)/AL875</f>
      </c>
      <c r="G875" s="6">
        <f>100*SUM(AP875)/AL875</f>
      </c>
      <c r="H875" s="6">
        <f>100*SUM(AQ875)/AL875</f>
      </c>
      <c r="I875" s="6">
        <f>100*SUM(AR875:BC875)/AL875</f>
      </c>
      <c r="J875" s="3"/>
      <c r="K875" s="6">
        <v>0.2</v>
      </c>
      <c r="L875" s="6"/>
      <c r="M875" s="6">
        <v>0.25</v>
      </c>
      <c r="N875" s="5">
        <v>52</v>
      </c>
      <c r="O875" s="6">
        <v>1.95</v>
      </c>
      <c r="P875" s="6"/>
      <c r="Q875" s="7"/>
      <c r="R875" s="6"/>
      <c r="S875" s="6"/>
      <c r="T875" s="6"/>
      <c r="U875" s="5"/>
      <c r="V875" s="6"/>
      <c r="W875" s="6"/>
      <c r="X875" s="6"/>
      <c r="Y875" s="15"/>
      <c r="Z875" s="6"/>
      <c r="AA875" s="6"/>
      <c r="AB875" s="5"/>
      <c r="AC875" s="3"/>
      <c r="AD875" s="6">
        <v>0</v>
      </c>
      <c r="AE875" s="6">
        <v>0.0005</v>
      </c>
      <c r="AF875" s="7">
        <v>10.4</v>
      </c>
      <c r="AG875" s="6">
        <v>0.0039000000000000003</v>
      </c>
      <c r="AH875" s="7">
        <v>0</v>
      </c>
      <c r="AI875" s="15">
        <v>0.0044</v>
      </c>
      <c r="AJ875" s="6">
        <v>2.2</v>
      </c>
      <c r="AK875" s="3"/>
      <c r="AL875" s="6">
        <v>172.6650320176849</v>
      </c>
      <c r="AM875" s="6">
        <v>0</v>
      </c>
      <c r="AN875" s="6">
        <v>5.4288275</v>
      </c>
      <c r="AO875" s="6">
        <v>31.81864951768489</v>
      </c>
      <c r="AP875" s="6">
        <v>135.417555</v>
      </c>
      <c r="AQ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v>0</v>
      </c>
      <c r="AW875" s="6">
        <v>0</v>
      </c>
      <c r="AX875" s="6">
        <v>0</v>
      </c>
      <c r="AY875" s="6">
        <v>0</v>
      </c>
      <c r="AZ875" s="6">
        <v>0</v>
      </c>
      <c r="BA875" s="6">
        <v>0</v>
      </c>
      <c r="BB875" s="6">
        <v>0</v>
      </c>
      <c r="BC875" s="6"/>
      <c r="BD875" s="3"/>
      <c r="BE875" s="3"/>
      <c r="BF875" s="7">
        <v>34.53300640353698</v>
      </c>
    </row>
    <row x14ac:dyDescent="0.25" r="876" customHeight="1" ht="12.75">
      <c r="A876" s="5" t="s">
        <v>660</v>
      </c>
      <c r="B876" s="3" t="s">
        <v>859</v>
      </c>
      <c r="C876" s="3" t="s">
        <v>870</v>
      </c>
      <c r="D876" s="3"/>
      <c r="E876" s="3"/>
      <c r="F876" s="6">
        <f>100*SUM(AM876:AO876)/AL876</f>
      </c>
      <c r="G876" s="6">
        <f>100*SUM(AP876)/AL876</f>
      </c>
      <c r="H876" s="6">
        <f>100*SUM(AQ876)/AL876</f>
      </c>
      <c r="I876" s="6">
        <f>100*SUM(AR876:BC876)/AL876</f>
      </c>
      <c r="J876" s="3"/>
      <c r="K876" s="6">
        <v>12.5</v>
      </c>
      <c r="L876" s="6"/>
      <c r="M876" s="6">
        <v>0.87</v>
      </c>
      <c r="N876" s="5">
        <v>7</v>
      </c>
      <c r="O876" s="6">
        <v>1.21</v>
      </c>
      <c r="P876" s="6">
        <v>0.1</v>
      </c>
      <c r="Q876" s="7"/>
      <c r="R876" s="6"/>
      <c r="S876" s="6"/>
      <c r="T876" s="6"/>
      <c r="U876" s="5"/>
      <c r="V876" s="6"/>
      <c r="W876" s="6"/>
      <c r="X876" s="6"/>
      <c r="Y876" s="15"/>
      <c r="Z876" s="6"/>
      <c r="AA876" s="6"/>
      <c r="AB876" s="5"/>
      <c r="AC876" s="3"/>
      <c r="AD876" s="6">
        <v>0</v>
      </c>
      <c r="AE876" s="6">
        <v>0.10875</v>
      </c>
      <c r="AF876" s="7">
        <v>87.5</v>
      </c>
      <c r="AG876" s="6">
        <v>0.15125</v>
      </c>
      <c r="AH876" s="7">
        <v>1.25</v>
      </c>
      <c r="AI876" s="15">
        <v>0.26</v>
      </c>
      <c r="AJ876" s="6">
        <v>2.08</v>
      </c>
      <c r="AK876" s="3"/>
      <c r="AL876" s="6">
        <v>111.2875297289389</v>
      </c>
      <c r="AM876" s="6">
        <v>0</v>
      </c>
      <c r="AN876" s="6">
        <v>18.892319699999998</v>
      </c>
      <c r="AO876" s="6">
        <v>4.283279742765274</v>
      </c>
      <c r="AP876" s="6">
        <v>84.028329</v>
      </c>
      <c r="AQ876" s="6">
        <v>4.083601286173634</v>
      </c>
      <c r="AR876" s="6">
        <v>0</v>
      </c>
      <c r="AS876" s="6">
        <v>0</v>
      </c>
      <c r="AT876" s="6">
        <v>0</v>
      </c>
      <c r="AU876" s="6">
        <v>0</v>
      </c>
      <c r="AV876" s="6">
        <v>0</v>
      </c>
      <c r="AW876" s="6">
        <v>0</v>
      </c>
      <c r="AX876" s="6">
        <v>0</v>
      </c>
      <c r="AY876" s="6">
        <v>0</v>
      </c>
      <c r="AZ876" s="6">
        <v>0</v>
      </c>
      <c r="BA876" s="6">
        <v>0</v>
      </c>
      <c r="BB876" s="6">
        <v>0</v>
      </c>
      <c r="BC876" s="6"/>
      <c r="BD876" s="3"/>
      <c r="BE876" s="3"/>
      <c r="BF876" s="7">
        <v>1391.0941216117362</v>
      </c>
    </row>
    <row x14ac:dyDescent="0.25" r="877" customHeight="1" ht="12.75">
      <c r="A877" s="5" t="s">
        <v>777</v>
      </c>
      <c r="B877" s="3" t="s">
        <v>859</v>
      </c>
      <c r="C877" s="3" t="s">
        <v>870</v>
      </c>
      <c r="D877" s="3"/>
      <c r="E877" s="3"/>
      <c r="F877" s="6">
        <f>100*SUM(AM877:AO877)/AL877</f>
      </c>
      <c r="G877" s="6">
        <f>100*SUM(AP877)/AL877</f>
      </c>
      <c r="H877" s="6">
        <f>100*SUM(AQ877)/AL877</f>
      </c>
      <c r="I877" s="6">
        <f>100*SUM(AR877:BC877)/AL877</f>
      </c>
      <c r="J877" s="3"/>
      <c r="K877" s="6">
        <v>3.5</v>
      </c>
      <c r="L877" s="6"/>
      <c r="M877" s="6">
        <v>1.3</v>
      </c>
      <c r="N877" s="5"/>
      <c r="O877" s="6">
        <v>1.7</v>
      </c>
      <c r="P877" s="6"/>
      <c r="Q877" s="7"/>
      <c r="R877" s="6"/>
      <c r="S877" s="6"/>
      <c r="T877" s="6"/>
      <c r="U877" s="5"/>
      <c r="V877" s="6"/>
      <c r="W877" s="6"/>
      <c r="X877" s="6"/>
      <c r="Y877" s="15"/>
      <c r="Z877" s="6"/>
      <c r="AA877" s="6"/>
      <c r="AB877" s="5"/>
      <c r="AC877" s="3"/>
      <c r="AD877" s="6">
        <v>0</v>
      </c>
      <c r="AE877" s="6">
        <v>0.0455</v>
      </c>
      <c r="AF877" s="7">
        <v>0</v>
      </c>
      <c r="AG877" s="6">
        <v>0.059500000000000004</v>
      </c>
      <c r="AH877" s="7">
        <v>0</v>
      </c>
      <c r="AI877" s="15">
        <v>0.10500000000000001</v>
      </c>
      <c r="AJ877" s="6">
        <v>3</v>
      </c>
      <c r="AK877" s="3"/>
      <c r="AL877" s="6">
        <v>146.286233</v>
      </c>
      <c r="AM877" s="6">
        <v>0</v>
      </c>
      <c r="AN877" s="6">
        <v>28.229903</v>
      </c>
      <c r="AO877" s="6">
        <v>0</v>
      </c>
      <c r="AP877" s="6">
        <v>118.05633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v>0</v>
      </c>
      <c r="AW877" s="6">
        <v>0</v>
      </c>
      <c r="AX877" s="6">
        <v>0</v>
      </c>
      <c r="AY877" s="6">
        <v>0</v>
      </c>
      <c r="AZ877" s="6">
        <v>0</v>
      </c>
      <c r="BA877" s="6">
        <v>0</v>
      </c>
      <c r="BB877" s="6">
        <v>0</v>
      </c>
      <c r="BC877" s="6"/>
      <c r="BD877" s="3"/>
      <c r="BE877" s="3"/>
      <c r="BF877" s="7">
        <v>512.0018155</v>
      </c>
    </row>
    <row x14ac:dyDescent="0.25" r="878" customHeight="1" ht="12.75">
      <c r="A878" s="5" t="s">
        <v>349</v>
      </c>
      <c r="B878" s="3" t="s">
        <v>859</v>
      </c>
      <c r="C878" s="3" t="s">
        <v>870</v>
      </c>
      <c r="D878" s="3"/>
      <c r="E878" s="3"/>
      <c r="F878" s="6">
        <f>100*SUM(AM878:AO878)/AL878</f>
      </c>
      <c r="G878" s="6">
        <f>100*SUM(AP878)/AL878</f>
      </c>
      <c r="H878" s="6">
        <f>100*SUM(AQ878)/AL878</f>
      </c>
      <c r="I878" s="6">
        <f>100*SUM(AR878:BC878)/AL878</f>
      </c>
      <c r="J878" s="3"/>
      <c r="K878" s="5">
        <v>30</v>
      </c>
      <c r="L878" s="6">
        <v>0.1</v>
      </c>
      <c r="M878" s="6">
        <v>1.2</v>
      </c>
      <c r="N878" s="5"/>
      <c r="O878" s="6">
        <v>1.9</v>
      </c>
      <c r="P878" s="6"/>
      <c r="Q878" s="7"/>
      <c r="R878" s="6"/>
      <c r="S878" s="6"/>
      <c r="T878" s="6"/>
      <c r="U878" s="5"/>
      <c r="V878" s="6"/>
      <c r="W878" s="6"/>
      <c r="X878" s="6"/>
      <c r="Y878" s="15"/>
      <c r="Z878" s="6"/>
      <c r="AA878" s="6"/>
      <c r="AB878" s="5"/>
      <c r="AC878" s="3"/>
      <c r="AD878" s="6">
        <v>0.03</v>
      </c>
      <c r="AE878" s="6">
        <v>0.36</v>
      </c>
      <c r="AF878" s="7">
        <v>0</v>
      </c>
      <c r="AG878" s="6">
        <v>0.57</v>
      </c>
      <c r="AH878" s="7">
        <v>0</v>
      </c>
      <c r="AI878" s="15">
        <v>0.96</v>
      </c>
      <c r="AJ878" s="6">
        <v>3.2</v>
      </c>
      <c r="AK878" s="3"/>
      <c r="AL878" s="6">
        <v>159.899638</v>
      </c>
      <c r="AM878" s="6">
        <v>1.895956</v>
      </c>
      <c r="AN878" s="6">
        <v>26.058372</v>
      </c>
      <c r="AO878" s="6">
        <v>0</v>
      </c>
      <c r="AP878" s="6">
        <v>131.94531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v>0</v>
      </c>
      <c r="AW878" s="6">
        <v>0</v>
      </c>
      <c r="AX878" s="6">
        <v>0</v>
      </c>
      <c r="AY878" s="6">
        <v>0</v>
      </c>
      <c r="AZ878" s="6">
        <v>0</v>
      </c>
      <c r="BA878" s="6">
        <v>0</v>
      </c>
      <c r="BB878" s="6">
        <v>0</v>
      </c>
      <c r="BC878" s="6"/>
      <c r="BD878" s="3"/>
      <c r="BE878" s="3"/>
      <c r="BF878" s="7">
        <v>4796.989140000001</v>
      </c>
    </row>
    <row x14ac:dyDescent="0.25" r="879" customHeight="1" ht="12.75">
      <c r="A879" s="5" t="s">
        <v>164</v>
      </c>
      <c r="B879" s="3" t="s">
        <v>859</v>
      </c>
      <c r="C879" s="3" t="s">
        <v>870</v>
      </c>
      <c r="D879" s="3"/>
      <c r="E879" s="3"/>
      <c r="F879" s="6">
        <f>100*SUM(AM879:AO879)/AL879</f>
      </c>
      <c r="G879" s="6">
        <f>100*SUM(AP879)/AL879</f>
      </c>
      <c r="H879" s="6">
        <f>100*SUM(AQ879)/AL879</f>
      </c>
      <c r="I879" s="6">
        <f>100*SUM(AR879:BC879)/AL879</f>
      </c>
      <c r="J879" s="3"/>
      <c r="K879" s="5">
        <v>106</v>
      </c>
      <c r="L879" s="6"/>
      <c r="M879" s="5">
        <v>1</v>
      </c>
      <c r="N879" s="5"/>
      <c r="O879" s="6">
        <v>1.5</v>
      </c>
      <c r="P879" s="6"/>
      <c r="Q879" s="7"/>
      <c r="R879" s="6"/>
      <c r="S879" s="6"/>
      <c r="T879" s="6"/>
      <c r="U879" s="5"/>
      <c r="V879" s="6"/>
      <c r="W879" s="6"/>
      <c r="X879" s="6"/>
      <c r="Y879" s="15"/>
      <c r="Z879" s="6"/>
      <c r="AA879" s="6"/>
      <c r="AB879" s="5"/>
      <c r="AC879" s="3"/>
      <c r="AD879" s="6">
        <v>0</v>
      </c>
      <c r="AE879" s="6">
        <v>1.06</v>
      </c>
      <c r="AF879" s="7">
        <v>0</v>
      </c>
      <c r="AG879" s="6">
        <v>1.59</v>
      </c>
      <c r="AH879" s="7">
        <v>0</v>
      </c>
      <c r="AI879" s="15">
        <v>2.6500000000000004</v>
      </c>
      <c r="AJ879" s="6">
        <v>2.5</v>
      </c>
      <c r="AK879" s="3"/>
      <c r="AL879" s="6">
        <v>125.88266</v>
      </c>
      <c r="AM879" s="6">
        <v>0</v>
      </c>
      <c r="AN879" s="6">
        <v>21.71531</v>
      </c>
      <c r="AO879" s="6">
        <v>0</v>
      </c>
      <c r="AP879" s="6">
        <v>104.16735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  <c r="AV879" s="6">
        <v>0</v>
      </c>
      <c r="AW879" s="6">
        <v>0</v>
      </c>
      <c r="AX879" s="6">
        <v>0</v>
      </c>
      <c r="AY879" s="6">
        <v>0</v>
      </c>
      <c r="AZ879" s="6">
        <v>0</v>
      </c>
      <c r="BA879" s="6">
        <v>0</v>
      </c>
      <c r="BB879" s="6">
        <v>0</v>
      </c>
      <c r="BC879" s="6"/>
      <c r="BD879" s="3"/>
      <c r="BE879" s="3"/>
      <c r="BF879" s="7">
        <v>13343.56196</v>
      </c>
    </row>
    <row x14ac:dyDescent="0.25" r="880" customHeight="1" ht="12.75">
      <c r="A880" s="5" t="s">
        <v>424</v>
      </c>
      <c r="B880" s="3" t="s">
        <v>859</v>
      </c>
      <c r="C880" s="3" t="s">
        <v>870</v>
      </c>
      <c r="D880" s="3"/>
      <c r="E880" s="3"/>
      <c r="F880" s="6">
        <f>100*SUM(AM880:AO880)/AL880</f>
      </c>
      <c r="G880" s="6">
        <f>100*SUM(AP880)/AL880</f>
      </c>
      <c r="H880" s="6">
        <f>100*SUM(AQ880)/AL880</f>
      </c>
      <c r="I880" s="6">
        <f>100*SUM(AR880:BC880)/AL880</f>
      </c>
      <c r="J880" s="3"/>
      <c r="K880" s="5">
        <v>6</v>
      </c>
      <c r="L880" s="6">
        <v>0.6</v>
      </c>
      <c r="M880" s="6">
        <v>1.2</v>
      </c>
      <c r="N880" s="6">
        <v>13.7</v>
      </c>
      <c r="O880" s="6">
        <v>2.8</v>
      </c>
      <c r="P880" s="6"/>
      <c r="Q880" s="7"/>
      <c r="R880" s="6"/>
      <c r="S880" s="6">
        <v>0.17</v>
      </c>
      <c r="T880" s="6"/>
      <c r="U880" s="5"/>
      <c r="V880" s="6"/>
      <c r="W880" s="6"/>
      <c r="X880" s="6"/>
      <c r="Y880" s="15"/>
      <c r="Z880" s="6"/>
      <c r="AA880" s="6"/>
      <c r="AB880" s="5"/>
      <c r="AC880" s="3"/>
      <c r="AD880" s="6">
        <v>0.036</v>
      </c>
      <c r="AE880" s="6">
        <v>0.072</v>
      </c>
      <c r="AF880" s="7">
        <v>82.19999999999999</v>
      </c>
      <c r="AG880" s="6">
        <v>0.16799999999999998</v>
      </c>
      <c r="AH880" s="7">
        <v>0</v>
      </c>
      <c r="AI880" s="15">
        <v>0.27599999999999997</v>
      </c>
      <c r="AJ880" s="6">
        <v>4.6</v>
      </c>
      <c r="AK880" s="3"/>
      <c r="AL880" s="6">
        <v>292.7322983536977</v>
      </c>
      <c r="AM880" s="6">
        <v>11.375736</v>
      </c>
      <c r="AN880" s="6">
        <v>26.058372</v>
      </c>
      <c r="AO880" s="6">
        <v>8.38299035369775</v>
      </c>
      <c r="AP880" s="6">
        <v>194.44571999999997</v>
      </c>
      <c r="AQ880" s="6">
        <v>0</v>
      </c>
      <c r="AR880" s="6">
        <v>0</v>
      </c>
      <c r="AS880" s="6">
        <v>0</v>
      </c>
      <c r="AT880" s="6">
        <v>52.46948</v>
      </c>
      <c r="AU880" s="6">
        <v>0</v>
      </c>
      <c r="AV880" s="6">
        <v>0</v>
      </c>
      <c r="AW880" s="6">
        <v>0</v>
      </c>
      <c r="AX880" s="6">
        <v>0</v>
      </c>
      <c r="AY880" s="6">
        <v>0</v>
      </c>
      <c r="AZ880" s="6">
        <v>0</v>
      </c>
      <c r="BA880" s="6">
        <v>0</v>
      </c>
      <c r="BB880" s="6">
        <v>0</v>
      </c>
      <c r="BC880" s="6"/>
      <c r="BD880" s="3"/>
      <c r="BE880" s="3"/>
      <c r="BF880" s="7">
        <v>1756.3937901221861</v>
      </c>
    </row>
    <row x14ac:dyDescent="0.25" r="881" customHeight="1" ht="12.75">
      <c r="A881" s="5" t="s">
        <v>510</v>
      </c>
      <c r="B881" s="3" t="s">
        <v>859</v>
      </c>
      <c r="C881" s="3" t="s">
        <v>870</v>
      </c>
      <c r="D881" s="3"/>
      <c r="E881" s="3"/>
      <c r="F881" s="6">
        <f>100*SUM(AM881:AO881)/AL881</f>
      </c>
      <c r="G881" s="6">
        <f>100*SUM(AP881)/AL881</f>
      </c>
      <c r="H881" s="6">
        <f>100*SUM(AQ881)/AL881</f>
      </c>
      <c r="I881" s="6">
        <f>100*SUM(AR881:BC881)/AL881</f>
      </c>
      <c r="J881" s="3"/>
      <c r="K881" s="6">
        <v>1.32</v>
      </c>
      <c r="L881" s="6"/>
      <c r="M881" s="6">
        <v>1.89</v>
      </c>
      <c r="N881" s="5"/>
      <c r="O881" s="6">
        <v>2.15</v>
      </c>
      <c r="P881" s="6"/>
      <c r="Q881" s="7"/>
      <c r="R881" s="6">
        <v>0.15</v>
      </c>
      <c r="S881" s="6">
        <v>0.16</v>
      </c>
      <c r="T881" s="6"/>
      <c r="U881" s="5"/>
      <c r="V881" s="6"/>
      <c r="W881" s="6"/>
      <c r="X881" s="6"/>
      <c r="Y881" s="15"/>
      <c r="Z881" s="6"/>
      <c r="AA881" s="6"/>
      <c r="AB881" s="5"/>
      <c r="AC881" s="3"/>
      <c r="AD881" s="6">
        <v>0</v>
      </c>
      <c r="AE881" s="6">
        <v>0.024948</v>
      </c>
      <c r="AF881" s="7">
        <v>0</v>
      </c>
      <c r="AG881" s="6">
        <v>0.028380000000000002</v>
      </c>
      <c r="AH881" s="7">
        <v>0</v>
      </c>
      <c r="AI881" s="15">
        <v>0.053328</v>
      </c>
      <c r="AJ881" s="6">
        <v>4.04</v>
      </c>
      <c r="AK881" s="3"/>
      <c r="AL881" s="6">
        <v>265.0260109</v>
      </c>
      <c r="AM881" s="6">
        <v>0</v>
      </c>
      <c r="AN881" s="6">
        <v>41.0419359</v>
      </c>
      <c r="AO881" s="6">
        <v>0</v>
      </c>
      <c r="AP881" s="6">
        <v>149.306535</v>
      </c>
      <c r="AQ881" s="6">
        <v>0</v>
      </c>
      <c r="AR881" s="6">
        <v>0</v>
      </c>
      <c r="AS881" s="6">
        <v>25.2945</v>
      </c>
      <c r="AT881" s="6">
        <v>49.38304</v>
      </c>
      <c r="AU881" s="6">
        <v>0</v>
      </c>
      <c r="AV881" s="6">
        <v>0</v>
      </c>
      <c r="AW881" s="6">
        <v>0</v>
      </c>
      <c r="AX881" s="6">
        <v>0</v>
      </c>
      <c r="AY881" s="6">
        <v>0</v>
      </c>
      <c r="AZ881" s="6">
        <v>0</v>
      </c>
      <c r="BA881" s="6">
        <v>0</v>
      </c>
      <c r="BB881" s="6">
        <v>0</v>
      </c>
      <c r="BC881" s="6"/>
      <c r="BD881" s="3"/>
      <c r="BE881" s="3"/>
      <c r="BF881" s="7">
        <v>349.83433438800006</v>
      </c>
    </row>
    <row x14ac:dyDescent="0.25" r="882" customHeight="1" ht="12.75">
      <c r="A882" s="5" t="s">
        <v>39</v>
      </c>
      <c r="B882" s="3" t="s">
        <v>859</v>
      </c>
      <c r="C882" s="3" t="s">
        <v>870</v>
      </c>
      <c r="D882" s="3"/>
      <c r="E882" s="3"/>
      <c r="F882" s="6">
        <f>100*SUM(AM882:AO882)/AL882</f>
      </c>
      <c r="G882" s="6">
        <f>100*SUM(AP882)/AL882</f>
      </c>
      <c r="H882" s="6">
        <f>100*SUM(AQ882)/AL882</f>
      </c>
      <c r="I882" s="6">
        <f>100*SUM(AR882:BC882)/AL882</f>
      </c>
      <c r="J882" s="3"/>
      <c r="K882" s="5">
        <v>380</v>
      </c>
      <c r="L882" s="6">
        <v>0.06</v>
      </c>
      <c r="M882" s="6">
        <v>0.74</v>
      </c>
      <c r="N882" s="6">
        <v>6.3</v>
      </c>
      <c r="O882" s="6">
        <v>1.57</v>
      </c>
      <c r="P882" s="6">
        <v>0.9</v>
      </c>
      <c r="Q882" s="7"/>
      <c r="R882" s="6"/>
      <c r="S882" s="6"/>
      <c r="T882" s="6"/>
      <c r="U882" s="5"/>
      <c r="V882" s="6"/>
      <c r="W882" s="6"/>
      <c r="X882" s="6"/>
      <c r="Y882" s="15"/>
      <c r="Z882" s="6"/>
      <c r="AA882" s="6"/>
      <c r="AB882" s="5"/>
      <c r="AC882" s="3"/>
      <c r="AD882" s="6">
        <v>0.228</v>
      </c>
      <c r="AE882" s="6">
        <v>2.812</v>
      </c>
      <c r="AF882" s="7">
        <v>2394</v>
      </c>
      <c r="AG882" s="6">
        <v>5.966</v>
      </c>
      <c r="AH882" s="7">
        <v>342</v>
      </c>
      <c r="AI882" s="15">
        <v>9.006</v>
      </c>
      <c r="AJ882" s="6">
        <v>2.37</v>
      </c>
      <c r="AK882" s="3"/>
      <c r="AL882" s="6">
        <v>166.84275934405144</v>
      </c>
      <c r="AM882" s="6">
        <v>1.1375735999999999</v>
      </c>
      <c r="AN882" s="6">
        <v>16.0693294</v>
      </c>
      <c r="AO882" s="6">
        <v>3.854951768488746</v>
      </c>
      <c r="AP882" s="6">
        <v>109.02849300000001</v>
      </c>
      <c r="AQ882" s="6">
        <v>36.752411575562704</v>
      </c>
      <c r="AR882" s="6">
        <v>0</v>
      </c>
      <c r="AS882" s="6">
        <v>0</v>
      </c>
      <c r="AT882" s="6">
        <v>0</v>
      </c>
      <c r="AU882" s="6">
        <v>0</v>
      </c>
      <c r="AV882" s="6">
        <v>0</v>
      </c>
      <c r="AW882" s="6">
        <v>0</v>
      </c>
      <c r="AX882" s="6">
        <v>0</v>
      </c>
      <c r="AY882" s="6">
        <v>0</v>
      </c>
      <c r="AZ882" s="6">
        <v>0</v>
      </c>
      <c r="BA882" s="6">
        <v>0</v>
      </c>
      <c r="BB882" s="6">
        <v>0</v>
      </c>
      <c r="BC882" s="6"/>
      <c r="BD882" s="3"/>
      <c r="BE882" s="3"/>
      <c r="BF882" s="7">
        <v>63400.24855073955</v>
      </c>
    </row>
    <row x14ac:dyDescent="0.25" r="883" customHeight="1" ht="12.75">
      <c r="A883" s="5" t="s">
        <v>133</v>
      </c>
      <c r="B883" s="3" t="s">
        <v>859</v>
      </c>
      <c r="C883" s="3" t="s">
        <v>870</v>
      </c>
      <c r="D883" s="3"/>
      <c r="E883" s="3"/>
      <c r="F883" s="6">
        <f>100*SUM(AM883:AO883)/AL883</f>
      </c>
      <c r="G883" s="6">
        <f>100*SUM(AP883)/AL883</f>
      </c>
      <c r="H883" s="6">
        <f>100*SUM(AQ883)/AL883</f>
      </c>
      <c r="I883" s="6">
        <f>100*SUM(AR883:BC883)/AL883</f>
      </c>
      <c r="J883" s="3"/>
      <c r="K883" s="5">
        <v>110</v>
      </c>
      <c r="L883" s="6">
        <v>0.04</v>
      </c>
      <c r="M883" s="6">
        <v>0.4</v>
      </c>
      <c r="N883" s="5">
        <v>16</v>
      </c>
      <c r="O883" s="6">
        <v>1.6</v>
      </c>
      <c r="P883" s="6">
        <v>0.6</v>
      </c>
      <c r="Q883" s="7"/>
      <c r="R883" s="6"/>
      <c r="S883" s="6"/>
      <c r="T883" s="6"/>
      <c r="U883" s="5"/>
      <c r="V883" s="6"/>
      <c r="W883" s="6"/>
      <c r="X883" s="6"/>
      <c r="Y883" s="15"/>
      <c r="Z883" s="6"/>
      <c r="AA883" s="6"/>
      <c r="AB883" s="5"/>
      <c r="AC883" s="3"/>
      <c r="AD883" s="6">
        <v>0.044000000000000004</v>
      </c>
      <c r="AE883" s="6">
        <v>0.44</v>
      </c>
      <c r="AF883" s="7">
        <v>1760</v>
      </c>
      <c r="AG883" s="6">
        <v>1.76</v>
      </c>
      <c r="AH883" s="7">
        <v>66</v>
      </c>
      <c r="AI883" s="15">
        <v>2.2439999999999998</v>
      </c>
      <c r="AJ883" s="6">
        <v>2.04</v>
      </c>
      <c r="AK883" s="3"/>
      <c r="AL883" s="6">
        <v>154.84830781479099</v>
      </c>
      <c r="AM883" s="6">
        <v>0.7583824</v>
      </c>
      <c r="AN883" s="6">
        <v>8.686124</v>
      </c>
      <c r="AO883" s="6">
        <v>9.790353697749197</v>
      </c>
      <c r="AP883" s="6">
        <v>111.11184</v>
      </c>
      <c r="AQ883" s="6">
        <v>24.5016077170418</v>
      </c>
      <c r="AR883" s="6">
        <v>0</v>
      </c>
      <c r="AS883" s="6">
        <v>0</v>
      </c>
      <c r="AT883" s="6">
        <v>0</v>
      </c>
      <c r="AU883" s="6">
        <v>0</v>
      </c>
      <c r="AV883" s="6">
        <v>0</v>
      </c>
      <c r="AW883" s="6">
        <v>0</v>
      </c>
      <c r="AX883" s="6">
        <v>0</v>
      </c>
      <c r="AY883" s="6">
        <v>0</v>
      </c>
      <c r="AZ883" s="6">
        <v>0</v>
      </c>
      <c r="BA883" s="6">
        <v>0</v>
      </c>
      <c r="BB883" s="6">
        <v>0</v>
      </c>
      <c r="BC883" s="6"/>
      <c r="BD883" s="3"/>
      <c r="BE883" s="3"/>
      <c r="BF883" s="7">
        <v>17033.313859627007</v>
      </c>
    </row>
    <row x14ac:dyDescent="0.25" r="884" customHeight="1" ht="12.75">
      <c r="A884" s="5" t="s">
        <v>579</v>
      </c>
      <c r="B884" s="3" t="s">
        <v>859</v>
      </c>
      <c r="C884" s="3" t="s">
        <v>870</v>
      </c>
      <c r="D884" s="3"/>
      <c r="E884" s="3"/>
      <c r="F884" s="6">
        <f>100*SUM(AM884:AO884)/AL884</f>
      </c>
      <c r="G884" s="6">
        <f>100*SUM(AP884)/AL884</f>
      </c>
      <c r="H884" s="6">
        <f>100*SUM(AQ884)/AL884</f>
      </c>
      <c r="I884" s="6">
        <f>100*SUM(AR884:BC884)/AL884</f>
      </c>
      <c r="J884" s="3"/>
      <c r="K884" s="6">
        <v>0.5</v>
      </c>
      <c r="L884" s="6"/>
      <c r="M884" s="6">
        <v>0.85</v>
      </c>
      <c r="N884" s="6">
        <v>14.8</v>
      </c>
      <c r="O884" s="6">
        <v>2.1</v>
      </c>
      <c r="P884" s="6">
        <v>1.6</v>
      </c>
      <c r="Q884" s="7"/>
      <c r="R884" s="6"/>
      <c r="S884" s="6"/>
      <c r="T884" s="6"/>
      <c r="U884" s="5"/>
      <c r="V884" s="6"/>
      <c r="W884" s="6"/>
      <c r="X884" s="6"/>
      <c r="Y884" s="15"/>
      <c r="Z884" s="6"/>
      <c r="AA884" s="6"/>
      <c r="AB884" s="5"/>
      <c r="AC884" s="3"/>
      <c r="AD884" s="6">
        <v>0</v>
      </c>
      <c r="AE884" s="6">
        <v>0.00425</v>
      </c>
      <c r="AF884" s="7">
        <v>7.4</v>
      </c>
      <c r="AG884" s="6">
        <v>0.0105</v>
      </c>
      <c r="AH884" s="7">
        <v>0.8</v>
      </c>
      <c r="AI884" s="15">
        <v>0.014750000000000001</v>
      </c>
      <c r="AJ884" s="6">
        <v>2.95</v>
      </c>
      <c r="AK884" s="3"/>
      <c r="AL884" s="6">
        <v>238.68600124919615</v>
      </c>
      <c r="AM884" s="6">
        <v>0</v>
      </c>
      <c r="AN884" s="6">
        <v>18.4580135</v>
      </c>
      <c r="AO884" s="6">
        <v>9.056077170418009</v>
      </c>
      <c r="AP884" s="6">
        <v>145.83429</v>
      </c>
      <c r="AQ884" s="6">
        <v>65.33762057877814</v>
      </c>
      <c r="AR884" s="6">
        <v>0</v>
      </c>
      <c r="AS884" s="6">
        <v>0</v>
      </c>
      <c r="AT884" s="6">
        <v>0</v>
      </c>
      <c r="AU884" s="6">
        <v>0</v>
      </c>
      <c r="AV884" s="6">
        <v>0</v>
      </c>
      <c r="AW884" s="6">
        <v>0</v>
      </c>
      <c r="AX884" s="6">
        <v>0</v>
      </c>
      <c r="AY884" s="6">
        <v>0</v>
      </c>
      <c r="AZ884" s="6">
        <v>0</v>
      </c>
      <c r="BA884" s="6">
        <v>0</v>
      </c>
      <c r="BB884" s="6">
        <v>0</v>
      </c>
      <c r="BC884" s="6"/>
      <c r="BD884" s="3"/>
      <c r="BE884" s="3"/>
      <c r="BF884" s="7">
        <v>119.34300062459808</v>
      </c>
    </row>
    <row x14ac:dyDescent="0.25" r="885" customHeight="1" ht="12.75">
      <c r="A885" s="5" t="s">
        <v>546</v>
      </c>
      <c r="B885" s="3" t="s">
        <v>859</v>
      </c>
      <c r="C885" s="3" t="s">
        <v>870</v>
      </c>
      <c r="D885" s="3"/>
      <c r="E885" s="3"/>
      <c r="F885" s="6">
        <f>100*SUM(AM885:AO885)/AL885</f>
      </c>
      <c r="G885" s="6">
        <f>100*SUM(AP885)/AL885</f>
      </c>
      <c r="H885" s="6">
        <f>100*SUM(AQ885)/AL885</f>
      </c>
      <c r="I885" s="6">
        <f>100*SUM(AR885:BC885)/AL885</f>
      </c>
      <c r="J885" s="3"/>
      <c r="K885" s="6">
        <v>14.1</v>
      </c>
      <c r="L885" s="6"/>
      <c r="M885" s="6">
        <v>0.73</v>
      </c>
      <c r="N885" s="5"/>
      <c r="O885" s="6">
        <v>2.16</v>
      </c>
      <c r="P885" s="6"/>
      <c r="Q885" s="7"/>
      <c r="R885" s="6"/>
      <c r="S885" s="6"/>
      <c r="T885" s="6"/>
      <c r="U885" s="5"/>
      <c r="V885" s="6"/>
      <c r="W885" s="6"/>
      <c r="X885" s="6"/>
      <c r="Y885" s="15"/>
      <c r="Z885" s="6"/>
      <c r="AA885" s="6"/>
      <c r="AB885" s="5"/>
      <c r="AC885" s="3"/>
      <c r="AD885" s="6">
        <v>0</v>
      </c>
      <c r="AE885" s="6">
        <v>0.10293</v>
      </c>
      <c r="AF885" s="7">
        <v>0</v>
      </c>
      <c r="AG885" s="6">
        <v>0.30456</v>
      </c>
      <c r="AH885" s="7">
        <v>0</v>
      </c>
      <c r="AI885" s="15">
        <v>0.40749</v>
      </c>
      <c r="AJ885" s="6">
        <v>2.89</v>
      </c>
      <c r="AK885" s="3"/>
      <c r="AL885" s="6">
        <v>165.8531603</v>
      </c>
      <c r="AM885" s="6">
        <v>0</v>
      </c>
      <c r="AN885" s="6">
        <v>15.8521763</v>
      </c>
      <c r="AO885" s="6">
        <v>0</v>
      </c>
      <c r="AP885" s="6">
        <v>150.00098400000002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v>0</v>
      </c>
      <c r="AW885" s="6">
        <v>0</v>
      </c>
      <c r="AX885" s="6">
        <v>0</v>
      </c>
      <c r="AY885" s="6">
        <v>0</v>
      </c>
      <c r="AZ885" s="6">
        <v>0</v>
      </c>
      <c r="BA885" s="6">
        <v>0</v>
      </c>
      <c r="BB885" s="6">
        <v>0</v>
      </c>
      <c r="BC885" s="6"/>
      <c r="BD885" s="3"/>
      <c r="BE885" s="3"/>
      <c r="BF885" s="7">
        <v>2338.5295602300002</v>
      </c>
    </row>
    <row x14ac:dyDescent="0.25" r="886" customHeight="1" ht="12.75">
      <c r="A886" s="5" t="s">
        <v>396</v>
      </c>
      <c r="B886" s="3" t="s">
        <v>859</v>
      </c>
      <c r="C886" s="3" t="s">
        <v>870</v>
      </c>
      <c r="D886" s="3"/>
      <c r="E886" s="3"/>
      <c r="F886" s="6">
        <f>100*SUM(AM886:AO886)/AL886</f>
      </c>
      <c r="G886" s="6">
        <f>100*SUM(AP886)/AL886</f>
      </c>
      <c r="H886" s="6">
        <f>100*SUM(AQ886)/AL886</f>
      </c>
      <c r="I886" s="6">
        <f>100*SUM(AR886:BC886)/AL886</f>
      </c>
      <c r="J886" s="3"/>
      <c r="K886" s="6">
        <v>18.2</v>
      </c>
      <c r="L886" s="6"/>
      <c r="M886" s="6">
        <v>0.86</v>
      </c>
      <c r="N886" s="5"/>
      <c r="O886" s="6">
        <v>2.94</v>
      </c>
      <c r="P886" s="6"/>
      <c r="Q886" s="7"/>
      <c r="R886" s="6"/>
      <c r="S886" s="6"/>
      <c r="T886" s="6"/>
      <c r="U886" s="5"/>
      <c r="V886" s="6"/>
      <c r="W886" s="6"/>
      <c r="X886" s="6"/>
      <c r="Y886" s="15"/>
      <c r="Z886" s="6"/>
      <c r="AA886" s="6"/>
      <c r="AB886" s="5"/>
      <c r="AC886" s="3"/>
      <c r="AD886" s="6">
        <v>0</v>
      </c>
      <c r="AE886" s="6">
        <v>0.15652</v>
      </c>
      <c r="AF886" s="7">
        <v>0</v>
      </c>
      <c r="AG886" s="6">
        <v>0.53508</v>
      </c>
      <c r="AH886" s="7">
        <v>0</v>
      </c>
      <c r="AI886" s="15">
        <v>0.6916</v>
      </c>
      <c r="AJ886" s="6">
        <v>3.8</v>
      </c>
      <c r="AK886" s="3"/>
      <c r="AL886" s="6">
        <v>222.8431726</v>
      </c>
      <c r="AM886" s="6">
        <v>0</v>
      </c>
      <c r="AN886" s="6">
        <v>18.6751666</v>
      </c>
      <c r="AO886" s="6">
        <v>0</v>
      </c>
      <c r="AP886" s="6">
        <v>204.168006</v>
      </c>
      <c r="AQ886" s="6">
        <v>0</v>
      </c>
      <c r="AR886" s="6">
        <v>0</v>
      </c>
      <c r="AS886" s="6">
        <v>0</v>
      </c>
      <c r="AT886" s="6">
        <v>0</v>
      </c>
      <c r="AU886" s="6">
        <v>0</v>
      </c>
      <c r="AV886" s="6">
        <v>0</v>
      </c>
      <c r="AW886" s="6">
        <v>0</v>
      </c>
      <c r="AX886" s="6">
        <v>0</v>
      </c>
      <c r="AY886" s="6">
        <v>0</v>
      </c>
      <c r="AZ886" s="6">
        <v>0</v>
      </c>
      <c r="BA886" s="6">
        <v>0</v>
      </c>
      <c r="BB886" s="6">
        <v>0</v>
      </c>
      <c r="BC886" s="6"/>
      <c r="BD886" s="3"/>
      <c r="BE886" s="3"/>
      <c r="BF886" s="7">
        <v>4055.74574132</v>
      </c>
    </row>
    <row x14ac:dyDescent="0.25" r="887" customHeight="1" ht="12.75">
      <c r="A887" s="5" t="s">
        <v>287</v>
      </c>
      <c r="B887" s="3" t="s">
        <v>859</v>
      </c>
      <c r="C887" s="3" t="s">
        <v>870</v>
      </c>
      <c r="D887" s="3"/>
      <c r="E887" s="3"/>
      <c r="F887" s="6">
        <f>100*SUM(AM887:AO887)/AL887</f>
      </c>
      <c r="G887" s="6">
        <f>100*SUM(AP887)/AL887</f>
      </c>
      <c r="H887" s="6">
        <f>100*SUM(AQ887)/AL887</f>
      </c>
      <c r="I887" s="6">
        <f>100*SUM(AR887:BC887)/AL887</f>
      </c>
      <c r="J887" s="3"/>
      <c r="K887" s="5">
        <v>46</v>
      </c>
      <c r="L887" s="6"/>
      <c r="M887" s="6">
        <v>0.47</v>
      </c>
      <c r="N887" s="5"/>
      <c r="O887" s="6">
        <v>1.82</v>
      </c>
      <c r="P887" s="6"/>
      <c r="Q887" s="7"/>
      <c r="R887" s="6"/>
      <c r="S887" s="6"/>
      <c r="T887" s="6"/>
      <c r="U887" s="5"/>
      <c r="V887" s="6"/>
      <c r="W887" s="6"/>
      <c r="X887" s="6"/>
      <c r="Y887" s="15"/>
      <c r="Z887" s="6"/>
      <c r="AA887" s="6"/>
      <c r="AB887" s="5"/>
      <c r="AC887" s="3"/>
      <c r="AD887" s="6">
        <v>0</v>
      </c>
      <c r="AE887" s="6">
        <v>0.21619999999999998</v>
      </c>
      <c r="AF887" s="7">
        <v>0</v>
      </c>
      <c r="AG887" s="6">
        <v>0.8371999999999999</v>
      </c>
      <c r="AH887" s="7">
        <v>0</v>
      </c>
      <c r="AI887" s="15">
        <v>1.0534</v>
      </c>
      <c r="AJ887" s="6">
        <v>2.29</v>
      </c>
      <c r="AK887" s="3"/>
      <c r="AL887" s="6">
        <v>136.5959137</v>
      </c>
      <c r="AM887" s="6">
        <v>0</v>
      </c>
      <c r="AN887" s="6">
        <v>10.206195699999999</v>
      </c>
      <c r="AO887" s="6">
        <v>0</v>
      </c>
      <c r="AP887" s="6">
        <v>126.389718</v>
      </c>
      <c r="AQ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v>0</v>
      </c>
      <c r="AW887" s="6">
        <v>0</v>
      </c>
      <c r="AX887" s="6">
        <v>0</v>
      </c>
      <c r="AY887" s="6">
        <v>0</v>
      </c>
      <c r="AZ887" s="6">
        <v>0</v>
      </c>
      <c r="BA887" s="6">
        <v>0</v>
      </c>
      <c r="BB887" s="6">
        <v>0</v>
      </c>
      <c r="BC887" s="6"/>
      <c r="BD887" s="3"/>
      <c r="BE887" s="3"/>
      <c r="BF887" s="7">
        <v>6283.4120302</v>
      </c>
    </row>
    <row x14ac:dyDescent="0.25" r="888" customHeight="1" ht="12.75">
      <c r="A888" s="5" t="s">
        <v>444</v>
      </c>
      <c r="B888" s="3" t="s">
        <v>859</v>
      </c>
      <c r="C888" s="3" t="s">
        <v>870</v>
      </c>
      <c r="D888" s="3"/>
      <c r="E888" s="3"/>
      <c r="F888" s="6">
        <f>100*SUM(AM888:AO888)/AL888</f>
      </c>
      <c r="G888" s="6">
        <f>100*SUM(AP888)/AL888</f>
      </c>
      <c r="H888" s="6">
        <f>100*SUM(AQ888)/AL888</f>
      </c>
      <c r="I888" s="6">
        <f>100*SUM(AR888:BC888)/AL888</f>
      </c>
      <c r="J888" s="3"/>
      <c r="K888" s="6">
        <v>1.13</v>
      </c>
      <c r="L888" s="6"/>
      <c r="M888" s="7">
        <v>0.2938053097345133</v>
      </c>
      <c r="N888" s="7">
        <v>20.244247787610618</v>
      </c>
      <c r="O888" s="7">
        <v>3.346902654867257</v>
      </c>
      <c r="P888" s="7">
        <v>0.815929203539823</v>
      </c>
      <c r="Q888" s="7"/>
      <c r="R888" s="6"/>
      <c r="S888" s="6"/>
      <c r="T888" s="6"/>
      <c r="U888" s="5"/>
      <c r="V888" s="6"/>
      <c r="W888" s="6"/>
      <c r="X888" s="6"/>
      <c r="Y888" s="15"/>
      <c r="Z888" s="6"/>
      <c r="AA888" s="6"/>
      <c r="AB888" s="5"/>
      <c r="AC888" s="3"/>
      <c r="AD888" s="6">
        <v>0</v>
      </c>
      <c r="AE888" s="6">
        <v>0.00332</v>
      </c>
      <c r="AF888" s="7">
        <v>22.875999999999998</v>
      </c>
      <c r="AG888" s="6">
        <v>0.03782</v>
      </c>
      <c r="AH888" s="7">
        <v>0.9219999999999999</v>
      </c>
      <c r="AI888" s="15">
        <v>0.041139999999999996</v>
      </c>
      <c r="AJ888" s="6">
        <v>3.6407079646017704</v>
      </c>
      <c r="AK888" s="3"/>
      <c r="AL888" s="6">
        <v>284.5120856441397</v>
      </c>
      <c r="AM888" s="6">
        <v>0</v>
      </c>
      <c r="AN888" s="6">
        <v>6.380073380530974</v>
      </c>
      <c r="AO888" s="6">
        <v>12.38739663659904</v>
      </c>
      <c r="AP888" s="6">
        <v>232.4253201769912</v>
      </c>
      <c r="AQ888" s="6">
        <v>33.3192954500185</v>
      </c>
      <c r="AR888" s="6">
        <v>0</v>
      </c>
      <c r="AS888" s="6">
        <v>0</v>
      </c>
      <c r="AT888" s="6">
        <v>0</v>
      </c>
      <c r="AU888" s="6">
        <v>0</v>
      </c>
      <c r="AV888" s="6">
        <v>0</v>
      </c>
      <c r="AW888" s="6">
        <v>0</v>
      </c>
      <c r="AX888" s="6">
        <v>0</v>
      </c>
      <c r="AY888" s="6">
        <v>0</v>
      </c>
      <c r="AZ888" s="6">
        <v>0</v>
      </c>
      <c r="BA888" s="6">
        <v>0</v>
      </c>
      <c r="BB888" s="6">
        <v>0</v>
      </c>
      <c r="BC888" s="6"/>
      <c r="BD888" s="3"/>
      <c r="BE888" s="3"/>
      <c r="BF888" s="7">
        <v>321.49865677787784</v>
      </c>
    </row>
    <row x14ac:dyDescent="0.25" r="889" customHeight="1" ht="12.75">
      <c r="A889" s="5" t="s">
        <v>848</v>
      </c>
      <c r="B889" s="3" t="s">
        <v>859</v>
      </c>
      <c r="C889" s="3" t="s">
        <v>870</v>
      </c>
      <c r="D889" s="3"/>
      <c r="E889" s="3"/>
      <c r="F889" s="6">
        <f>100*SUM(AM889:AO889)/AL889</f>
      </c>
      <c r="G889" s="6">
        <f>100*SUM(AP889)/AL889</f>
      </c>
      <c r="H889" s="6">
        <f>100*SUM(AQ889)/AL889</f>
      </c>
      <c r="I889" s="6">
        <f>100*SUM(AR889:BC889)/AL889</f>
      </c>
      <c r="J889" s="3"/>
      <c r="K889" s="6">
        <v>0.4</v>
      </c>
      <c r="L889" s="6"/>
      <c r="M889" s="6">
        <v>0.1</v>
      </c>
      <c r="N889" s="5"/>
      <c r="O889" s="6">
        <v>0.44</v>
      </c>
      <c r="P889" s="6"/>
      <c r="Q889" s="7"/>
      <c r="R889" s="6">
        <v>0.18</v>
      </c>
      <c r="S889" s="6">
        <v>0.07</v>
      </c>
      <c r="T889" s="6"/>
      <c r="U889" s="5"/>
      <c r="V889" s="6"/>
      <c r="W889" s="6"/>
      <c r="X889" s="6"/>
      <c r="Y889" s="15"/>
      <c r="Z889" s="6"/>
      <c r="AA889" s="6"/>
      <c r="AB889" s="5"/>
      <c r="AC889" s="3"/>
      <c r="AD889" s="6">
        <v>0</v>
      </c>
      <c r="AE889" s="6">
        <v>0.0004000000000000001</v>
      </c>
      <c r="AF889" s="7">
        <v>0</v>
      </c>
      <c r="AG889" s="6">
        <v>0.0017600000000000003</v>
      </c>
      <c r="AH889" s="7">
        <v>0</v>
      </c>
      <c r="AI889" s="15">
        <v>0.0021600000000000005</v>
      </c>
      <c r="AJ889" s="6">
        <v>0.54</v>
      </c>
      <c r="AK889" s="3"/>
      <c r="AL889" s="6">
        <v>84.685767</v>
      </c>
      <c r="AM889" s="6">
        <v>0</v>
      </c>
      <c r="AN889" s="6">
        <v>2.171531</v>
      </c>
      <c r="AO889" s="6">
        <v>0</v>
      </c>
      <c r="AP889" s="6">
        <v>30.555756000000002</v>
      </c>
      <c r="AQ889" s="6">
        <v>0</v>
      </c>
      <c r="AR889" s="6">
        <v>0</v>
      </c>
      <c r="AS889" s="6">
        <v>30.3534</v>
      </c>
      <c r="AT889" s="6">
        <v>21.60508</v>
      </c>
      <c r="AU889" s="6">
        <v>0</v>
      </c>
      <c r="AV889" s="6">
        <v>0</v>
      </c>
      <c r="AW889" s="6">
        <v>0</v>
      </c>
      <c r="AX889" s="6">
        <v>0</v>
      </c>
      <c r="AY889" s="6">
        <v>0</v>
      </c>
      <c r="AZ889" s="6">
        <v>0</v>
      </c>
      <c r="BA889" s="6">
        <v>0</v>
      </c>
      <c r="BB889" s="6">
        <v>0</v>
      </c>
      <c r="BC889" s="6"/>
      <c r="BD889" s="3"/>
      <c r="BE889" s="3"/>
      <c r="BF889" s="7">
        <v>33.8743068</v>
      </c>
    </row>
    <row x14ac:dyDescent="0.25" r="890" customHeight="1" ht="12.75">
      <c r="A890" s="5" t="s">
        <v>842</v>
      </c>
      <c r="B890" s="3" t="s">
        <v>859</v>
      </c>
      <c r="C890" s="3" t="s">
        <v>870</v>
      </c>
      <c r="D890" s="3"/>
      <c r="E890" s="3"/>
      <c r="F890" s="6">
        <f>100*SUM(AM890:AO890)/AL890</f>
      </c>
      <c r="G890" s="6">
        <f>100*SUM(AP890)/AL890</f>
      </c>
      <c r="H890" s="6">
        <f>100*SUM(AQ890)/AL890</f>
      </c>
      <c r="I890" s="6">
        <f>100*SUM(AR890:BC890)/AL890</f>
      </c>
      <c r="J890" s="3"/>
      <c r="K890" s="6">
        <v>0.7</v>
      </c>
      <c r="L890" s="6"/>
      <c r="M890" s="6">
        <v>0.09</v>
      </c>
      <c r="N890" s="5"/>
      <c r="O890" s="6">
        <v>0.72</v>
      </c>
      <c r="P890" s="6">
        <v>0.3</v>
      </c>
      <c r="Q890" s="7"/>
      <c r="R890" s="6">
        <v>0.03</v>
      </c>
      <c r="S890" s="6">
        <v>0.09</v>
      </c>
      <c r="T890" s="6"/>
      <c r="U890" s="5"/>
      <c r="V890" s="6"/>
      <c r="W890" s="6"/>
      <c r="X890" s="6"/>
      <c r="Y890" s="15"/>
      <c r="Z890" s="6"/>
      <c r="AA890" s="6"/>
      <c r="AB890" s="5"/>
      <c r="AC890" s="3"/>
      <c r="AD890" s="6">
        <v>0</v>
      </c>
      <c r="AE890" s="6">
        <v>0.00063</v>
      </c>
      <c r="AF890" s="7">
        <v>0</v>
      </c>
      <c r="AG890" s="6">
        <v>0.00504</v>
      </c>
      <c r="AH890" s="7">
        <v>0.21</v>
      </c>
      <c r="AI890" s="15">
        <v>0.0056700000000000006</v>
      </c>
      <c r="AJ890" s="6">
        <v>0.8099999999999999</v>
      </c>
      <c r="AK890" s="3"/>
      <c r="AL890" s="6">
        <v>97.04236975852088</v>
      </c>
      <c r="AM890" s="6">
        <v>0</v>
      </c>
      <c r="AN890" s="6">
        <v>1.9543779</v>
      </c>
      <c r="AO890" s="6">
        <v>0</v>
      </c>
      <c r="AP890" s="6">
        <v>50.000327999999996</v>
      </c>
      <c r="AQ890" s="6">
        <v>12.2508038585209</v>
      </c>
      <c r="AR890" s="6">
        <v>0</v>
      </c>
      <c r="AS890" s="6">
        <v>5.0588999999999995</v>
      </c>
      <c r="AT890" s="6">
        <v>27.777959999999997</v>
      </c>
      <c r="AU890" s="6">
        <v>0</v>
      </c>
      <c r="AV890" s="6">
        <v>0</v>
      </c>
      <c r="AW890" s="6">
        <v>0</v>
      </c>
      <c r="AX890" s="6">
        <v>0</v>
      </c>
      <c r="AY890" s="6">
        <v>0</v>
      </c>
      <c r="AZ890" s="6">
        <v>0</v>
      </c>
      <c r="BA890" s="6">
        <v>0</v>
      </c>
      <c r="BB890" s="6">
        <v>0</v>
      </c>
      <c r="BC890" s="6"/>
      <c r="BD890" s="3"/>
      <c r="BE890" s="3"/>
      <c r="BF890" s="7">
        <v>67.92965883096461</v>
      </c>
    </row>
    <row x14ac:dyDescent="0.25" r="891" customHeight="1" ht="12.75">
      <c r="A891" s="5" t="s">
        <v>57</v>
      </c>
      <c r="B891" s="3" t="s">
        <v>859</v>
      </c>
      <c r="C891" s="3" t="s">
        <v>870</v>
      </c>
      <c r="D891" s="3"/>
      <c r="E891" s="3"/>
      <c r="F891" s="6">
        <f>100*SUM(AM891:AO891)/AL891</f>
      </c>
      <c r="G891" s="6">
        <f>100*SUM(AP891)/AL891</f>
      </c>
      <c r="H891" s="6">
        <f>100*SUM(AQ891)/AL891</f>
      </c>
      <c r="I891" s="6">
        <f>100*SUM(AR891:BC891)/AL891</f>
      </c>
      <c r="J891" s="3"/>
      <c r="K891" s="5">
        <v>1</v>
      </c>
      <c r="L891" s="6"/>
      <c r="M891" s="6">
        <v>0.2</v>
      </c>
      <c r="N891" s="6">
        <v>5.1</v>
      </c>
      <c r="O891" s="6">
        <v>6.4</v>
      </c>
      <c r="P891" s="6">
        <v>1.4</v>
      </c>
      <c r="Q891" s="7"/>
      <c r="R891" s="6">
        <v>0.3</v>
      </c>
      <c r="S891" s="6">
        <v>0.2</v>
      </c>
      <c r="T891" s="6"/>
      <c r="U891" s="5"/>
      <c r="V891" s="6"/>
      <c r="W891" s="6"/>
      <c r="X891" s="6"/>
      <c r="Y891" s="15"/>
      <c r="Z891" s="6">
        <v>0.2</v>
      </c>
      <c r="AA891" s="6"/>
      <c r="AB891" s="5">
        <v>1</v>
      </c>
      <c r="AC891" s="3" t="s">
        <v>1032</v>
      </c>
      <c r="AD891" s="6">
        <v>0</v>
      </c>
      <c r="AE891" s="6">
        <v>0.002</v>
      </c>
      <c r="AF891" s="7">
        <v>5.1</v>
      </c>
      <c r="AG891" s="6">
        <v>0.064</v>
      </c>
      <c r="AH891" s="7">
        <v>1.4</v>
      </c>
      <c r="AI891" s="15">
        <v>0.066</v>
      </c>
      <c r="AJ891" s="6">
        <v>6.6000000000000005</v>
      </c>
      <c r="AK891" s="3"/>
      <c r="AL891" s="6">
        <v>671.1848340514468</v>
      </c>
      <c r="AM891" s="6">
        <v>0</v>
      </c>
      <c r="AN891" s="6">
        <v>4.343062</v>
      </c>
      <c r="AO891" s="6">
        <v>3.1206752411575565</v>
      </c>
      <c r="AP891" s="6">
        <v>444.44736</v>
      </c>
      <c r="AQ891" s="6">
        <v>57.170418006430864</v>
      </c>
      <c r="AR891" s="6">
        <v>0</v>
      </c>
      <c r="AS891" s="6">
        <v>50.589</v>
      </c>
      <c r="AT891" s="6">
        <v>61.7288</v>
      </c>
      <c r="AU891" s="6">
        <v>0</v>
      </c>
      <c r="AV891" s="6">
        <v>0</v>
      </c>
      <c r="AW891" s="6">
        <v>0</v>
      </c>
      <c r="AX891" s="6">
        <v>0</v>
      </c>
      <c r="AY891" s="6">
        <v>0</v>
      </c>
      <c r="AZ891" s="6">
        <v>0</v>
      </c>
      <c r="BA891" s="6">
        <v>3.4832680000000003</v>
      </c>
      <c r="BB891" s="6">
        <v>0</v>
      </c>
      <c r="BC891" s="6">
        <v>46.30225080385851</v>
      </c>
      <c r="BD891" s="3" t="s">
        <v>1033</v>
      </c>
      <c r="BE891" s="3"/>
      <c r="BF891" s="7">
        <v>671.1848340514468</v>
      </c>
    </row>
    <row x14ac:dyDescent="0.25" r="892" customHeight="1" ht="12.75">
      <c r="A892" s="5" t="s">
        <v>1034</v>
      </c>
      <c r="B892" s="32" t="s">
        <v>871</v>
      </c>
      <c r="C892" s="3" t="s">
        <v>870</v>
      </c>
      <c r="D892" s="3" t="s">
        <v>1013</v>
      </c>
      <c r="E892" s="3"/>
      <c r="F892" s="6">
        <f>100*SUM(AM892:AO892)/AL892</f>
      </c>
      <c r="G892" s="6">
        <f>100*SUM(AP892)/AL892</f>
      </c>
      <c r="H892" s="6">
        <f>100*SUM(AQ892)/AL892</f>
      </c>
      <c r="I892" s="6">
        <f>100*SUM(AR892:BC892)/AL892</f>
      </c>
      <c r="J892" s="3"/>
      <c r="K892" s="7">
        <v>2</v>
      </c>
      <c r="L892" s="6"/>
      <c r="M892" s="5">
        <v>22</v>
      </c>
      <c r="N892" s="5"/>
      <c r="O892" s="6"/>
      <c r="P892" s="6"/>
      <c r="Q892" s="7"/>
      <c r="R892" s="6"/>
      <c r="S892" s="6"/>
      <c r="T892" s="6"/>
      <c r="U892" s="5"/>
      <c r="V892" s="6"/>
      <c r="W892" s="6"/>
      <c r="X892" s="6"/>
      <c r="Y892" s="15"/>
      <c r="Z892" s="6"/>
      <c r="AA892" s="6"/>
      <c r="AB892" s="5"/>
      <c r="AC892" s="3"/>
      <c r="AD892" s="6">
        <v>0</v>
      </c>
      <c r="AE892" s="6">
        <v>0.44</v>
      </c>
      <c r="AF892" s="7">
        <v>0</v>
      </c>
      <c r="AG892" s="6">
        <v>0</v>
      </c>
      <c r="AH892" s="7">
        <v>0</v>
      </c>
      <c r="AI892" s="15">
        <v>0.44</v>
      </c>
      <c r="AJ892" s="6">
        <v>22</v>
      </c>
      <c r="AK892" s="3"/>
      <c r="AL892" s="6">
        <v>477.73681999999997</v>
      </c>
      <c r="AM892" s="6">
        <v>0</v>
      </c>
      <c r="AN892" s="6">
        <v>477.73681999999997</v>
      </c>
      <c r="AO892" s="6">
        <v>0</v>
      </c>
      <c r="AP892" s="6">
        <v>0</v>
      </c>
      <c r="AQ892" s="6">
        <v>0</v>
      </c>
      <c r="AR892" s="6">
        <v>0</v>
      </c>
      <c r="AS892" s="6">
        <v>0</v>
      </c>
      <c r="AT892" s="6">
        <v>0</v>
      </c>
      <c r="AU892" s="6">
        <v>0</v>
      </c>
      <c r="AV892" s="6">
        <v>0</v>
      </c>
      <c r="AW892" s="6">
        <v>0</v>
      </c>
      <c r="AX892" s="6">
        <v>0</v>
      </c>
      <c r="AY892" s="6">
        <v>0</v>
      </c>
      <c r="AZ892" s="6">
        <v>0</v>
      </c>
      <c r="BA892" s="6">
        <v>0</v>
      </c>
      <c r="BB892" s="6">
        <v>0</v>
      </c>
      <c r="BC892" s="6"/>
      <c r="BD892" s="3"/>
      <c r="BE892" s="3"/>
      <c r="BF892" s="7">
        <v>955.4736399999999</v>
      </c>
    </row>
    <row x14ac:dyDescent="0.25" r="893" customHeight="1" ht="12.75">
      <c r="A893" s="5" t="s">
        <v>1035</v>
      </c>
      <c r="B893" s="32" t="s">
        <v>867</v>
      </c>
      <c r="C893" s="3" t="s">
        <v>866</v>
      </c>
      <c r="D893" s="3" t="s">
        <v>992</v>
      </c>
      <c r="E893" s="3"/>
      <c r="F893" s="6">
        <f>100*SUM(AM893:AO893)/AL893</f>
      </c>
      <c r="G893" s="6">
        <f>100*SUM(AP893)/AL893</f>
      </c>
      <c r="H893" s="6">
        <f>100*SUM(AQ893)/AL893</f>
      </c>
      <c r="I893" s="6">
        <f>100*SUM(AR893:BC893)/AL893</f>
      </c>
      <c r="J893" s="3"/>
      <c r="K893" s="6">
        <v>0.12</v>
      </c>
      <c r="L893" s="6">
        <v>3.5</v>
      </c>
      <c r="M893" s="5">
        <v>24</v>
      </c>
      <c r="N893" s="5">
        <v>160</v>
      </c>
      <c r="O893" s="6"/>
      <c r="P893" s="6"/>
      <c r="Q893" s="7"/>
      <c r="R893" s="6"/>
      <c r="S893" s="6"/>
      <c r="T893" s="6"/>
      <c r="U893" s="5"/>
      <c r="V893" s="6"/>
      <c r="W893" s="6"/>
      <c r="X893" s="6"/>
      <c r="Y893" s="15"/>
      <c r="Z893" s="6"/>
      <c r="AA893" s="6"/>
      <c r="AB893" s="5"/>
      <c r="AC893" s="3"/>
      <c r="AD893" s="6">
        <v>0.0042</v>
      </c>
      <c r="AE893" s="6">
        <v>0.0288</v>
      </c>
      <c r="AF893" s="7">
        <v>19.2</v>
      </c>
      <c r="AG893" s="6">
        <v>0</v>
      </c>
      <c r="AH893" s="7">
        <v>0</v>
      </c>
      <c r="AI893" s="15">
        <v>0.033</v>
      </c>
      <c r="AJ893" s="6">
        <v>27.5</v>
      </c>
      <c r="AK893" s="3"/>
      <c r="AL893" s="6">
        <v>685.429436977492</v>
      </c>
      <c r="AM893" s="6">
        <v>66.35846000000001</v>
      </c>
      <c r="AN893" s="6">
        <v>521.1674399999999</v>
      </c>
      <c r="AO893" s="6">
        <v>97.90353697749198</v>
      </c>
      <c r="AP893" s="6">
        <v>0</v>
      </c>
      <c r="AQ893" s="6">
        <v>0</v>
      </c>
      <c r="AR893" s="6">
        <v>0</v>
      </c>
      <c r="AS893" s="6">
        <v>0</v>
      </c>
      <c r="AT893" s="6">
        <v>0</v>
      </c>
      <c r="AU893" s="6">
        <v>0</v>
      </c>
      <c r="AV893" s="6">
        <v>0</v>
      </c>
      <c r="AW893" s="6">
        <v>0</v>
      </c>
      <c r="AX893" s="6">
        <v>0</v>
      </c>
      <c r="AY893" s="6">
        <v>0</v>
      </c>
      <c r="AZ893" s="6">
        <v>0</v>
      </c>
      <c r="BA893" s="6">
        <v>0</v>
      </c>
      <c r="BB893" s="6">
        <v>0</v>
      </c>
      <c r="BC893" s="6"/>
      <c r="BD893" s="3"/>
      <c r="BE893" s="3"/>
      <c r="BF893" s="7">
        <v>82.25153243729903</v>
      </c>
    </row>
    <row x14ac:dyDescent="0.25" r="894" customHeight="1" ht="12.75">
      <c r="A894" s="5" t="s">
        <v>1036</v>
      </c>
      <c r="B894" s="16" t="s">
        <v>872</v>
      </c>
      <c r="C894" s="3" t="s">
        <v>1037</v>
      </c>
      <c r="D894" s="3" t="s">
        <v>924</v>
      </c>
      <c r="E894" s="3"/>
      <c r="F894" s="6">
        <f>100*SUM(AM894:AO894)/AL894</f>
      </c>
      <c r="G894" s="6">
        <f>100*SUM(AP894)/AL894</f>
      </c>
      <c r="H894" s="6">
        <f>100*SUM(AQ894)/AL894</f>
      </c>
      <c r="I894" s="6">
        <f>100*SUM(AR894:BC894)/AL894</f>
      </c>
      <c r="J894" s="3"/>
      <c r="K894" s="23">
        <v>0.3652996</v>
      </c>
      <c r="L894" s="6">
        <v>0.31403535837433166</v>
      </c>
      <c r="M894" s="6">
        <v>2.2302390268152497</v>
      </c>
      <c r="N894" s="7">
        <v>12.954722699942732</v>
      </c>
      <c r="O894" s="6"/>
      <c r="P894" s="6"/>
      <c r="Q894" s="7"/>
      <c r="R894" s="6"/>
      <c r="S894" s="6"/>
      <c r="T894" s="6"/>
      <c r="U894" s="5"/>
      <c r="V894" s="6"/>
      <c r="W894" s="6"/>
      <c r="X894" s="6"/>
      <c r="Y894" s="15"/>
      <c r="Z894" s="6"/>
      <c r="AA894" s="6"/>
      <c r="AB894" s="5"/>
      <c r="AC894" s="3"/>
      <c r="AD894" s="6">
        <v>0.001147169908</v>
      </c>
      <c r="AE894" s="6">
        <v>0.008147054244</v>
      </c>
      <c r="AF894" s="7">
        <v>4.7323550204</v>
      </c>
      <c r="AG894" s="6">
        <v>0</v>
      </c>
      <c r="AH894" s="7">
        <v>0</v>
      </c>
      <c r="AI894" s="15">
        <v>0.009294224152</v>
      </c>
      <c r="AJ894" s="6">
        <v>2.5442743851895813</v>
      </c>
      <c r="AK894" s="3"/>
      <c r="AL894" s="6">
        <v>62.31126139115484</v>
      </c>
      <c r="AM894" s="6">
        <v>5.953972219219643</v>
      </c>
      <c r="AN894" s="6">
        <v>48.43033184139146</v>
      </c>
      <c r="AO894" s="6">
        <v>7.926957330543737</v>
      </c>
      <c r="AP894" s="6">
        <v>0</v>
      </c>
      <c r="AQ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v>0</v>
      </c>
      <c r="AW894" s="6">
        <v>0</v>
      </c>
      <c r="AX894" s="6">
        <v>0</v>
      </c>
      <c r="AY894" s="6">
        <v>0</v>
      </c>
      <c r="AZ894" s="6">
        <v>0</v>
      </c>
      <c r="BA894" s="6">
        <v>0</v>
      </c>
      <c r="BB894" s="6">
        <v>0</v>
      </c>
      <c r="BC894" s="6"/>
      <c r="BD894" s="3"/>
      <c r="BE894" s="3"/>
      <c r="BF894" s="7">
        <v>22.762278861684305</v>
      </c>
    </row>
    <row x14ac:dyDescent="0.25" r="895" customHeight="1" ht="12.75">
      <c r="A895" s="5" t="s">
        <v>1038</v>
      </c>
      <c r="B895" s="16" t="s">
        <v>872</v>
      </c>
      <c r="C895" s="3" t="s">
        <v>1039</v>
      </c>
      <c r="D895" s="3" t="s">
        <v>994</v>
      </c>
      <c r="E895" s="3"/>
      <c r="F895" s="6">
        <f>100*SUM(AM895:AO895)/AL895</f>
      </c>
      <c r="G895" s="6">
        <f>100*SUM(AP895)/AL895</f>
      </c>
      <c r="H895" s="6">
        <f>100*SUM(AQ895)/AL895</f>
      </c>
      <c r="I895" s="6">
        <f>100*SUM(AR895:BC895)/AL895</f>
      </c>
      <c r="J895" s="3"/>
      <c r="K895" s="6">
        <v>5.3</v>
      </c>
      <c r="L895" s="6"/>
      <c r="M895" s="6">
        <v>4.9</v>
      </c>
      <c r="N895" s="5"/>
      <c r="O895" s="6"/>
      <c r="P895" s="6"/>
      <c r="Q895" s="7"/>
      <c r="R895" s="6"/>
      <c r="S895" s="6"/>
      <c r="T895" s="6"/>
      <c r="U895" s="5"/>
      <c r="V895" s="6"/>
      <c r="W895" s="6"/>
      <c r="X895" s="6"/>
      <c r="Y895" s="15"/>
      <c r="Z895" s="6"/>
      <c r="AA895" s="6"/>
      <c r="AB895" s="5"/>
      <c r="AC895" s="3"/>
      <c r="AD895" s="6">
        <v>0</v>
      </c>
      <c r="AE895" s="6">
        <v>0.25970000000000004</v>
      </c>
      <c r="AF895" s="7">
        <v>0</v>
      </c>
      <c r="AG895" s="6">
        <v>0</v>
      </c>
      <c r="AH895" s="7">
        <v>0</v>
      </c>
      <c r="AI895" s="15">
        <v>0.25970000000000004</v>
      </c>
      <c r="AJ895" s="6">
        <v>4.9</v>
      </c>
      <c r="AK895" s="3"/>
      <c r="AL895" s="6">
        <v>106.405019</v>
      </c>
      <c r="AM895" s="6">
        <v>0</v>
      </c>
      <c r="AN895" s="6">
        <v>106.405019</v>
      </c>
      <c r="AO895" s="6">
        <v>0</v>
      </c>
      <c r="AP895" s="6">
        <v>0</v>
      </c>
      <c r="AQ895" s="6">
        <v>0</v>
      </c>
      <c r="AR895" s="6">
        <v>0</v>
      </c>
      <c r="AS895" s="6">
        <v>0</v>
      </c>
      <c r="AT895" s="6">
        <v>0</v>
      </c>
      <c r="AU895" s="6">
        <v>0</v>
      </c>
      <c r="AV895" s="6">
        <v>0</v>
      </c>
      <c r="AW895" s="6">
        <v>0</v>
      </c>
      <c r="AX895" s="6">
        <v>0</v>
      </c>
      <c r="AY895" s="6">
        <v>0</v>
      </c>
      <c r="AZ895" s="6">
        <v>0</v>
      </c>
      <c r="BA895" s="6">
        <v>0</v>
      </c>
      <c r="BB895" s="6">
        <v>0</v>
      </c>
      <c r="BC895" s="6"/>
      <c r="BD895" s="3"/>
      <c r="BE895" s="3"/>
      <c r="BF895" s="7">
        <v>563.9466007</v>
      </c>
    </row>
    <row x14ac:dyDescent="0.25" r="896" customHeight="1" ht="12.75">
      <c r="A896" s="5" t="s">
        <v>1040</v>
      </c>
      <c r="B896" s="16" t="s">
        <v>872</v>
      </c>
      <c r="C896" s="3" t="s">
        <v>1039</v>
      </c>
      <c r="D896" s="3" t="s">
        <v>989</v>
      </c>
      <c r="E896" s="3"/>
      <c r="F896" s="6">
        <f>100*SUM(AM896:AO896)/AL896</f>
      </c>
      <c r="G896" s="6">
        <f>100*SUM(AP896)/AL896</f>
      </c>
      <c r="H896" s="6">
        <f>100*SUM(AQ896)/AL896</f>
      </c>
      <c r="I896" s="6">
        <f>100*SUM(AR896:BC896)/AL896</f>
      </c>
      <c r="J896" s="3"/>
      <c r="K896" s="23">
        <v>5.304946</v>
      </c>
      <c r="L896" s="7">
        <v>0.6</v>
      </c>
      <c r="M896" s="7">
        <v>0.2</v>
      </c>
      <c r="N896" s="31">
        <v>104.99999999999999</v>
      </c>
      <c r="O896" s="6"/>
      <c r="P896" s="6"/>
      <c r="Q896" s="7"/>
      <c r="R896" s="6"/>
      <c r="S896" s="6"/>
      <c r="T896" s="6"/>
      <c r="U896" s="5"/>
      <c r="V896" s="6"/>
      <c r="W896" s="6"/>
      <c r="X896" s="6"/>
      <c r="Y896" s="15"/>
      <c r="Z896" s="6"/>
      <c r="AA896" s="6"/>
      <c r="AB896" s="5"/>
      <c r="AC896" s="3"/>
      <c r="AD896" s="6">
        <v>0.031829676</v>
      </c>
      <c r="AE896" s="6">
        <v>0.010609892000000001</v>
      </c>
      <c r="AF896" s="7">
        <v>557.01933</v>
      </c>
      <c r="AG896" s="6">
        <v>0</v>
      </c>
      <c r="AH896" s="7">
        <v>0</v>
      </c>
      <c r="AI896" s="15">
        <v>0.042439568000000004</v>
      </c>
      <c r="AJ896" s="6">
        <v>0.8</v>
      </c>
      <c r="AK896" s="3"/>
      <c r="AL896" s="6">
        <v>79.9679941414791</v>
      </c>
      <c r="AM896" s="6">
        <v>11.375736</v>
      </c>
      <c r="AN896" s="6">
        <v>4.343062</v>
      </c>
      <c r="AO896" s="6">
        <v>64.2491961414791</v>
      </c>
      <c r="AP896" s="6">
        <v>0</v>
      </c>
      <c r="AQ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v>0</v>
      </c>
      <c r="AW896" s="6">
        <v>0</v>
      </c>
      <c r="AX896" s="6">
        <v>0</v>
      </c>
      <c r="AY896" s="6">
        <v>0</v>
      </c>
      <c r="AZ896" s="6">
        <v>0</v>
      </c>
      <c r="BA896" s="6">
        <v>0</v>
      </c>
      <c r="BB896" s="6">
        <v>0</v>
      </c>
      <c r="BC896" s="6"/>
      <c r="BD896" s="3"/>
      <c r="BE896" s="3"/>
      <c r="BF896" s="7">
        <v>424.22589064886296</v>
      </c>
    </row>
    <row x14ac:dyDescent="0.25" r="897" customHeight="1" ht="12.75">
      <c r="A897" s="5" t="s">
        <v>1041</v>
      </c>
      <c r="B897" s="16" t="s">
        <v>872</v>
      </c>
      <c r="C897" s="3" t="s">
        <v>1039</v>
      </c>
      <c r="D897" s="3"/>
      <c r="E897" s="3"/>
      <c r="F897" s="6">
        <f>100*SUM(AM897:AO897)/AL897</f>
      </c>
      <c r="G897" s="6">
        <f>100*SUM(AP897)/AL897</f>
      </c>
      <c r="H897" s="6">
        <f>100*SUM(AQ897)/AL897</f>
      </c>
      <c r="I897" s="6">
        <f>100*SUM(AR897:BC897)/AL897</f>
      </c>
      <c r="J897" s="3"/>
      <c r="K897" s="6">
        <v>0.61</v>
      </c>
      <c r="L897" s="6">
        <v>0.3</v>
      </c>
      <c r="M897" s="6">
        <v>2.1</v>
      </c>
      <c r="N897" s="6">
        <v>7.6</v>
      </c>
      <c r="O897" s="6"/>
      <c r="P897" s="6"/>
      <c r="Q897" s="7"/>
      <c r="R897" s="6"/>
      <c r="S897" s="6"/>
      <c r="T897" s="6"/>
      <c r="U897" s="5"/>
      <c r="V897" s="6"/>
      <c r="W897" s="6"/>
      <c r="X897" s="6"/>
      <c r="Y897" s="15"/>
      <c r="Z897" s="6"/>
      <c r="AA897" s="6"/>
      <c r="AB897" s="5"/>
      <c r="AC897" s="3"/>
      <c r="AD897" s="6">
        <v>0.00183</v>
      </c>
      <c r="AE897" s="6">
        <v>0.012809999999999998</v>
      </c>
      <c r="AF897" s="7">
        <v>4.636</v>
      </c>
      <c r="AG897" s="6">
        <v>0</v>
      </c>
      <c r="AH897" s="7">
        <v>0</v>
      </c>
      <c r="AI897" s="15">
        <v>0.014639999999999999</v>
      </c>
      <c r="AJ897" s="6">
        <v>2.4</v>
      </c>
      <c r="AK897" s="3"/>
      <c r="AL897" s="6">
        <v>55.94043700643087</v>
      </c>
      <c r="AM897" s="6">
        <v>5.687868</v>
      </c>
      <c r="AN897" s="6">
        <v>45.602151</v>
      </c>
      <c r="AO897" s="6">
        <v>4.6504180064308684</v>
      </c>
      <c r="AP897" s="6">
        <v>0</v>
      </c>
      <c r="AQ897" s="6">
        <v>0</v>
      </c>
      <c r="AR897" s="6">
        <v>0</v>
      </c>
      <c r="AS897" s="6">
        <v>0</v>
      </c>
      <c r="AT897" s="6">
        <v>0</v>
      </c>
      <c r="AU897" s="6">
        <v>0</v>
      </c>
      <c r="AV897" s="6">
        <v>0</v>
      </c>
      <c r="AW897" s="6">
        <v>0</v>
      </c>
      <c r="AX897" s="6">
        <v>0</v>
      </c>
      <c r="AY897" s="6">
        <v>0</v>
      </c>
      <c r="AZ897" s="6">
        <v>0</v>
      </c>
      <c r="BA897" s="6">
        <v>0</v>
      </c>
      <c r="BB897" s="6">
        <v>0</v>
      </c>
      <c r="BC897" s="6"/>
      <c r="BD897" s="3"/>
      <c r="BE897" s="3"/>
      <c r="BF897" s="7">
        <v>34.12366657392283</v>
      </c>
    </row>
    <row x14ac:dyDescent="0.25" r="898" customHeight="1" ht="12.75">
      <c r="A898" s="5" t="s">
        <v>1042</v>
      </c>
      <c r="B898" s="16" t="s">
        <v>872</v>
      </c>
      <c r="C898" s="3" t="s">
        <v>1043</v>
      </c>
      <c r="D898" s="3"/>
      <c r="E898" s="3"/>
      <c r="F898" s="6">
        <f>100*SUM(AM898:AO898)/AL898</f>
      </c>
      <c r="G898" s="6">
        <f>100*SUM(AP898)/AL898</f>
      </c>
      <c r="H898" s="6">
        <f>100*SUM(AQ898)/AL898</f>
      </c>
      <c r="I898" s="6">
        <f>100*SUM(AR898:BC898)/AL898</f>
      </c>
      <c r="J898" s="3"/>
      <c r="K898" s="6">
        <v>4.192</v>
      </c>
      <c r="L898" s="6"/>
      <c r="M898" s="6">
        <v>1.93</v>
      </c>
      <c r="N898" s="5"/>
      <c r="O898" s="6"/>
      <c r="P898" s="6"/>
      <c r="Q898" s="7"/>
      <c r="R898" s="6"/>
      <c r="S898" s="6"/>
      <c r="T898" s="6"/>
      <c r="U898" s="5"/>
      <c r="V898" s="6"/>
      <c r="W898" s="6"/>
      <c r="X898" s="6"/>
      <c r="Y898" s="15"/>
      <c r="Z898" s="6"/>
      <c r="AA898" s="6"/>
      <c r="AB898" s="5"/>
      <c r="AC898" s="3"/>
      <c r="AD898" s="6">
        <v>0</v>
      </c>
      <c r="AE898" s="6">
        <v>0.0809056</v>
      </c>
      <c r="AF898" s="7">
        <v>0</v>
      </c>
      <c r="AG898" s="6">
        <v>0</v>
      </c>
      <c r="AH898" s="7">
        <v>0</v>
      </c>
      <c r="AI898" s="15">
        <v>0.0809056</v>
      </c>
      <c r="AJ898" s="6">
        <v>1.93</v>
      </c>
      <c r="AK898" s="3"/>
      <c r="AL898" s="6">
        <v>41.910548299999995</v>
      </c>
      <c r="AM898" s="6">
        <v>0</v>
      </c>
      <c r="AN898" s="6">
        <v>41.910548299999995</v>
      </c>
      <c r="AO898" s="6">
        <v>0</v>
      </c>
      <c r="AP898" s="6">
        <v>0</v>
      </c>
      <c r="AQ898" s="6">
        <v>0</v>
      </c>
      <c r="AR898" s="6">
        <v>0</v>
      </c>
      <c r="AS898" s="6">
        <v>0</v>
      </c>
      <c r="AT898" s="6">
        <v>0</v>
      </c>
      <c r="AU898" s="6">
        <v>0</v>
      </c>
      <c r="AV898" s="6">
        <v>0</v>
      </c>
      <c r="AW898" s="6">
        <v>0</v>
      </c>
      <c r="AX898" s="6">
        <v>0</v>
      </c>
      <c r="AY898" s="6">
        <v>0</v>
      </c>
      <c r="AZ898" s="6">
        <v>0</v>
      </c>
      <c r="BA898" s="6">
        <v>0</v>
      </c>
      <c r="BB898" s="6">
        <v>0</v>
      </c>
      <c r="BC898" s="6"/>
      <c r="BD898" s="3"/>
      <c r="BE898" s="3"/>
      <c r="BF898" s="7">
        <v>175.6890184736</v>
      </c>
    </row>
    <row x14ac:dyDescent="0.25" r="899" customHeight="1" ht="12.75">
      <c r="A899" s="5" t="s">
        <v>1044</v>
      </c>
      <c r="B899" s="12" t="s">
        <v>872</v>
      </c>
      <c r="C899" s="3" t="s">
        <v>1045</v>
      </c>
      <c r="D899" s="3" t="s">
        <v>1046</v>
      </c>
      <c r="E899" s="3"/>
      <c r="F899" s="6">
        <f>100*SUM(AM899:AO899)/AL899</f>
      </c>
      <c r="G899" s="6">
        <f>100*SUM(AP899)/AL899</f>
      </c>
      <c r="H899" s="6">
        <f>100*SUM(AQ899)/AL899</f>
      </c>
      <c r="I899" s="6">
        <f>100*SUM(AR899:BC899)/AL899</f>
      </c>
      <c r="J899" s="3"/>
      <c r="K899" s="6">
        <v>0.42</v>
      </c>
      <c r="L899" s="6">
        <v>1.5</v>
      </c>
      <c r="M899" s="6">
        <v>13.6</v>
      </c>
      <c r="N899" s="5">
        <v>55</v>
      </c>
      <c r="O899" s="6"/>
      <c r="P899" s="6"/>
      <c r="Q899" s="7"/>
      <c r="R899" s="6"/>
      <c r="S899" s="6"/>
      <c r="T899" s="6"/>
      <c r="U899" s="5">
        <v>48</v>
      </c>
      <c r="V899" s="6"/>
      <c r="W899" s="6"/>
      <c r="X899" s="6"/>
      <c r="Y899" s="15"/>
      <c r="Z899" s="6"/>
      <c r="AA899" s="6"/>
      <c r="AB899" s="5"/>
      <c r="AC899" s="3"/>
      <c r="AD899" s="6">
        <v>0.0063</v>
      </c>
      <c r="AE899" s="6">
        <v>0.05712</v>
      </c>
      <c r="AF899" s="7">
        <v>23.099999999999998</v>
      </c>
      <c r="AG899" s="6">
        <v>0</v>
      </c>
      <c r="AH899" s="7">
        <v>0</v>
      </c>
      <c r="AI899" s="15">
        <v>0.06342</v>
      </c>
      <c r="AJ899" s="6">
        <v>15.1</v>
      </c>
      <c r="AK899" s="3"/>
      <c r="AL899" s="6">
        <v>392.7018968360129</v>
      </c>
      <c r="AM899" s="6">
        <v>28.439339999999998</v>
      </c>
      <c r="AN899" s="6">
        <v>295.328216</v>
      </c>
      <c r="AO899" s="6">
        <v>33.65434083601287</v>
      </c>
      <c r="AP899" s="6">
        <v>0</v>
      </c>
      <c r="AQ899" s="6">
        <v>0</v>
      </c>
      <c r="AR899" s="6">
        <v>0</v>
      </c>
      <c r="AS899" s="6">
        <v>0</v>
      </c>
      <c r="AT899" s="6">
        <v>0</v>
      </c>
      <c r="AU899" s="6">
        <v>0</v>
      </c>
      <c r="AV899" s="6">
        <v>35.28</v>
      </c>
      <c r="AW899" s="6">
        <v>0</v>
      </c>
      <c r="AX899" s="6">
        <v>0</v>
      </c>
      <c r="AY899" s="6">
        <v>0</v>
      </c>
      <c r="AZ899" s="6">
        <v>0</v>
      </c>
      <c r="BA899" s="6">
        <v>0</v>
      </c>
      <c r="BB899" s="6">
        <v>0</v>
      </c>
      <c r="BC899" s="6"/>
      <c r="BD899" s="3"/>
      <c r="BE899" s="3"/>
      <c r="BF899" s="7">
        <v>164.9347966711254</v>
      </c>
    </row>
    <row x14ac:dyDescent="0.25" r="900" customHeight="1" ht="12.75">
      <c r="A900" s="5" t="s">
        <v>1047</v>
      </c>
      <c r="B900" s="16" t="s">
        <v>872</v>
      </c>
      <c r="C900" s="3" t="s">
        <v>1048</v>
      </c>
      <c r="D900" s="3"/>
      <c r="E900" s="3"/>
      <c r="F900" s="6">
        <f>100*SUM(AM900:AO900)/AL900</f>
      </c>
      <c r="G900" s="6">
        <f>100*SUM(AP900)/AL900</f>
      </c>
      <c r="H900" s="6">
        <f>100*SUM(AQ900)/AL900</f>
      </c>
      <c r="I900" s="6">
        <f>100*SUM(AR900:BC900)/AL900</f>
      </c>
      <c r="J900" s="3"/>
      <c r="K900" s="6">
        <v>1.15</v>
      </c>
      <c r="L900" s="6">
        <v>0.44</v>
      </c>
      <c r="M900" s="6">
        <v>2.26</v>
      </c>
      <c r="N900" s="7">
        <v>5.13</v>
      </c>
      <c r="O900" s="7">
        <v>0.23</v>
      </c>
      <c r="P900" s="7">
        <v>0.38</v>
      </c>
      <c r="Q900" s="7"/>
      <c r="R900" s="6"/>
      <c r="S900" s="6"/>
      <c r="T900" s="6"/>
      <c r="U900" s="5"/>
      <c r="V900" s="6"/>
      <c r="W900" s="6"/>
      <c r="X900" s="6"/>
      <c r="Y900" s="15"/>
      <c r="Z900" s="6"/>
      <c r="AA900" s="6"/>
      <c r="AB900" s="5"/>
      <c r="AC900" s="3"/>
      <c r="AD900" s="6">
        <v>0.00506</v>
      </c>
      <c r="AE900" s="6">
        <v>0.02599</v>
      </c>
      <c r="AF900" s="7">
        <v>5.8995</v>
      </c>
      <c r="AG900" s="6">
        <v>0.002645</v>
      </c>
      <c r="AH900" s="7">
        <v>0.43699999999999994</v>
      </c>
      <c r="AI900" s="15">
        <v>0.033695</v>
      </c>
      <c r="AJ900" s="6">
        <v>2.9299999999999997</v>
      </c>
      <c r="AK900" s="3"/>
      <c r="AL900" s="6">
        <v>92.04785104180064</v>
      </c>
      <c r="AM900" s="6">
        <v>8.3422064</v>
      </c>
      <c r="AN900" s="6">
        <v>49.0766006</v>
      </c>
      <c r="AO900" s="6">
        <v>3.1390321543408364</v>
      </c>
      <c r="AP900" s="6">
        <v>15.972327</v>
      </c>
      <c r="AQ900" s="6">
        <v>15.517684887459808</v>
      </c>
      <c r="AR900" s="6">
        <v>0</v>
      </c>
      <c r="AS900" s="6">
        <v>0</v>
      </c>
      <c r="AT900" s="6">
        <v>0</v>
      </c>
      <c r="AU900" s="6">
        <v>0</v>
      </c>
      <c r="AV900" s="6">
        <v>0</v>
      </c>
      <c r="AW900" s="6">
        <v>0</v>
      </c>
      <c r="AX900" s="6">
        <v>0</v>
      </c>
      <c r="AY900" s="6">
        <v>0</v>
      </c>
      <c r="AZ900" s="6">
        <v>0</v>
      </c>
      <c r="BA900" s="6">
        <v>0</v>
      </c>
      <c r="BB900" s="6">
        <v>0</v>
      </c>
      <c r="BC900" s="6"/>
      <c r="BD900" s="3"/>
      <c r="BE900" s="3"/>
      <c r="BF900" s="7">
        <v>105.85502869807073</v>
      </c>
    </row>
    <row x14ac:dyDescent="0.25" r="901" customHeight="1" ht="12.75">
      <c r="A901" s="5" t="s">
        <v>1049</v>
      </c>
      <c r="B901" s="16" t="s">
        <v>872</v>
      </c>
      <c r="C901" s="3" t="s">
        <v>1048</v>
      </c>
      <c r="D901" s="3" t="s">
        <v>1050</v>
      </c>
      <c r="E901" s="3"/>
      <c r="F901" s="6">
        <f>100*SUM(AM901:AO901)/AL901</f>
      </c>
      <c r="G901" s="6">
        <f>100*SUM(AP901)/AL901</f>
      </c>
      <c r="H901" s="6">
        <f>100*SUM(AQ901)/AL901</f>
      </c>
      <c r="I901" s="6">
        <f>100*SUM(AR901:BC901)/AL901</f>
      </c>
      <c r="J901" s="3"/>
      <c r="K901" s="6">
        <v>9.5</v>
      </c>
      <c r="L901" s="7">
        <v>3</v>
      </c>
      <c r="M901" s="6">
        <v>2.5</v>
      </c>
      <c r="N901" s="5">
        <v>104</v>
      </c>
      <c r="O901" s="6">
        <v>0.2</v>
      </c>
      <c r="P901" s="6">
        <v>2.6</v>
      </c>
      <c r="Q901" s="7"/>
      <c r="R901" s="6"/>
      <c r="S901" s="6"/>
      <c r="T901" s="6"/>
      <c r="U901" s="5"/>
      <c r="V901" s="6"/>
      <c r="W901" s="6"/>
      <c r="X901" s="6"/>
      <c r="Y901" s="15"/>
      <c r="Z901" s="6"/>
      <c r="AA901" s="6"/>
      <c r="AB901" s="5"/>
      <c r="AC901" s="3"/>
      <c r="AD901" s="6">
        <v>0.285</v>
      </c>
      <c r="AE901" s="6">
        <v>0.2375</v>
      </c>
      <c r="AF901" s="7">
        <v>988</v>
      </c>
      <c r="AG901" s="6">
        <v>0.019000000000000003</v>
      </c>
      <c r="AH901" s="7">
        <v>24.7</v>
      </c>
      <c r="AI901" s="15">
        <v>0.5415</v>
      </c>
      <c r="AJ901" s="6">
        <v>5.7</v>
      </c>
      <c r="AK901" s="3"/>
      <c r="AL901" s="6">
        <v>294.86686747588425</v>
      </c>
      <c r="AM901" s="6">
        <v>56.878679999999996</v>
      </c>
      <c r="AN901" s="6">
        <v>54.288275</v>
      </c>
      <c r="AO901" s="6">
        <v>63.63729903536978</v>
      </c>
      <c r="AP901" s="6">
        <v>13.88898</v>
      </c>
      <c r="AQ901" s="6">
        <v>106.17363344051448</v>
      </c>
      <c r="AR901" s="6">
        <v>0</v>
      </c>
      <c r="AS901" s="6">
        <v>0</v>
      </c>
      <c r="AT901" s="6">
        <v>0</v>
      </c>
      <c r="AU901" s="6">
        <v>0</v>
      </c>
      <c r="AV901" s="6">
        <v>0</v>
      </c>
      <c r="AW901" s="6">
        <v>0</v>
      </c>
      <c r="AX901" s="6">
        <v>0</v>
      </c>
      <c r="AY901" s="6">
        <v>0</v>
      </c>
      <c r="AZ901" s="6">
        <v>0</v>
      </c>
      <c r="BA901" s="6">
        <v>0</v>
      </c>
      <c r="BB901" s="6">
        <v>0</v>
      </c>
      <c r="BC901" s="6"/>
      <c r="BD901" s="3"/>
      <c r="BE901" s="3"/>
      <c r="BF901" s="7">
        <v>2801.2352410209005</v>
      </c>
    </row>
    <row x14ac:dyDescent="0.25" r="902" customHeight="1" ht="12.75">
      <c r="A902" s="5" t="s">
        <v>1051</v>
      </c>
      <c r="B902" s="16" t="s">
        <v>872</v>
      </c>
      <c r="C902" s="3" t="s">
        <v>1048</v>
      </c>
      <c r="D902" s="3"/>
      <c r="E902" s="3"/>
      <c r="F902" s="6">
        <f>100*SUM(AM902:AO902)/AL902</f>
      </c>
      <c r="G902" s="6">
        <f>100*SUM(AP902)/AL902</f>
      </c>
      <c r="H902" s="6">
        <f>100*SUM(AQ902)/AL902</f>
      </c>
      <c r="I902" s="6">
        <f>100*SUM(AR902:BC902)/AL902</f>
      </c>
      <c r="J902" s="3"/>
      <c r="K902" s="6">
        <v>6.699999999999999</v>
      </c>
      <c r="L902" s="6">
        <v>0.34328358208955223</v>
      </c>
      <c r="M902" s="6">
        <v>0.6432835820895523</v>
      </c>
      <c r="N902" s="7">
        <v>11.432835820895523</v>
      </c>
      <c r="O902" s="6">
        <v>0.035671641791044775</v>
      </c>
      <c r="P902" s="7">
        <v>1.0432835820895523</v>
      </c>
      <c r="Q902" s="7"/>
      <c r="R902" s="6"/>
      <c r="S902" s="6"/>
      <c r="T902" s="6"/>
      <c r="U902" s="5"/>
      <c r="V902" s="6"/>
      <c r="W902" s="6"/>
      <c r="X902" s="6"/>
      <c r="Y902" s="15"/>
      <c r="Z902" s="6"/>
      <c r="AA902" s="6"/>
      <c r="AB902" s="5"/>
      <c r="AC902" s="3"/>
      <c r="AD902" s="6">
        <v>0.023</v>
      </c>
      <c r="AE902" s="6">
        <v>0.0431</v>
      </c>
      <c r="AF902" s="7">
        <v>76.6</v>
      </c>
      <c r="AG902" s="6">
        <v>0.0023899999999999998</v>
      </c>
      <c r="AH902" s="7">
        <v>6.989999999999999</v>
      </c>
      <c r="AI902" s="15">
        <v>0.06849</v>
      </c>
      <c r="AJ902" s="6">
        <v>1.0222388059701493</v>
      </c>
      <c r="AK902" s="3"/>
      <c r="AL902" s="6">
        <v>72.55408260171811</v>
      </c>
      <c r="AM902" s="6">
        <v>6.50850567164179</v>
      </c>
      <c r="AN902" s="6">
        <v>13.969102402985076</v>
      </c>
      <c r="AO902" s="6">
        <v>6.995719153428998</v>
      </c>
      <c r="AP902" s="6">
        <v>2.4772135970149254</v>
      </c>
      <c r="AQ902" s="6">
        <v>42.60354177664731</v>
      </c>
      <c r="AR902" s="6">
        <v>0</v>
      </c>
      <c r="AS902" s="6">
        <v>0</v>
      </c>
      <c r="AT902" s="6">
        <v>0</v>
      </c>
      <c r="AU902" s="6">
        <v>0</v>
      </c>
      <c r="AV902" s="6">
        <v>0</v>
      </c>
      <c r="AW902" s="6">
        <v>0</v>
      </c>
      <c r="AX902" s="6">
        <v>0</v>
      </c>
      <c r="AY902" s="6">
        <v>0</v>
      </c>
      <c r="AZ902" s="6">
        <v>0</v>
      </c>
      <c r="BA902" s="6">
        <v>0</v>
      </c>
      <c r="BB902" s="6">
        <v>0</v>
      </c>
      <c r="BC902" s="6"/>
      <c r="BD902" s="3"/>
      <c r="BE902" s="3"/>
      <c r="BF902" s="7">
        <v>486.1123534315113</v>
      </c>
    </row>
    <row x14ac:dyDescent="0.25" r="903" customHeight="1" ht="12.75">
      <c r="A903" s="5" t="s">
        <v>1052</v>
      </c>
      <c r="B903" s="3" t="s">
        <v>872</v>
      </c>
      <c r="C903" s="3" t="s">
        <v>1053</v>
      </c>
      <c r="D903" s="3" t="s">
        <v>1004</v>
      </c>
      <c r="E903" s="3"/>
      <c r="F903" s="6">
        <f>100*SUM(AM903:AO903)/AL903</f>
      </c>
      <c r="G903" s="6">
        <f>100*SUM(AP903)/AL903</f>
      </c>
      <c r="H903" s="6">
        <f>100*SUM(AQ903)/AL903</f>
      </c>
      <c r="I903" s="6">
        <f>100*SUM(AR903:BC903)/AL903</f>
      </c>
      <c r="J903" s="3"/>
      <c r="K903" s="6">
        <v>11.65</v>
      </c>
      <c r="L903" s="6">
        <v>1.3484120171673821</v>
      </c>
      <c r="M903" s="6">
        <v>2.285579399141631</v>
      </c>
      <c r="N903" s="31">
        <v>31.8068669527897</v>
      </c>
      <c r="O903" s="6">
        <v>0.504549356223176</v>
      </c>
      <c r="P903" s="6">
        <v>0.29420600858369095</v>
      </c>
      <c r="Q903" s="7"/>
      <c r="R903" s="6"/>
      <c r="S903" s="6"/>
      <c r="T903" s="6"/>
      <c r="U903" s="5"/>
      <c r="V903" s="6"/>
      <c r="W903" s="6"/>
      <c r="X903" s="6"/>
      <c r="Y903" s="15"/>
      <c r="Z903" s="6"/>
      <c r="AA903" s="6"/>
      <c r="AB903" s="5"/>
      <c r="AC903" s="3"/>
      <c r="AD903" s="6">
        <v>0.15709</v>
      </c>
      <c r="AE903" s="6">
        <v>0.26627</v>
      </c>
      <c r="AF903" s="7">
        <v>370.55</v>
      </c>
      <c r="AG903" s="6">
        <v>0.05878</v>
      </c>
      <c r="AH903" s="7">
        <v>3.4274999999999998</v>
      </c>
      <c r="AI903" s="15">
        <v>0.48214</v>
      </c>
      <c r="AJ903" s="6">
        <v>4.138540772532189</v>
      </c>
      <c r="AK903" s="3"/>
      <c r="AL903" s="6">
        <v>141.71247350750315</v>
      </c>
      <c r="AM903" s="6">
        <v>25.565298544206012</v>
      </c>
      <c r="AN903" s="6">
        <v>49.63206518197425</v>
      </c>
      <c r="AO903" s="6">
        <v>19.462529842816338</v>
      </c>
      <c r="AP903" s="6">
        <v>35.03837958798284</v>
      </c>
      <c r="AQ903" s="6">
        <v>12.014200350523714</v>
      </c>
      <c r="AR903" s="6">
        <v>0</v>
      </c>
      <c r="AS903" s="6">
        <v>0</v>
      </c>
      <c r="AT903" s="6">
        <v>0</v>
      </c>
      <c r="AU903" s="6">
        <v>0</v>
      </c>
      <c r="AV903" s="6">
        <v>0</v>
      </c>
      <c r="AW903" s="6">
        <v>0</v>
      </c>
      <c r="AX903" s="6">
        <v>0</v>
      </c>
      <c r="AY903" s="6">
        <v>0</v>
      </c>
      <c r="AZ903" s="6">
        <v>0</v>
      </c>
      <c r="BA903" s="6">
        <v>0</v>
      </c>
      <c r="BB903" s="6">
        <v>0</v>
      </c>
      <c r="BC903" s="6"/>
      <c r="BD903" s="3"/>
      <c r="BE903" s="3"/>
      <c r="BF903" s="7">
        <v>1650.9503163624117</v>
      </c>
    </row>
    <row x14ac:dyDescent="0.25" r="904" customHeight="1" ht="12.75">
      <c r="A904" s="5" t="s">
        <v>1054</v>
      </c>
      <c r="B904" s="16" t="s">
        <v>872</v>
      </c>
      <c r="C904" s="3" t="s">
        <v>1048</v>
      </c>
      <c r="D904" s="3"/>
      <c r="E904" s="3"/>
      <c r="F904" s="6">
        <f>100*SUM(AM904:AO904)/AL904</f>
      </c>
      <c r="G904" s="6">
        <f>100*SUM(AP904)/AL904</f>
      </c>
      <c r="H904" s="6">
        <f>100*SUM(AQ904)/AL904</f>
      </c>
      <c r="I904" s="6">
        <f>100*SUM(AR904:BC904)/AL904</f>
      </c>
      <c r="J904" s="3"/>
      <c r="K904" s="5">
        <v>88</v>
      </c>
      <c r="L904" s="7">
        <v>0.2</v>
      </c>
      <c r="M904" s="6">
        <v>0.43409090909090914</v>
      </c>
      <c r="N904" s="7">
        <v>5.131818181818182</v>
      </c>
      <c r="O904" s="6">
        <v>0.05340909090909091</v>
      </c>
      <c r="P904" s="7">
        <v>0.6318181818181817</v>
      </c>
      <c r="Q904" s="7"/>
      <c r="R904" s="6"/>
      <c r="S904" s="6"/>
      <c r="T904" s="6"/>
      <c r="U904" s="5"/>
      <c r="V904" s="6"/>
      <c r="W904" s="6"/>
      <c r="X904" s="6"/>
      <c r="Y904" s="15"/>
      <c r="Z904" s="6"/>
      <c r="AA904" s="6"/>
      <c r="AB904" s="5"/>
      <c r="AC904" s="3"/>
      <c r="AD904" s="6">
        <v>0.17600000000000002</v>
      </c>
      <c r="AE904" s="6">
        <v>0.382</v>
      </c>
      <c r="AF904" s="7">
        <v>451.6</v>
      </c>
      <c r="AG904" s="6">
        <v>0.047</v>
      </c>
      <c r="AH904" s="7">
        <v>55.599999999999994</v>
      </c>
      <c r="AI904" s="15">
        <v>0.6050000000000001</v>
      </c>
      <c r="AJ904" s="6">
        <v>0.6875000000000001</v>
      </c>
      <c r="AK904" s="3"/>
      <c r="AL904" s="6">
        <v>45.86839972990354</v>
      </c>
      <c r="AM904" s="6">
        <v>3.791912</v>
      </c>
      <c r="AN904" s="6">
        <v>9.42641865909091</v>
      </c>
      <c r="AO904" s="6">
        <v>3.1401446945337623</v>
      </c>
      <c r="AP904" s="6">
        <v>3.708988977272727</v>
      </c>
      <c r="AQ904" s="6">
        <v>25.800935399006136</v>
      </c>
      <c r="AR904" s="6">
        <v>0</v>
      </c>
      <c r="AS904" s="6">
        <v>0</v>
      </c>
      <c r="AT904" s="6">
        <v>0</v>
      </c>
      <c r="AU904" s="6">
        <v>0</v>
      </c>
      <c r="AV904" s="6">
        <v>0</v>
      </c>
      <c r="AW904" s="6">
        <v>0</v>
      </c>
      <c r="AX904" s="6">
        <v>0</v>
      </c>
      <c r="AY904" s="6">
        <v>0</v>
      </c>
      <c r="AZ904" s="6">
        <v>0</v>
      </c>
      <c r="BA904" s="6">
        <v>0</v>
      </c>
      <c r="BB904" s="6">
        <v>0</v>
      </c>
      <c r="BC904" s="6"/>
      <c r="BD904" s="3"/>
      <c r="BE904" s="3"/>
      <c r="BF904" s="7">
        <v>4036.4191762315113</v>
      </c>
    </row>
    <row x14ac:dyDescent="0.25" r="905" customHeight="1" ht="12.75">
      <c r="A905" s="5" t="s">
        <v>1055</v>
      </c>
      <c r="B905" s="16" t="s">
        <v>872</v>
      </c>
      <c r="C905" s="3" t="s">
        <v>1039</v>
      </c>
      <c r="D905" s="3" t="s">
        <v>994</v>
      </c>
      <c r="E905" s="3"/>
      <c r="F905" s="6">
        <f>100*SUM(AM905:AO905)/AL905</f>
      </c>
      <c r="G905" s="6">
        <f>100*SUM(AP905)/AL905</f>
      </c>
      <c r="H905" s="6">
        <f>100*SUM(AQ905)/AL905</f>
      </c>
      <c r="I905" s="6">
        <f>100*SUM(AR905:BC905)/AL905</f>
      </c>
      <c r="J905" s="3"/>
      <c r="K905" s="5">
        <v>12</v>
      </c>
      <c r="L905" s="6">
        <v>0.77</v>
      </c>
      <c r="M905" s="6">
        <v>0.63</v>
      </c>
      <c r="N905" s="6">
        <v>12.74</v>
      </c>
      <c r="O905" s="6">
        <v>0.48</v>
      </c>
      <c r="P905" s="6"/>
      <c r="Q905" s="7"/>
      <c r="R905" s="6"/>
      <c r="S905" s="6"/>
      <c r="T905" s="6"/>
      <c r="U905" s="5"/>
      <c r="V905" s="6"/>
      <c r="W905" s="6"/>
      <c r="X905" s="6"/>
      <c r="Y905" s="15"/>
      <c r="Z905" s="6"/>
      <c r="AA905" s="6"/>
      <c r="AB905" s="5"/>
      <c r="AC905" s="3"/>
      <c r="AD905" s="6">
        <v>0.0924</v>
      </c>
      <c r="AE905" s="6">
        <v>0.0756</v>
      </c>
      <c r="AF905" s="7">
        <v>152.88</v>
      </c>
      <c r="AG905" s="6">
        <v>0.0576</v>
      </c>
      <c r="AH905" s="7">
        <v>0</v>
      </c>
      <c r="AI905" s="15">
        <v>0.22559999999999997</v>
      </c>
      <c r="AJ905" s="6">
        <v>1.88</v>
      </c>
      <c r="AK905" s="3"/>
      <c r="AL905" s="6">
        <v>69.40862763183279</v>
      </c>
      <c r="AM905" s="6">
        <v>14.5988612</v>
      </c>
      <c r="AN905" s="6">
        <v>13.6806453</v>
      </c>
      <c r="AO905" s="6">
        <v>7.795569131832798</v>
      </c>
      <c r="AP905" s="6">
        <v>33.333552</v>
      </c>
      <c r="AQ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v>0</v>
      </c>
      <c r="AW905" s="6">
        <v>0</v>
      </c>
      <c r="AX905" s="6">
        <v>0</v>
      </c>
      <c r="AY905" s="6">
        <v>0</v>
      </c>
      <c r="AZ905" s="6">
        <v>0</v>
      </c>
      <c r="BA905" s="6">
        <v>0</v>
      </c>
      <c r="BB905" s="6">
        <v>0</v>
      </c>
      <c r="BC905" s="6"/>
      <c r="BD905" s="3"/>
      <c r="BE905" s="3"/>
      <c r="BF905" s="7">
        <v>832.9035315819934</v>
      </c>
    </row>
    <row x14ac:dyDescent="0.25" r="906" customHeight="1" ht="12.75">
      <c r="A906" s="5" t="s">
        <v>1056</v>
      </c>
      <c r="B906" s="16" t="s">
        <v>874</v>
      </c>
      <c r="C906" s="3" t="s">
        <v>1039</v>
      </c>
      <c r="D906" s="3" t="s">
        <v>989</v>
      </c>
      <c r="E906" s="3"/>
      <c r="F906" s="6">
        <f>100*SUM(AM906:AO906)/AL906</f>
      </c>
      <c r="G906" s="6">
        <f>100*SUM(AP906)/AL906</f>
      </c>
      <c r="H906" s="6">
        <f>100*SUM(AQ906)/AL906</f>
      </c>
      <c r="I906" s="6">
        <f>100*SUM(AR906:BC906)/AL906</f>
      </c>
      <c r="J906" s="3"/>
      <c r="K906" s="6">
        <v>0.6</v>
      </c>
      <c r="L906" s="6">
        <v>7.3</v>
      </c>
      <c r="M906" s="6">
        <v>10.5</v>
      </c>
      <c r="N906" s="5"/>
      <c r="O906" s="6"/>
      <c r="P906" s="6"/>
      <c r="Q906" s="7"/>
      <c r="R906" s="6"/>
      <c r="S906" s="6"/>
      <c r="T906" s="6"/>
      <c r="U906" s="5"/>
      <c r="V906" s="6"/>
      <c r="W906" s="6"/>
      <c r="X906" s="6"/>
      <c r="Y906" s="15"/>
      <c r="Z906" s="6"/>
      <c r="AA906" s="6"/>
      <c r="AB906" s="5"/>
      <c r="AC906" s="3"/>
      <c r="AD906" s="6">
        <v>0.0438</v>
      </c>
      <c r="AE906" s="6">
        <v>0.063</v>
      </c>
      <c r="AF906" s="7">
        <v>0</v>
      </c>
      <c r="AG906" s="6">
        <v>0</v>
      </c>
      <c r="AH906" s="7">
        <v>0</v>
      </c>
      <c r="AI906" s="15">
        <v>0.1068</v>
      </c>
      <c r="AJ906" s="6">
        <v>17.8</v>
      </c>
      <c r="AK906" s="3"/>
      <c r="AL906" s="6">
        <v>366.41554299999996</v>
      </c>
      <c r="AM906" s="6">
        <v>138.404788</v>
      </c>
      <c r="AN906" s="6">
        <v>228.010755</v>
      </c>
      <c r="AO906" s="6">
        <v>0</v>
      </c>
      <c r="AP906" s="6">
        <v>0</v>
      </c>
      <c r="AQ906" s="6">
        <v>0</v>
      </c>
      <c r="AR906" s="6">
        <v>0</v>
      </c>
      <c r="AS906" s="6">
        <v>0</v>
      </c>
      <c r="AT906" s="6">
        <v>0</v>
      </c>
      <c r="AU906" s="6">
        <v>0</v>
      </c>
      <c r="AV906" s="6">
        <v>0</v>
      </c>
      <c r="AW906" s="6">
        <v>0</v>
      </c>
      <c r="AX906" s="6">
        <v>0</v>
      </c>
      <c r="AY906" s="6">
        <v>0</v>
      </c>
      <c r="AZ906" s="6">
        <v>0</v>
      </c>
      <c r="BA906" s="6">
        <v>0</v>
      </c>
      <c r="BB906" s="6">
        <v>0</v>
      </c>
      <c r="BC906" s="6"/>
      <c r="BD906" s="3"/>
      <c r="BE906" s="3"/>
      <c r="BF906" s="7">
        <v>219.84932579999997</v>
      </c>
    </row>
    <row x14ac:dyDescent="0.25" r="907" customHeight="1" ht="12.75">
      <c r="A907" s="5" t="s">
        <v>1057</v>
      </c>
      <c r="B907" s="16" t="s">
        <v>874</v>
      </c>
      <c r="C907" s="3" t="s">
        <v>1058</v>
      </c>
      <c r="D907" s="3"/>
      <c r="E907" s="3"/>
      <c r="F907" s="6">
        <f>100*SUM(AM907:AO907)/AL907</f>
      </c>
      <c r="G907" s="6">
        <f>100*SUM(AP907)/AL907</f>
      </c>
      <c r="H907" s="6">
        <f>100*SUM(AQ907)/AL907</f>
      </c>
      <c r="I907" s="6">
        <f>100*SUM(AR907:BC907)/AL907</f>
      </c>
      <c r="J907" s="3"/>
      <c r="K907" s="23">
        <v>0.046775</v>
      </c>
      <c r="L907" s="6">
        <v>0.25707108498129344</v>
      </c>
      <c r="M907" s="6">
        <v>0.6481079636557991</v>
      </c>
      <c r="N907" s="7">
        <v>82.80685195082845</v>
      </c>
      <c r="O907" s="6">
        <v>0.06793158738642438</v>
      </c>
      <c r="P907" s="6">
        <v>0.5601763762693747</v>
      </c>
      <c r="Q907" s="7"/>
      <c r="R907" s="6"/>
      <c r="S907" s="6"/>
      <c r="T907" s="6"/>
      <c r="U907" s="5"/>
      <c r="V907" s="6"/>
      <c r="W907" s="6"/>
      <c r="X907" s="6"/>
      <c r="Y907" s="15"/>
      <c r="Z907" s="6"/>
      <c r="AA907" s="6"/>
      <c r="AB907" s="5"/>
      <c r="AC907" s="3"/>
      <c r="AD907" s="6">
        <v>0.000120245</v>
      </c>
      <c r="AE907" s="6">
        <v>0.0003031525</v>
      </c>
      <c r="AF907" s="7">
        <v>3.8732905000000004</v>
      </c>
      <c r="AG907" s="6">
        <v>0.000031775</v>
      </c>
      <c r="AH907" s="7">
        <v>0.02620225</v>
      </c>
      <c r="AI907" s="15">
        <v>0.0004551725</v>
      </c>
      <c r="AJ907" s="6">
        <v>0.9731106360235169</v>
      </c>
      <c r="AK907" s="3"/>
      <c r="AL907" s="6">
        <v>97.2099650780261</v>
      </c>
      <c r="AM907" s="6">
        <v>4.873954659967931</v>
      </c>
      <c r="AN907" s="6">
        <v>14.073865344254411</v>
      </c>
      <c r="AO907" s="6">
        <v>50.66927307473522</v>
      </c>
      <c r="AP907" s="6">
        <v>4.717502292891502</v>
      </c>
      <c r="AQ907" s="6">
        <v>22.87536970617704</v>
      </c>
      <c r="AR907" s="6">
        <v>0</v>
      </c>
      <c r="AS907" s="6">
        <v>0</v>
      </c>
      <c r="AT907" s="6">
        <v>0</v>
      </c>
      <c r="AU907" s="6">
        <v>0</v>
      </c>
      <c r="AV907" s="6">
        <v>0</v>
      </c>
      <c r="AW907" s="6">
        <v>0</v>
      </c>
      <c r="AX907" s="6">
        <v>0</v>
      </c>
      <c r="AY907" s="6">
        <v>0</v>
      </c>
      <c r="AZ907" s="6">
        <v>0</v>
      </c>
      <c r="BA907" s="6">
        <v>0</v>
      </c>
      <c r="BB907" s="6">
        <v>0</v>
      </c>
      <c r="BC907" s="6"/>
      <c r="BD907" s="3"/>
      <c r="BE907" s="3"/>
      <c r="BF907" s="7">
        <v>4.546996116524671</v>
      </c>
    </row>
    <row x14ac:dyDescent="0.25" r="908" customHeight="1" ht="12.75">
      <c r="A908" s="5" t="s">
        <v>1059</v>
      </c>
      <c r="B908" s="16" t="s">
        <v>874</v>
      </c>
      <c r="C908" s="3" t="s">
        <v>1043</v>
      </c>
      <c r="D908" s="3"/>
      <c r="E908" s="3"/>
      <c r="F908" s="6">
        <f>100*SUM(AM908:AO908)/AL908</f>
      </c>
      <c r="G908" s="6">
        <f>100*SUM(AP908)/AL908</f>
      </c>
      <c r="H908" s="6">
        <f>100*SUM(AQ908)/AL908</f>
      </c>
      <c r="I908" s="6">
        <f>100*SUM(AR908:BC908)/AL908</f>
      </c>
      <c r="J908" s="3"/>
      <c r="K908" s="5">
        <v>1</v>
      </c>
      <c r="L908" s="6"/>
      <c r="M908" s="6">
        <v>2.3</v>
      </c>
      <c r="N908" s="5">
        <v>21</v>
      </c>
      <c r="O908" s="6">
        <v>0.4</v>
      </c>
      <c r="P908" s="6"/>
      <c r="Q908" s="7"/>
      <c r="R908" s="6"/>
      <c r="S908" s="6"/>
      <c r="T908" s="6"/>
      <c r="U908" s="5"/>
      <c r="V908" s="6"/>
      <c r="W908" s="6"/>
      <c r="X908" s="6"/>
      <c r="Y908" s="15"/>
      <c r="Z908" s="6"/>
      <c r="AA908" s="6"/>
      <c r="AB908" s="5"/>
      <c r="AC908" s="3"/>
      <c r="AD908" s="6">
        <v>0</v>
      </c>
      <c r="AE908" s="6">
        <v>0.023</v>
      </c>
      <c r="AF908" s="7">
        <v>21</v>
      </c>
      <c r="AG908" s="6">
        <v>0.004</v>
      </c>
      <c r="AH908" s="7">
        <v>0</v>
      </c>
      <c r="AI908" s="15">
        <v>0.027</v>
      </c>
      <c r="AJ908" s="6">
        <v>2.6999999999999997</v>
      </c>
      <c r="AK908" s="3"/>
      <c r="AL908" s="6">
        <v>90.57301222829582</v>
      </c>
      <c r="AM908" s="6">
        <v>0</v>
      </c>
      <c r="AN908" s="6">
        <v>49.945212999999995</v>
      </c>
      <c r="AO908" s="6">
        <v>12.84983922829582</v>
      </c>
      <c r="AP908" s="6">
        <v>27.77796</v>
      </c>
      <c r="AQ908" s="6">
        <v>0</v>
      </c>
      <c r="AR908" s="6">
        <v>0</v>
      </c>
      <c r="AS908" s="6">
        <v>0</v>
      </c>
      <c r="AT908" s="6">
        <v>0</v>
      </c>
      <c r="AU908" s="6">
        <v>0</v>
      </c>
      <c r="AV908" s="6">
        <v>0</v>
      </c>
      <c r="AW908" s="6">
        <v>0</v>
      </c>
      <c r="AX908" s="6">
        <v>0</v>
      </c>
      <c r="AY908" s="6">
        <v>0</v>
      </c>
      <c r="AZ908" s="6">
        <v>0</v>
      </c>
      <c r="BA908" s="6">
        <v>0</v>
      </c>
      <c r="BB908" s="6">
        <v>0</v>
      </c>
      <c r="BC908" s="6"/>
      <c r="BD908" s="3"/>
      <c r="BE908" s="3"/>
      <c r="BF908" s="7">
        <v>90.57301222829582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8" width="28.719285714285714" customWidth="1" bestFit="1"/>
    <col min="2" max="2" style="9" width="14.719285714285713" customWidth="1" bestFit="1"/>
    <col min="3" max="3" style="10" width="1.719285714285714" customWidth="1" bestFit="1"/>
    <col min="4" max="4" style="8" width="28.719285714285714" customWidth="1" bestFit="1"/>
    <col min="5" max="5" style="9" width="14.719285714285713" customWidth="1" bestFit="1"/>
    <col min="6" max="6" style="10" width="1.719285714285714" customWidth="1" bestFit="1"/>
    <col min="7" max="7" style="8" width="28.719285714285714" customWidth="1" bestFit="1"/>
    <col min="8" max="8" style="9" width="14.719285714285713" customWidth="1" bestFit="1"/>
    <col min="9" max="9" style="10" width="1.719285714285714" customWidth="1" bestFit="1"/>
    <col min="10" max="10" style="8" width="28.719285714285714" customWidth="1" bestFit="1"/>
    <col min="11" max="11" style="11" width="14.719285714285713" customWidth="1" bestFit="1"/>
    <col min="12" max="12" style="10" width="8.005" customWidth="1" bestFit="1"/>
    <col min="13" max="13" style="10" width="8.005" customWidth="1" bestFit="1"/>
    <col min="14" max="14" style="10" width="8.005" customWidth="1" bestFit="1"/>
    <col min="15" max="15" style="10" width="8.005" customWidth="1" bestFit="1"/>
    <col min="16" max="16" style="10" width="8.005" customWidth="1" bestFit="1"/>
    <col min="17" max="17" style="10" width="8.005" customWidth="1" bestFit="1"/>
    <col min="18" max="18" style="10" width="8.005" customWidth="1" bestFit="1"/>
    <col min="19" max="19" style="10" width="8.005" customWidth="1" bestFit="1"/>
    <col min="20" max="20" style="10" width="8.005" customWidth="1" bestFit="1"/>
    <col min="21" max="21" style="10" width="8.005" customWidth="1" bestFit="1"/>
    <col min="22" max="22" style="10" width="8.005" customWidth="1" bestFit="1"/>
    <col min="23" max="23" style="10" width="8.005" customWidth="1" bestFit="1"/>
    <col min="24" max="24" style="10" width="8.005" customWidth="1" bestFit="1"/>
    <col min="25" max="25" style="10" width="8.005" customWidth="1" bestFit="1"/>
    <col min="26" max="26" style="10" width="8.005" customWidth="1" bestFit="1"/>
  </cols>
  <sheetData>
    <row x14ac:dyDescent="0.25" r="1" customHeight="1" ht="12.75">
      <c r="A1" s="1">
        <v>2013</v>
      </c>
      <c r="B1" s="2" t="s">
        <v>0</v>
      </c>
      <c r="C1" s="3"/>
      <c r="D1" s="1">
        <v>2013</v>
      </c>
      <c r="E1" s="2" t="s">
        <v>1</v>
      </c>
      <c r="F1" s="3"/>
      <c r="G1" s="1">
        <v>2013</v>
      </c>
      <c r="H1" s="2" t="s">
        <v>2</v>
      </c>
      <c r="I1" s="3"/>
      <c r="J1" s="1">
        <v>2013</v>
      </c>
      <c r="K1" s="4" t="s">
        <v>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12.75">
      <c r="A2" s="5" t="s">
        <v>4</v>
      </c>
      <c r="B2" s="6">
        <v>31.5715</v>
      </c>
      <c r="C2" s="3"/>
      <c r="D2" s="5" t="s">
        <v>5</v>
      </c>
      <c r="E2" s="6">
        <v>35.730000000000004</v>
      </c>
      <c r="F2" s="3"/>
      <c r="G2" s="5" t="s">
        <v>6</v>
      </c>
      <c r="H2" s="6">
        <v>1983.9080289581998</v>
      </c>
      <c r="I2" s="3"/>
      <c r="J2" s="5" t="s">
        <v>7</v>
      </c>
      <c r="K2" s="7">
        <v>7383961.031400992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x14ac:dyDescent="0.25" r="3" customHeight="1" ht="12.75">
      <c r="A3" s="5" t="s">
        <v>8</v>
      </c>
      <c r="B3" s="6">
        <v>25.7161</v>
      </c>
      <c r="C3" s="3"/>
      <c r="D3" s="5" t="s">
        <v>9</v>
      </c>
      <c r="E3" s="6">
        <v>34.2633828160144</v>
      </c>
      <c r="F3" s="3"/>
      <c r="G3" s="5" t="s">
        <v>7</v>
      </c>
      <c r="H3" s="6">
        <v>1474.212923349506</v>
      </c>
      <c r="I3" s="3"/>
      <c r="J3" s="5" t="s">
        <v>10</v>
      </c>
      <c r="K3" s="7">
        <v>230363.984306636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x14ac:dyDescent="0.25" r="4" customHeight="1" ht="12.75">
      <c r="A4" s="5" t="s">
        <v>11</v>
      </c>
      <c r="B4" s="6">
        <v>25.119659999999996</v>
      </c>
      <c r="C4" s="3"/>
      <c r="D4" s="5" t="s">
        <v>12</v>
      </c>
      <c r="E4" s="6">
        <v>34</v>
      </c>
      <c r="F4" s="3"/>
      <c r="G4" s="5" t="s">
        <v>12</v>
      </c>
      <c r="H4" s="6">
        <v>1293.4051018167206</v>
      </c>
      <c r="I4" s="3"/>
      <c r="J4" s="5" t="s">
        <v>13</v>
      </c>
      <c r="K4" s="7">
        <v>188570.5307871726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x14ac:dyDescent="0.25" r="5" customHeight="1" ht="12.75">
      <c r="A5" s="5" t="s">
        <v>14</v>
      </c>
      <c r="B5" s="6">
        <v>24.56</v>
      </c>
      <c r="C5" s="3"/>
      <c r="D5" s="5" t="s">
        <v>15</v>
      </c>
      <c r="E5" s="6">
        <v>31.599999999999998</v>
      </c>
      <c r="F5" s="3"/>
      <c r="G5" s="5" t="s">
        <v>16</v>
      </c>
      <c r="H5" s="6">
        <v>1041.5508719951772</v>
      </c>
      <c r="I5" s="3"/>
      <c r="J5" s="5" t="s">
        <v>4</v>
      </c>
      <c r="K5" s="7">
        <v>176311.9176801958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x14ac:dyDescent="0.25" r="6" customHeight="1" ht="12.75">
      <c r="A6" s="5" t="s">
        <v>17</v>
      </c>
      <c r="B6" s="6">
        <v>23.7</v>
      </c>
      <c r="C6" s="3"/>
      <c r="D6" s="5" t="s">
        <v>18</v>
      </c>
      <c r="E6" s="6">
        <v>27.5</v>
      </c>
      <c r="F6" s="3"/>
      <c r="G6" s="5" t="s">
        <v>5</v>
      </c>
      <c r="H6" s="6">
        <v>996.0920075299035</v>
      </c>
      <c r="I6" s="3"/>
      <c r="J6" s="5" t="s">
        <v>19</v>
      </c>
      <c r="K6" s="7">
        <v>134536.59683999998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x14ac:dyDescent="0.25" r="7" customHeight="1" ht="12.75">
      <c r="A7" s="5" t="s">
        <v>20</v>
      </c>
      <c r="B7" s="6">
        <v>22.852000000000004</v>
      </c>
      <c r="C7" s="3"/>
      <c r="D7" s="5" t="s">
        <v>21</v>
      </c>
      <c r="E7" s="6">
        <v>25</v>
      </c>
      <c r="F7" s="3"/>
      <c r="G7" s="5" t="s">
        <v>22</v>
      </c>
      <c r="H7" s="6">
        <v>962.1544814790998</v>
      </c>
      <c r="I7" s="3"/>
      <c r="J7" s="5" t="s">
        <v>23</v>
      </c>
      <c r="K7" s="7">
        <v>133136.75078909998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x14ac:dyDescent="0.25" r="8" customHeight="1" ht="12.75">
      <c r="A8" s="5" t="s">
        <v>13</v>
      </c>
      <c r="B8" s="6">
        <v>22.126558199999998</v>
      </c>
      <c r="C8" s="3"/>
      <c r="D8" s="5" t="s">
        <v>24</v>
      </c>
      <c r="E8" s="6">
        <v>24.4</v>
      </c>
      <c r="F8" s="3"/>
      <c r="G8" s="5" t="s">
        <v>25</v>
      </c>
      <c r="H8" s="6">
        <v>927.8759050760966</v>
      </c>
      <c r="I8" s="3"/>
      <c r="J8" s="5" t="s">
        <v>26</v>
      </c>
      <c r="K8" s="7">
        <v>99951.21938535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x14ac:dyDescent="0.25" r="9" customHeight="1" ht="12.75">
      <c r="A9" s="5" t="s">
        <v>19</v>
      </c>
      <c r="B9" s="6">
        <v>21.6</v>
      </c>
      <c r="C9" s="3"/>
      <c r="D9" s="5" t="s">
        <v>27</v>
      </c>
      <c r="E9" s="6">
        <v>24.141546700942584</v>
      </c>
      <c r="F9" s="3"/>
      <c r="G9" s="5" t="s">
        <v>24</v>
      </c>
      <c r="H9" s="6">
        <v>856.0409682604502</v>
      </c>
      <c r="I9" s="3"/>
      <c r="J9" s="5" t="s">
        <v>28</v>
      </c>
      <c r="K9" s="7">
        <v>71080.94989956789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x14ac:dyDescent="0.25" r="10" customHeight="1" ht="12.75">
      <c r="A10" s="5" t="s">
        <v>29</v>
      </c>
      <c r="B10" s="6">
        <v>17.810670000000002</v>
      </c>
      <c r="C10" s="3"/>
      <c r="D10" s="5" t="s">
        <v>30</v>
      </c>
      <c r="E10" s="6">
        <v>23.7</v>
      </c>
      <c r="F10" s="3"/>
      <c r="G10" s="5" t="s">
        <v>31</v>
      </c>
      <c r="H10" s="6">
        <v>854.1876565659164</v>
      </c>
      <c r="I10" s="3"/>
      <c r="J10" s="5" t="s">
        <v>32</v>
      </c>
      <c r="K10" s="7">
        <v>69431.75252243956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x14ac:dyDescent="0.25" r="11" customHeight="1" ht="12.75">
      <c r="A11" s="5" t="s">
        <v>33</v>
      </c>
      <c r="B11" s="6">
        <v>16.1725</v>
      </c>
      <c r="C11" s="3"/>
      <c r="D11" s="5" t="s">
        <v>34</v>
      </c>
      <c r="E11" s="6">
        <v>23.7</v>
      </c>
      <c r="F11" s="3"/>
      <c r="G11" s="5" t="s">
        <v>35</v>
      </c>
      <c r="H11" s="6">
        <v>835.4067809196142</v>
      </c>
      <c r="I11" s="3"/>
      <c r="J11" s="5" t="s">
        <v>11</v>
      </c>
      <c r="K11" s="7">
        <v>65129.278000487335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x14ac:dyDescent="0.25" r="12" customHeight="1" ht="12.75">
      <c r="A12" s="5" t="s">
        <v>36</v>
      </c>
      <c r="B12" s="6">
        <v>15.238900000000001</v>
      </c>
      <c r="C12" s="3"/>
      <c r="D12" s="5" t="s">
        <v>37</v>
      </c>
      <c r="E12" s="6">
        <v>23.24774985323989</v>
      </c>
      <c r="F12" s="3"/>
      <c r="G12" s="5" t="s">
        <v>38</v>
      </c>
      <c r="H12" s="6">
        <v>809.1918958376768</v>
      </c>
      <c r="I12" s="3"/>
      <c r="J12" s="5" t="s">
        <v>39</v>
      </c>
      <c r="K12" s="7">
        <v>63400.24855073955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x14ac:dyDescent="0.25" r="13" customHeight="1" ht="12.75">
      <c r="A13" s="5" t="s">
        <v>40</v>
      </c>
      <c r="B13" s="6">
        <v>13.539399999999999</v>
      </c>
      <c r="C13" s="3"/>
      <c r="D13" s="5" t="s">
        <v>41</v>
      </c>
      <c r="E13" s="6">
        <v>22</v>
      </c>
      <c r="F13" s="3"/>
      <c r="G13" s="5" t="s">
        <v>9</v>
      </c>
      <c r="H13" s="6">
        <v>788.3516910540275</v>
      </c>
      <c r="I13" s="3"/>
      <c r="J13" s="5" t="s">
        <v>14</v>
      </c>
      <c r="K13" s="7">
        <v>61298.9581059807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x14ac:dyDescent="0.25" r="14" customHeight="1" ht="12.75">
      <c r="A14" s="5" t="s">
        <v>42</v>
      </c>
      <c r="B14" s="6">
        <v>13.28</v>
      </c>
      <c r="C14" s="3"/>
      <c r="D14" s="5" t="s">
        <v>43</v>
      </c>
      <c r="E14" s="6">
        <v>22</v>
      </c>
      <c r="F14" s="3"/>
      <c r="G14" s="5" t="s">
        <v>44</v>
      </c>
      <c r="H14" s="6">
        <v>766.3987702443728</v>
      </c>
      <c r="I14" s="3"/>
      <c r="J14" s="5" t="s">
        <v>45</v>
      </c>
      <c r="K14" s="7">
        <v>60825.973673110006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2.75">
      <c r="A15" s="5" t="s">
        <v>23</v>
      </c>
      <c r="B15" s="6">
        <v>12.93786</v>
      </c>
      <c r="C15" s="3"/>
      <c r="D15" s="5" t="s">
        <v>46</v>
      </c>
      <c r="E15" s="6">
        <v>22</v>
      </c>
      <c r="F15" s="3"/>
      <c r="G15" s="5" t="s">
        <v>47</v>
      </c>
      <c r="H15" s="6">
        <v>751.5897204501608</v>
      </c>
      <c r="I15" s="3"/>
      <c r="J15" s="5" t="s">
        <v>42</v>
      </c>
      <c r="K15" s="7">
        <v>60424.983170675245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12.75">
      <c r="A16" s="5" t="s">
        <v>48</v>
      </c>
      <c r="B16" s="6">
        <v>11.507800000000001</v>
      </c>
      <c r="C16" s="3"/>
      <c r="D16" s="5" t="s">
        <v>49</v>
      </c>
      <c r="E16" s="6">
        <v>21.79730903994394</v>
      </c>
      <c r="F16" s="3"/>
      <c r="G16" s="5" t="s">
        <v>50</v>
      </c>
      <c r="H16" s="6">
        <v>706.4207379340195</v>
      </c>
      <c r="I16" s="3"/>
      <c r="J16" s="5" t="s">
        <v>8</v>
      </c>
      <c r="K16" s="7">
        <v>58541.599411535695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x14ac:dyDescent="0.25" r="17" customHeight="1" ht="12.75">
      <c r="A17" s="5" t="s">
        <v>51</v>
      </c>
      <c r="B17" s="6">
        <v>11.4999</v>
      </c>
      <c r="C17" s="3"/>
      <c r="D17" s="5" t="s">
        <v>48</v>
      </c>
      <c r="E17" s="6">
        <v>21.671939736346516</v>
      </c>
      <c r="F17" s="3"/>
      <c r="G17" s="5" t="s">
        <v>18</v>
      </c>
      <c r="H17" s="6">
        <v>685.429436977492</v>
      </c>
      <c r="I17" s="3"/>
      <c r="J17" s="5" t="s">
        <v>20</v>
      </c>
      <c r="K17" s="7">
        <v>56565.75016505467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x14ac:dyDescent="0.25" r="18" customHeight="1" ht="12.75">
      <c r="A18" s="5" t="s">
        <v>52</v>
      </c>
      <c r="B18" s="6">
        <v>10.558000000000002</v>
      </c>
      <c r="C18" s="3"/>
      <c r="D18" s="5" t="s">
        <v>53</v>
      </c>
      <c r="E18" s="6">
        <v>21.6</v>
      </c>
      <c r="F18" s="3"/>
      <c r="G18" s="5" t="s">
        <v>15</v>
      </c>
      <c r="H18" s="6">
        <v>682.345746</v>
      </c>
      <c r="I18" s="3"/>
      <c r="J18" s="5" t="s">
        <v>54</v>
      </c>
      <c r="K18" s="7">
        <v>52963.87764169251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12.75">
      <c r="A19" s="5" t="s">
        <v>55</v>
      </c>
      <c r="B19" s="6">
        <v>9.833199800000003</v>
      </c>
      <c r="C19" s="3"/>
      <c r="D19" s="5" t="s">
        <v>56</v>
      </c>
      <c r="E19" s="6">
        <v>21.22879721620308</v>
      </c>
      <c r="F19" s="3"/>
      <c r="G19" s="5" t="s">
        <v>57</v>
      </c>
      <c r="H19" s="6">
        <v>671.1848340514468</v>
      </c>
      <c r="I19" s="3"/>
      <c r="J19" s="5" t="s">
        <v>58</v>
      </c>
      <c r="K19" s="7">
        <v>48035.15593049517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12.75">
      <c r="A20" s="5" t="s">
        <v>54</v>
      </c>
      <c r="B20" s="6">
        <v>9.625691999999999</v>
      </c>
      <c r="C20" s="3"/>
      <c r="D20" s="5" t="s">
        <v>59</v>
      </c>
      <c r="E20" s="6">
        <v>20.96</v>
      </c>
      <c r="F20" s="3"/>
      <c r="G20" s="5" t="s">
        <v>60</v>
      </c>
      <c r="H20" s="6">
        <v>668.0233833157893</v>
      </c>
      <c r="I20" s="3"/>
      <c r="J20" s="5" t="s">
        <v>17</v>
      </c>
      <c r="K20" s="7">
        <v>46091.5722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x14ac:dyDescent="0.25" r="21" customHeight="1" ht="12.75">
      <c r="A21" s="5" t="s">
        <v>32</v>
      </c>
      <c r="B21" s="6">
        <v>9.451600000000001</v>
      </c>
      <c r="C21" s="3"/>
      <c r="D21" s="5" t="s">
        <v>61</v>
      </c>
      <c r="E21" s="6">
        <v>20.5</v>
      </c>
      <c r="F21" s="3"/>
      <c r="G21" s="5" t="s">
        <v>62</v>
      </c>
      <c r="H21" s="6">
        <v>660.7479405176848</v>
      </c>
      <c r="I21" s="3"/>
      <c r="J21" s="5" t="s">
        <v>29</v>
      </c>
      <c r="K21" s="7">
        <v>42652.88466382626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x14ac:dyDescent="0.25" r="22" customHeight="1" ht="12.75">
      <c r="A22" s="5" t="s">
        <v>63</v>
      </c>
      <c r="B22" s="6">
        <v>9.07459474</v>
      </c>
      <c r="C22" s="3"/>
      <c r="D22" s="5" t="s">
        <v>64</v>
      </c>
      <c r="E22" s="6">
        <v>20.3</v>
      </c>
      <c r="F22" s="3"/>
      <c r="G22" s="5" t="s">
        <v>65</v>
      </c>
      <c r="H22" s="6">
        <v>652.9501594288545</v>
      </c>
      <c r="I22" s="3"/>
      <c r="J22" s="5" t="s">
        <v>51</v>
      </c>
      <c r="K22" s="7">
        <v>42267.53940813134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x14ac:dyDescent="0.25" r="23" customHeight="1" ht="12.75">
      <c r="A23" s="5" t="s">
        <v>39</v>
      </c>
      <c r="B23" s="6">
        <v>9.006</v>
      </c>
      <c r="C23" s="3"/>
      <c r="D23" s="5" t="s">
        <v>25</v>
      </c>
      <c r="E23" s="6">
        <v>19.843866855524084</v>
      </c>
      <c r="F23" s="3"/>
      <c r="G23" s="5" t="s">
        <v>27</v>
      </c>
      <c r="H23" s="6">
        <v>635.9494987437274</v>
      </c>
      <c r="I23" s="3"/>
      <c r="J23" s="5" t="s">
        <v>33</v>
      </c>
      <c r="K23" s="7">
        <v>38474.092307709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12.75">
      <c r="A24" s="5" t="s">
        <v>66</v>
      </c>
      <c r="B24" s="6">
        <v>8.759</v>
      </c>
      <c r="C24" s="3"/>
      <c r="D24" s="5" t="s">
        <v>67</v>
      </c>
      <c r="E24" s="6">
        <v>19.644067796610173</v>
      </c>
      <c r="F24" s="3"/>
      <c r="G24" s="5" t="s">
        <v>68</v>
      </c>
      <c r="H24" s="6">
        <v>620.1044080032577</v>
      </c>
      <c r="I24" s="3"/>
      <c r="J24" s="5" t="s">
        <v>36</v>
      </c>
      <c r="K24" s="7">
        <v>32829.7490919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12.75">
      <c r="A25" s="5" t="s">
        <v>58</v>
      </c>
      <c r="B25" s="6">
        <v>8.649000000000001</v>
      </c>
      <c r="C25" s="3"/>
      <c r="D25" s="5" t="s">
        <v>69</v>
      </c>
      <c r="E25" s="6">
        <v>19.3</v>
      </c>
      <c r="F25" s="3"/>
      <c r="G25" s="5" t="s">
        <v>70</v>
      </c>
      <c r="H25" s="6">
        <v>618.9899706050534</v>
      </c>
      <c r="I25" s="3"/>
      <c r="J25" s="5" t="s">
        <v>71</v>
      </c>
      <c r="K25" s="7">
        <v>32571.333184895993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12.75">
      <c r="A26" s="5" t="s">
        <v>72</v>
      </c>
      <c r="B26" s="6">
        <v>7.764659000000001</v>
      </c>
      <c r="C26" s="3"/>
      <c r="D26" s="5" t="s">
        <v>73</v>
      </c>
      <c r="E26" s="6">
        <v>19</v>
      </c>
      <c r="F26" s="3"/>
      <c r="G26" s="5" t="s">
        <v>74</v>
      </c>
      <c r="H26" s="6">
        <v>612.4275654340836</v>
      </c>
      <c r="I26" s="3"/>
      <c r="J26" s="5" t="s">
        <v>72</v>
      </c>
      <c r="K26" s="7">
        <v>30805.6704016035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x14ac:dyDescent="0.25" r="27" customHeight="1" ht="12.75">
      <c r="A27" s="5" t="s">
        <v>9</v>
      </c>
      <c r="B27" s="6">
        <v>7.616750000000001</v>
      </c>
      <c r="C27" s="3"/>
      <c r="D27" s="5" t="s">
        <v>22</v>
      </c>
      <c r="E27" s="6">
        <v>19</v>
      </c>
      <c r="F27" s="3"/>
      <c r="G27" s="5" t="s">
        <v>75</v>
      </c>
      <c r="H27" s="6">
        <v>601.8801888904828</v>
      </c>
      <c r="I27" s="3"/>
      <c r="J27" s="5" t="s">
        <v>40</v>
      </c>
      <c r="K27" s="7">
        <v>28756.1608614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12.75">
      <c r="A28" s="5" t="s">
        <v>76</v>
      </c>
      <c r="B28" s="6">
        <v>7.55228</v>
      </c>
      <c r="C28" s="3"/>
      <c r="D28" s="5" t="s">
        <v>77</v>
      </c>
      <c r="E28" s="6">
        <v>18.43</v>
      </c>
      <c r="F28" s="3"/>
      <c r="G28" s="5" t="s">
        <v>78</v>
      </c>
      <c r="H28" s="6">
        <v>587.5645179025723</v>
      </c>
      <c r="I28" s="3"/>
      <c r="J28" s="5" t="s">
        <v>79</v>
      </c>
      <c r="K28" s="7">
        <v>27090.48660257893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12.75">
      <c r="A29" s="5" t="s">
        <v>28</v>
      </c>
      <c r="B29" s="6">
        <v>7.4532300000000005</v>
      </c>
      <c r="C29" s="3"/>
      <c r="D29" s="5" t="s">
        <v>80</v>
      </c>
      <c r="E29" s="6">
        <v>18.099999999999998</v>
      </c>
      <c r="F29" s="3"/>
      <c r="G29" s="5" t="s">
        <v>81</v>
      </c>
      <c r="H29" s="6">
        <v>587.212943140836</v>
      </c>
      <c r="I29" s="3"/>
      <c r="J29" s="5" t="s">
        <v>82</v>
      </c>
      <c r="K29" s="7">
        <v>27059.60194689337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12.75">
      <c r="A30" s="5" t="s">
        <v>83</v>
      </c>
      <c r="B30" s="6">
        <v>7.366</v>
      </c>
      <c r="C30" s="3"/>
      <c r="D30" s="5" t="s">
        <v>84</v>
      </c>
      <c r="E30" s="6">
        <v>17.89</v>
      </c>
      <c r="F30" s="3"/>
      <c r="G30" s="5" t="s">
        <v>85</v>
      </c>
      <c r="H30" s="6">
        <v>583.7021012850295</v>
      </c>
      <c r="I30" s="3"/>
      <c r="J30" s="5" t="s">
        <v>86</v>
      </c>
      <c r="K30" s="7">
        <v>27008.47743179688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2.75">
      <c r="A31" s="5" t="s">
        <v>87</v>
      </c>
      <c r="B31" s="6">
        <v>7.354199999999999</v>
      </c>
      <c r="C31" s="3"/>
      <c r="D31" s="5" t="s">
        <v>88</v>
      </c>
      <c r="E31" s="6">
        <v>17.8</v>
      </c>
      <c r="F31" s="3"/>
      <c r="G31" s="5" t="s">
        <v>89</v>
      </c>
      <c r="H31" s="6">
        <v>577.4652557494151</v>
      </c>
      <c r="I31" s="3"/>
      <c r="J31" s="5" t="s">
        <v>48</v>
      </c>
      <c r="K31" s="7">
        <v>26986.08648262798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12.75">
      <c r="A32" s="5" t="s">
        <v>90</v>
      </c>
      <c r="B32" s="6">
        <v>7.2364912100000005</v>
      </c>
      <c r="C32" s="3"/>
      <c r="D32" s="5" t="s">
        <v>91</v>
      </c>
      <c r="E32" s="6">
        <v>17.8</v>
      </c>
      <c r="F32" s="3"/>
      <c r="G32" s="5" t="s">
        <v>92</v>
      </c>
      <c r="H32" s="6">
        <v>573.8839415807074</v>
      </c>
      <c r="I32" s="3"/>
      <c r="J32" s="5" t="s">
        <v>93</v>
      </c>
      <c r="K32" s="7">
        <v>25892.233734749647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12.75">
      <c r="A33" s="5" t="s">
        <v>94</v>
      </c>
      <c r="B33" s="6">
        <v>6.8513</v>
      </c>
      <c r="C33" s="3"/>
      <c r="D33" s="5" t="s">
        <v>95</v>
      </c>
      <c r="E33" s="6">
        <v>17.528367670364496</v>
      </c>
      <c r="F33" s="3"/>
      <c r="G33" s="5" t="s">
        <v>21</v>
      </c>
      <c r="H33" s="6">
        <v>566.8853267684888</v>
      </c>
      <c r="I33" s="3"/>
      <c r="J33" s="5" t="s">
        <v>96</v>
      </c>
      <c r="K33" s="7">
        <v>25061.460498414715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2.75">
      <c r="A34" s="5" t="s">
        <v>93</v>
      </c>
      <c r="B34" s="6">
        <v>6.7002912199999995</v>
      </c>
      <c r="C34" s="3"/>
      <c r="D34" s="5" t="s">
        <v>97</v>
      </c>
      <c r="E34" s="6">
        <v>17.5</v>
      </c>
      <c r="F34" s="3"/>
      <c r="G34" s="5" t="s">
        <v>98</v>
      </c>
      <c r="H34" s="6">
        <v>566.4722365982985</v>
      </c>
      <c r="I34" s="3"/>
      <c r="J34" s="5" t="s">
        <v>76</v>
      </c>
      <c r="K34" s="7">
        <v>24754.652444426785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2.75">
      <c r="A35" s="5" t="s">
        <v>86</v>
      </c>
      <c r="B35" s="6">
        <v>5.8481059</v>
      </c>
      <c r="C35" s="3"/>
      <c r="D35" s="5" t="s">
        <v>99</v>
      </c>
      <c r="E35" s="6">
        <v>17.5</v>
      </c>
      <c r="F35" s="3"/>
      <c r="G35" s="5" t="s">
        <v>56</v>
      </c>
      <c r="H35" s="6">
        <v>565.2397619337485</v>
      </c>
      <c r="I35" s="3"/>
      <c r="J35" s="5" t="s">
        <v>100</v>
      </c>
      <c r="K35" s="7">
        <v>24686.671832980388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2.75">
      <c r="A36" s="5" t="s">
        <v>101</v>
      </c>
      <c r="B36" s="6">
        <v>5.808</v>
      </c>
      <c r="C36" s="3"/>
      <c r="D36" s="5" t="s">
        <v>102</v>
      </c>
      <c r="E36" s="6">
        <v>17.362486368593242</v>
      </c>
      <c r="F36" s="3"/>
      <c r="G36" s="5" t="s">
        <v>103</v>
      </c>
      <c r="H36" s="6">
        <v>562.1306043672498</v>
      </c>
      <c r="I36" s="3"/>
      <c r="J36" s="5" t="s">
        <v>55</v>
      </c>
      <c r="K36" s="7">
        <v>23998.08995197859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2.75">
      <c r="A37" s="5" t="s">
        <v>104</v>
      </c>
      <c r="B37" s="6">
        <v>5.644346</v>
      </c>
      <c r="C37" s="3"/>
      <c r="D37" s="5" t="s">
        <v>103</v>
      </c>
      <c r="E37" s="6">
        <v>17.150748845729822</v>
      </c>
      <c r="F37" s="3"/>
      <c r="G37" s="5" t="s">
        <v>80</v>
      </c>
      <c r="H37" s="6">
        <v>560.5368444721014</v>
      </c>
      <c r="I37" s="3"/>
      <c r="J37" s="5" t="s">
        <v>105</v>
      </c>
      <c r="K37" s="7">
        <v>23537.239322213798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12.75">
      <c r="A38" s="5" t="s">
        <v>82</v>
      </c>
      <c r="B38" s="6">
        <v>5.6113383</v>
      </c>
      <c r="C38" s="3"/>
      <c r="D38" s="5" t="s">
        <v>106</v>
      </c>
      <c r="E38" s="6">
        <v>17</v>
      </c>
      <c r="F38" s="3"/>
      <c r="G38" s="5" t="s">
        <v>37</v>
      </c>
      <c r="H38" s="6">
        <v>552.6799855583906</v>
      </c>
      <c r="I38" s="3"/>
      <c r="J38" s="5" t="s">
        <v>52</v>
      </c>
      <c r="K38" s="7">
        <v>22352.174848000002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12.75">
      <c r="A39" s="5" t="s">
        <v>71</v>
      </c>
      <c r="B39" s="6">
        <v>5.596539</v>
      </c>
      <c r="C39" s="3"/>
      <c r="D39" s="5" t="s">
        <v>107</v>
      </c>
      <c r="E39" s="6">
        <v>16.546478873239437</v>
      </c>
      <c r="F39" s="3"/>
      <c r="G39" s="5" t="s">
        <v>108</v>
      </c>
      <c r="H39" s="6">
        <v>551.1279669803795</v>
      </c>
      <c r="I39" s="3"/>
      <c r="J39" s="5" t="s">
        <v>109</v>
      </c>
      <c r="K39" s="7">
        <v>22335.78534825357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12.75">
      <c r="A40" s="5" t="s">
        <v>96</v>
      </c>
      <c r="B40" s="6">
        <v>5.574892999999999</v>
      </c>
      <c r="C40" s="3"/>
      <c r="D40" s="5" t="s">
        <v>110</v>
      </c>
      <c r="E40" s="6">
        <v>16.5</v>
      </c>
      <c r="F40" s="3"/>
      <c r="G40" s="5" t="s">
        <v>111</v>
      </c>
      <c r="H40" s="6">
        <v>550.2071141000001</v>
      </c>
      <c r="I40" s="3"/>
      <c r="J40" s="5" t="s">
        <v>94</v>
      </c>
      <c r="K40" s="7">
        <v>22314.722464142444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12.75">
      <c r="A41" s="5" t="s">
        <v>56</v>
      </c>
      <c r="B41" s="6">
        <v>5.5142773048</v>
      </c>
      <c r="C41" s="3"/>
      <c r="D41" s="5" t="s">
        <v>112</v>
      </c>
      <c r="E41" s="6">
        <v>16.2</v>
      </c>
      <c r="F41" s="3"/>
      <c r="G41" s="5" t="s">
        <v>113</v>
      </c>
      <c r="H41" s="6">
        <v>547.3861572749197</v>
      </c>
      <c r="I41" s="3"/>
      <c r="J41" s="5" t="s">
        <v>114</v>
      </c>
      <c r="K41" s="7">
        <v>20024.433857383825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12.75">
      <c r="A42" s="5" t="s">
        <v>100</v>
      </c>
      <c r="B42" s="6">
        <v>5.4353</v>
      </c>
      <c r="C42" s="3"/>
      <c r="D42" s="5" t="s">
        <v>31</v>
      </c>
      <c r="E42" s="6">
        <v>16.2</v>
      </c>
      <c r="F42" s="3"/>
      <c r="G42" s="5" t="s">
        <v>115</v>
      </c>
      <c r="H42" s="6">
        <v>537.0291595884245</v>
      </c>
      <c r="I42" s="3"/>
      <c r="J42" s="5" t="s">
        <v>66</v>
      </c>
      <c r="K42" s="7">
        <v>19921.787756733116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12.75">
      <c r="A43" s="5" t="s">
        <v>116</v>
      </c>
      <c r="B43" s="6">
        <v>5.4079</v>
      </c>
      <c r="C43" s="3"/>
      <c r="D43" s="5" t="s">
        <v>117</v>
      </c>
      <c r="E43" s="6">
        <v>16.11998</v>
      </c>
      <c r="F43" s="3"/>
      <c r="G43" s="5" t="s">
        <v>118</v>
      </c>
      <c r="H43" s="6">
        <v>536.9556321964727</v>
      </c>
      <c r="I43" s="3"/>
      <c r="J43" s="5" t="s">
        <v>119</v>
      </c>
      <c r="K43" s="7">
        <v>19154.37734294855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12.75">
      <c r="A44" s="5" t="s">
        <v>120</v>
      </c>
      <c r="B44" s="6">
        <v>5.39633158061</v>
      </c>
      <c r="C44" s="3"/>
      <c r="D44" s="5" t="s">
        <v>47</v>
      </c>
      <c r="E44" s="6">
        <v>16</v>
      </c>
      <c r="F44" s="3"/>
      <c r="G44" s="5" t="s">
        <v>121</v>
      </c>
      <c r="H44" s="6">
        <v>520.5886321543409</v>
      </c>
      <c r="I44" s="3"/>
      <c r="J44" s="5" t="s">
        <v>63</v>
      </c>
      <c r="K44" s="7">
        <v>19101.039293177444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12.75">
      <c r="A45" s="5" t="s">
        <v>122</v>
      </c>
      <c r="B45" s="6">
        <v>5.3675</v>
      </c>
      <c r="C45" s="3"/>
      <c r="D45" s="5" t="s">
        <v>123</v>
      </c>
      <c r="E45" s="6">
        <v>15.958633663366337</v>
      </c>
      <c r="F45" s="3"/>
      <c r="G45" s="5" t="s">
        <v>107</v>
      </c>
      <c r="H45" s="6">
        <v>518.5205333190524</v>
      </c>
      <c r="I45" s="3"/>
      <c r="J45" s="5" t="s">
        <v>87</v>
      </c>
      <c r="K45" s="7">
        <v>18791.71290865659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12.75">
      <c r="A46" s="5" t="s">
        <v>124</v>
      </c>
      <c r="B46" s="6">
        <v>5.238</v>
      </c>
      <c r="C46" s="3"/>
      <c r="D46" s="5" t="s">
        <v>125</v>
      </c>
      <c r="E46" s="6">
        <v>15.9</v>
      </c>
      <c r="F46" s="3"/>
      <c r="G46" s="5" t="s">
        <v>49</v>
      </c>
      <c r="H46" s="6">
        <v>517.2110556942512</v>
      </c>
      <c r="I46" s="3"/>
      <c r="J46" s="5" t="s">
        <v>126</v>
      </c>
      <c r="K46" s="7">
        <v>17913.84725132785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12.75">
      <c r="A47" s="5" t="s">
        <v>127</v>
      </c>
      <c r="B47" s="6">
        <v>5.1251</v>
      </c>
      <c r="C47" s="3"/>
      <c r="D47" s="5" t="s">
        <v>78</v>
      </c>
      <c r="E47" s="6">
        <v>15.72</v>
      </c>
      <c r="F47" s="3"/>
      <c r="G47" s="5" t="s">
        <v>46</v>
      </c>
      <c r="H47" s="6">
        <v>515.797539051447</v>
      </c>
      <c r="I47" s="3"/>
      <c r="J47" s="5" t="s">
        <v>128</v>
      </c>
      <c r="K47" s="7">
        <v>17533.36321378167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12.75">
      <c r="A48" s="5" t="s">
        <v>129</v>
      </c>
      <c r="B48" s="6">
        <v>4.923199999999999</v>
      </c>
      <c r="C48" s="3"/>
      <c r="D48" s="5" t="s">
        <v>130</v>
      </c>
      <c r="E48" s="6">
        <v>15.48</v>
      </c>
      <c r="F48" s="3"/>
      <c r="G48" s="5" t="s">
        <v>131</v>
      </c>
      <c r="H48" s="6">
        <v>514.8309932958199</v>
      </c>
      <c r="I48" s="3"/>
      <c r="J48" s="5" t="s">
        <v>9</v>
      </c>
      <c r="K48" s="7">
        <v>17525.058092131032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12.75">
      <c r="A49" s="5" t="s">
        <v>30</v>
      </c>
      <c r="B49" s="6">
        <v>4.4556000000000004</v>
      </c>
      <c r="C49" s="3"/>
      <c r="D49" s="5" t="s">
        <v>132</v>
      </c>
      <c r="E49" s="6">
        <v>15.4</v>
      </c>
      <c r="F49" s="3"/>
      <c r="G49" s="5" t="s">
        <v>30</v>
      </c>
      <c r="H49" s="6">
        <v>514.652847</v>
      </c>
      <c r="I49" s="3"/>
      <c r="J49" s="5" t="s">
        <v>133</v>
      </c>
      <c r="K49" s="7">
        <v>17033.313859627007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12.75">
      <c r="A50" s="5" t="s">
        <v>134</v>
      </c>
      <c r="B50" s="6">
        <v>4.282229999999999</v>
      </c>
      <c r="C50" s="3"/>
      <c r="D50" s="5" t="s">
        <v>81</v>
      </c>
      <c r="E50" s="6">
        <v>15.23</v>
      </c>
      <c r="F50" s="3"/>
      <c r="G50" s="5" t="s">
        <v>135</v>
      </c>
      <c r="H50" s="6">
        <v>513.801304892768</v>
      </c>
      <c r="I50" s="3"/>
      <c r="J50" s="5" t="s">
        <v>136</v>
      </c>
      <c r="K50" s="7">
        <v>16575.270160428732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12.75">
      <c r="A51" s="5" t="s">
        <v>137</v>
      </c>
      <c r="B51" s="6">
        <v>4.208511</v>
      </c>
      <c r="C51" s="3"/>
      <c r="D51" s="5" t="s">
        <v>115</v>
      </c>
      <c r="E51" s="6">
        <v>15.200000000000001</v>
      </c>
      <c r="F51" s="3"/>
      <c r="G51" s="5" t="s">
        <v>138</v>
      </c>
      <c r="H51" s="6">
        <v>512.4295235585209</v>
      </c>
      <c r="I51" s="3"/>
      <c r="J51" s="5" t="s">
        <v>122</v>
      </c>
      <c r="K51" s="7">
        <v>16525.923473053055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x14ac:dyDescent="0.25" r="52" customHeight="1" ht="12.75">
      <c r="A52" s="5" t="s">
        <v>119</v>
      </c>
      <c r="B52" s="6">
        <v>4.152</v>
      </c>
      <c r="C52" s="3"/>
      <c r="D52" s="5" t="s">
        <v>111</v>
      </c>
      <c r="E52" s="6">
        <v>15.11</v>
      </c>
      <c r="F52" s="3"/>
      <c r="G52" s="5" t="s">
        <v>139</v>
      </c>
      <c r="H52" s="6">
        <v>508.8317715755627</v>
      </c>
      <c r="I52" s="3"/>
      <c r="J52" s="5" t="s">
        <v>134</v>
      </c>
      <c r="K52" s="7">
        <v>15977.790038524758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x14ac:dyDescent="0.25" r="53" customHeight="1" ht="12.75">
      <c r="A53" s="5" t="s">
        <v>140</v>
      </c>
      <c r="B53" s="6">
        <v>4.0335</v>
      </c>
      <c r="C53" s="3"/>
      <c r="D53" s="5" t="s">
        <v>141</v>
      </c>
      <c r="E53" s="6">
        <v>15.1</v>
      </c>
      <c r="F53" s="3"/>
      <c r="G53" s="5" t="s">
        <v>48</v>
      </c>
      <c r="H53" s="6">
        <v>508.2125514619205</v>
      </c>
      <c r="I53" s="3"/>
      <c r="J53" s="5" t="s">
        <v>142</v>
      </c>
      <c r="K53" s="7">
        <v>15920.342397002682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x14ac:dyDescent="0.25" r="54" customHeight="1" ht="12.75">
      <c r="A54" s="5" t="s">
        <v>143</v>
      </c>
      <c r="B54" s="6">
        <v>4.01016</v>
      </c>
      <c r="C54" s="3"/>
      <c r="D54" s="5" t="s">
        <v>144</v>
      </c>
      <c r="E54" s="6">
        <v>15</v>
      </c>
      <c r="F54" s="3"/>
      <c r="G54" s="5" t="s">
        <v>145</v>
      </c>
      <c r="H54" s="6">
        <v>506.55107633922836</v>
      </c>
      <c r="I54" s="3"/>
      <c r="J54" s="5" t="s">
        <v>83</v>
      </c>
      <c r="K54" s="7">
        <v>15739.763745999999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x14ac:dyDescent="0.25" r="55" customHeight="1" ht="12.75">
      <c r="A55" s="5" t="s">
        <v>146</v>
      </c>
      <c r="B55" s="6">
        <v>3.9261658</v>
      </c>
      <c r="C55" s="3"/>
      <c r="D55" s="5" t="s">
        <v>60</v>
      </c>
      <c r="E55" s="6">
        <v>14.940609359766004</v>
      </c>
      <c r="F55" s="3"/>
      <c r="G55" s="5" t="s">
        <v>147</v>
      </c>
      <c r="H55" s="6">
        <v>502.84483887781346</v>
      </c>
      <c r="I55" s="3"/>
      <c r="J55" s="5" t="s">
        <v>90</v>
      </c>
      <c r="K55" s="7">
        <v>15165.48470450376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x14ac:dyDescent="0.25" r="56" customHeight="1" ht="12.75">
      <c r="A56" s="5" t="s">
        <v>148</v>
      </c>
      <c r="B56" s="6">
        <v>3.9101999999999992</v>
      </c>
      <c r="C56" s="3"/>
      <c r="D56" s="5" t="s">
        <v>149</v>
      </c>
      <c r="E56" s="6">
        <v>14.913089005235603</v>
      </c>
      <c r="F56" s="3"/>
      <c r="G56" s="5" t="s">
        <v>84</v>
      </c>
      <c r="H56" s="6">
        <v>498.3598016334405</v>
      </c>
      <c r="I56" s="3"/>
      <c r="J56" s="5" t="s">
        <v>124</v>
      </c>
      <c r="K56" s="7">
        <v>15107.37496963987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x14ac:dyDescent="0.25" r="57" customHeight="1" ht="12.75">
      <c r="A57" s="5" t="s">
        <v>150</v>
      </c>
      <c r="B57" s="6">
        <v>3.6575</v>
      </c>
      <c r="C57" s="3"/>
      <c r="D57" s="5" t="s">
        <v>33</v>
      </c>
      <c r="E57" s="6">
        <v>14.782906764168189</v>
      </c>
      <c r="F57" s="3"/>
      <c r="G57" s="5" t="s">
        <v>34</v>
      </c>
      <c r="H57" s="6">
        <v>496.9182872733119</v>
      </c>
      <c r="I57" s="3"/>
      <c r="J57" s="5" t="s">
        <v>56</v>
      </c>
      <c r="K57" s="7">
        <v>14682.361696040083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x14ac:dyDescent="0.25" r="58" customHeight="1" ht="12.75">
      <c r="A58" s="5" t="s">
        <v>112</v>
      </c>
      <c r="B58" s="6">
        <v>3.5154</v>
      </c>
      <c r="C58" s="3"/>
      <c r="D58" s="5" t="s">
        <v>151</v>
      </c>
      <c r="E58" s="6">
        <v>14.7</v>
      </c>
      <c r="F58" s="3"/>
      <c r="G58" s="5" t="s">
        <v>152</v>
      </c>
      <c r="H58" s="6">
        <v>496.4017730707396</v>
      </c>
      <c r="I58" s="3"/>
      <c r="J58" s="5" t="s">
        <v>153</v>
      </c>
      <c r="K58" s="7">
        <v>14642.94435391108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x14ac:dyDescent="0.25" r="59" customHeight="1" ht="12.75">
      <c r="A59" s="5" t="s">
        <v>154</v>
      </c>
      <c r="B59" s="6">
        <v>3.476064</v>
      </c>
      <c r="C59" s="3"/>
      <c r="D59" s="5" t="s">
        <v>89</v>
      </c>
      <c r="E59" s="6">
        <v>14.68</v>
      </c>
      <c r="F59" s="3"/>
      <c r="G59" s="5" t="s">
        <v>123</v>
      </c>
      <c r="H59" s="6">
        <v>494.43674007974346</v>
      </c>
      <c r="I59" s="3"/>
      <c r="J59" s="5" t="s">
        <v>155</v>
      </c>
      <c r="K59" s="7">
        <v>14366.095912764016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x14ac:dyDescent="0.25" r="60" customHeight="1" ht="12.75">
      <c r="A60" s="5" t="s">
        <v>153</v>
      </c>
      <c r="B60" s="6">
        <v>3.45296703</v>
      </c>
      <c r="C60" s="3"/>
      <c r="D60" s="5" t="s">
        <v>156</v>
      </c>
      <c r="E60" s="6">
        <v>14.651315789473685</v>
      </c>
      <c r="F60" s="3"/>
      <c r="G60" s="5" t="s">
        <v>157</v>
      </c>
      <c r="H60" s="6">
        <v>489.10903931146595</v>
      </c>
      <c r="I60" s="3"/>
      <c r="J60" s="5" t="s">
        <v>146</v>
      </c>
      <c r="K60" s="7">
        <v>13935.637376659002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x14ac:dyDescent="0.25" r="61" customHeight="1" ht="12.75">
      <c r="A61" s="5" t="s">
        <v>158</v>
      </c>
      <c r="B61" s="6">
        <v>3.4000000000000004</v>
      </c>
      <c r="C61" s="3"/>
      <c r="D61" s="5" t="s">
        <v>159</v>
      </c>
      <c r="E61" s="6">
        <v>14.280109622411695</v>
      </c>
      <c r="F61" s="3"/>
      <c r="G61" s="5" t="s">
        <v>160</v>
      </c>
      <c r="H61" s="6">
        <v>481.7924272</v>
      </c>
      <c r="I61" s="3"/>
      <c r="J61" s="5" t="s">
        <v>129</v>
      </c>
      <c r="K61" s="7">
        <v>13870.006903592923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x14ac:dyDescent="0.25" r="62" customHeight="1" ht="12.75">
      <c r="A62" s="5" t="s">
        <v>161</v>
      </c>
      <c r="B62" s="6">
        <v>3.38</v>
      </c>
      <c r="C62" s="3"/>
      <c r="D62" s="5" t="s">
        <v>16</v>
      </c>
      <c r="E62" s="6">
        <v>14.15</v>
      </c>
      <c r="F62" s="3"/>
      <c r="G62" s="5" t="s">
        <v>59</v>
      </c>
      <c r="H62" s="6">
        <v>481.07323515627013</v>
      </c>
      <c r="I62" s="3"/>
      <c r="J62" s="5" t="s">
        <v>161</v>
      </c>
      <c r="K62" s="7">
        <v>13667.285424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x14ac:dyDescent="0.25" r="63" customHeight="1" ht="12.75">
      <c r="A63" s="5" t="s">
        <v>162</v>
      </c>
      <c r="B63" s="6">
        <v>3.36</v>
      </c>
      <c r="C63" s="3"/>
      <c r="D63" s="5" t="s">
        <v>163</v>
      </c>
      <c r="E63" s="6">
        <v>14</v>
      </c>
      <c r="F63" s="3"/>
      <c r="G63" s="5" t="s">
        <v>149</v>
      </c>
      <c r="H63" s="6">
        <v>479.58732823474355</v>
      </c>
      <c r="I63" s="3"/>
      <c r="J63" s="5" t="s">
        <v>116</v>
      </c>
      <c r="K63" s="7">
        <v>13628.876072134728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x14ac:dyDescent="0.25" r="64" customHeight="1" ht="12.75">
      <c r="A64" s="5" t="s">
        <v>49</v>
      </c>
      <c r="B64" s="6">
        <v>3.1104760000000002</v>
      </c>
      <c r="C64" s="3"/>
      <c r="D64" s="5" t="s">
        <v>66</v>
      </c>
      <c r="E64" s="6">
        <v>13.903174603174602</v>
      </c>
      <c r="F64" s="3"/>
      <c r="G64" s="5" t="s">
        <v>41</v>
      </c>
      <c r="H64" s="6">
        <v>477.73681999999997</v>
      </c>
      <c r="I64" s="3"/>
      <c r="J64" s="5" t="s">
        <v>164</v>
      </c>
      <c r="K64" s="7">
        <v>13343.56196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x14ac:dyDescent="0.25" r="65" customHeight="1" ht="12.75">
      <c r="A65" s="5" t="s">
        <v>165</v>
      </c>
      <c r="B65" s="6">
        <v>3.0771890219999993</v>
      </c>
      <c r="C65" s="3"/>
      <c r="D65" s="5" t="s">
        <v>166</v>
      </c>
      <c r="E65" s="6">
        <v>13.3</v>
      </c>
      <c r="F65" s="3"/>
      <c r="G65" s="5" t="s">
        <v>167</v>
      </c>
      <c r="H65" s="6">
        <v>476.40730991371356</v>
      </c>
      <c r="I65" s="3"/>
      <c r="J65" s="5" t="s">
        <v>168</v>
      </c>
      <c r="K65" s="7">
        <v>13188.067994639998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x14ac:dyDescent="0.25" r="66" customHeight="1" ht="12.75">
      <c r="A66" s="5" t="s">
        <v>169</v>
      </c>
      <c r="B66" s="6">
        <v>3.0723760209</v>
      </c>
      <c r="C66" s="3"/>
      <c r="D66" s="5" t="s">
        <v>170</v>
      </c>
      <c r="E66" s="6">
        <v>13.278688524590164</v>
      </c>
      <c r="F66" s="3"/>
      <c r="G66" s="5" t="s">
        <v>102</v>
      </c>
      <c r="H66" s="6">
        <v>474.67891978911734</v>
      </c>
      <c r="I66" s="3"/>
      <c r="J66" s="5" t="s">
        <v>68</v>
      </c>
      <c r="K66" s="7">
        <v>12971.344006612144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x14ac:dyDescent="0.25" r="67" customHeight="1" ht="12.75">
      <c r="A67" s="5" t="s">
        <v>171</v>
      </c>
      <c r="B67" s="6">
        <v>2.9949820000000003</v>
      </c>
      <c r="C67" s="3"/>
      <c r="D67" s="5" t="s">
        <v>8</v>
      </c>
      <c r="E67" s="6">
        <v>13.255721649484535</v>
      </c>
      <c r="F67" s="3"/>
      <c r="G67" s="5" t="s">
        <v>73</v>
      </c>
      <c r="H67" s="6">
        <v>470.353810659164</v>
      </c>
      <c r="I67" s="3"/>
      <c r="J67" s="5" t="s">
        <v>172</v>
      </c>
      <c r="K67" s="7">
        <v>12932.994110861866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x14ac:dyDescent="0.25" r="68" customHeight="1" ht="12.75">
      <c r="A68" s="5" t="s">
        <v>37</v>
      </c>
      <c r="B68" s="6">
        <v>2.9748732024000004</v>
      </c>
      <c r="C68" s="3"/>
      <c r="D68" s="5" t="s">
        <v>87</v>
      </c>
      <c r="E68" s="6">
        <v>13.1325</v>
      </c>
      <c r="F68" s="3"/>
      <c r="G68" s="5" t="s">
        <v>43</v>
      </c>
      <c r="H68" s="6">
        <v>467.81611999999996</v>
      </c>
      <c r="I68" s="3"/>
      <c r="J68" s="5" t="s">
        <v>127</v>
      </c>
      <c r="K68" s="7">
        <v>12822.219308011576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x14ac:dyDescent="0.25" r="69" customHeight="1" ht="12.75">
      <c r="A69" s="5" t="s">
        <v>105</v>
      </c>
      <c r="B69" s="6">
        <v>2.9706650000000003</v>
      </c>
      <c r="C69" s="3"/>
      <c r="D69" s="5" t="s">
        <v>173</v>
      </c>
      <c r="E69" s="6">
        <v>13</v>
      </c>
      <c r="F69" s="3"/>
      <c r="G69" s="5" t="s">
        <v>174</v>
      </c>
      <c r="H69" s="6">
        <v>467.11004941510953</v>
      </c>
      <c r="I69" s="3"/>
      <c r="J69" s="5" t="s">
        <v>101</v>
      </c>
      <c r="K69" s="7">
        <v>12466.748448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x14ac:dyDescent="0.25" r="70" customHeight="1" ht="12.75">
      <c r="A70" s="5" t="s">
        <v>128</v>
      </c>
      <c r="B70" s="6">
        <v>2.9574000000000003</v>
      </c>
      <c r="C70" s="3"/>
      <c r="D70" s="5" t="s">
        <v>175</v>
      </c>
      <c r="E70" s="6">
        <v>13</v>
      </c>
      <c r="F70" s="3"/>
      <c r="G70" s="5" t="s">
        <v>132</v>
      </c>
      <c r="H70" s="6">
        <v>465.1573831639871</v>
      </c>
      <c r="I70" s="3"/>
      <c r="J70" s="5" t="s">
        <v>104</v>
      </c>
      <c r="K70" s="7">
        <v>11891.004062676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x14ac:dyDescent="0.25" r="71" customHeight="1" ht="12.75">
      <c r="A71" s="5" t="s">
        <v>168</v>
      </c>
      <c r="B71" s="6">
        <v>2.91688</v>
      </c>
      <c r="C71" s="3"/>
      <c r="D71" s="5" t="s">
        <v>176</v>
      </c>
      <c r="E71" s="6">
        <v>13</v>
      </c>
      <c r="F71" s="3"/>
      <c r="G71" s="5" t="s">
        <v>177</v>
      </c>
      <c r="H71" s="6">
        <v>464.72081873672937</v>
      </c>
      <c r="I71" s="3"/>
      <c r="J71" s="5" t="s">
        <v>120</v>
      </c>
      <c r="K71" s="7">
        <v>11850.228391673809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x14ac:dyDescent="0.25" r="72" customHeight="1" ht="12.75">
      <c r="A72" s="5" t="s">
        <v>178</v>
      </c>
      <c r="B72" s="6">
        <v>2.89345</v>
      </c>
      <c r="C72" s="3"/>
      <c r="D72" s="5" t="s">
        <v>179</v>
      </c>
      <c r="E72" s="6">
        <v>13</v>
      </c>
      <c r="F72" s="3"/>
      <c r="G72" s="5" t="s">
        <v>180</v>
      </c>
      <c r="H72" s="6">
        <v>461.9360636655949</v>
      </c>
      <c r="I72" s="3"/>
      <c r="J72" s="5" t="s">
        <v>181</v>
      </c>
      <c r="K72" s="7">
        <v>11777.544038270207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x14ac:dyDescent="0.25" r="73" customHeight="1" ht="12.75">
      <c r="A73" s="5" t="s">
        <v>114</v>
      </c>
      <c r="B73" s="6">
        <v>2.8618200000000003</v>
      </c>
      <c r="C73" s="3"/>
      <c r="D73" s="5" t="s">
        <v>182</v>
      </c>
      <c r="E73" s="6">
        <v>12.964302325581393</v>
      </c>
      <c r="F73" s="3"/>
      <c r="G73" s="5" t="s">
        <v>183</v>
      </c>
      <c r="H73" s="6">
        <v>460.99623221155343</v>
      </c>
      <c r="I73" s="3"/>
      <c r="J73" s="5" t="s">
        <v>184</v>
      </c>
      <c r="K73" s="7">
        <v>11757.178149719999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x14ac:dyDescent="0.25" r="74" customHeight="1" ht="12.75">
      <c r="A74" s="5" t="s">
        <v>149</v>
      </c>
      <c r="B74" s="6">
        <v>2.8484</v>
      </c>
      <c r="C74" s="3"/>
      <c r="D74" s="5" t="s">
        <v>185</v>
      </c>
      <c r="E74" s="6">
        <v>12.874827586206898</v>
      </c>
      <c r="F74" s="3"/>
      <c r="G74" s="5" t="s">
        <v>186</v>
      </c>
      <c r="H74" s="6">
        <v>458.1347940385852</v>
      </c>
      <c r="I74" s="3"/>
      <c r="J74" s="5" t="s">
        <v>187</v>
      </c>
      <c r="K74" s="7">
        <v>11523.235869502854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x14ac:dyDescent="0.25" r="75" customHeight="1" ht="12.75">
      <c r="A75" s="5" t="s">
        <v>27</v>
      </c>
      <c r="B75" s="6">
        <v>2.8173185</v>
      </c>
      <c r="C75" s="3"/>
      <c r="D75" s="5" t="s">
        <v>188</v>
      </c>
      <c r="E75" s="6">
        <v>12.83681875156681</v>
      </c>
      <c r="F75" s="3"/>
      <c r="G75" s="5" t="s">
        <v>189</v>
      </c>
      <c r="H75" s="6">
        <v>457.1522167525838</v>
      </c>
      <c r="I75" s="3"/>
      <c r="J75" s="5" t="s">
        <v>169</v>
      </c>
      <c r="K75" s="7">
        <v>10929.828254322523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x14ac:dyDescent="0.25" r="76" customHeight="1" ht="12.75">
      <c r="A76" s="5" t="s">
        <v>155</v>
      </c>
      <c r="B76" s="6">
        <v>2.8023139881000003</v>
      </c>
      <c r="C76" s="3"/>
      <c r="D76" s="5" t="s">
        <v>62</v>
      </c>
      <c r="E76" s="6">
        <v>12.8</v>
      </c>
      <c r="F76" s="3"/>
      <c r="G76" s="5" t="s">
        <v>69</v>
      </c>
      <c r="H76" s="6">
        <v>455.5969571961415</v>
      </c>
      <c r="I76" s="3"/>
      <c r="J76" s="5" t="s">
        <v>190</v>
      </c>
      <c r="K76" s="7">
        <v>10750.702455871358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x14ac:dyDescent="0.25" r="77" customHeight="1" ht="12.75">
      <c r="A77" s="5" t="s">
        <v>191</v>
      </c>
      <c r="B77" s="6">
        <v>2.7468</v>
      </c>
      <c r="C77" s="3"/>
      <c r="D77" s="5" t="s">
        <v>83</v>
      </c>
      <c r="E77" s="6">
        <v>12.7</v>
      </c>
      <c r="F77" s="3"/>
      <c r="G77" s="5" t="s">
        <v>192</v>
      </c>
      <c r="H77" s="6">
        <v>455.1901212829582</v>
      </c>
      <c r="I77" s="3"/>
      <c r="J77" s="5" t="s">
        <v>193</v>
      </c>
      <c r="K77" s="7">
        <v>10109.405087287605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x14ac:dyDescent="0.25" r="78" customHeight="1" ht="12.75">
      <c r="A78" s="5" t="s">
        <v>164</v>
      </c>
      <c r="B78" s="6">
        <v>2.6500000000000004</v>
      </c>
      <c r="C78" s="3"/>
      <c r="D78" s="5" t="s">
        <v>194</v>
      </c>
      <c r="E78" s="6">
        <v>12.7</v>
      </c>
      <c r="F78" s="3"/>
      <c r="G78" s="5" t="s">
        <v>195</v>
      </c>
      <c r="H78" s="6">
        <v>453.7734630983923</v>
      </c>
      <c r="I78" s="3"/>
      <c r="J78" s="5" t="s">
        <v>140</v>
      </c>
      <c r="K78" s="7">
        <v>9758.288402643087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x14ac:dyDescent="0.25" r="79" customHeight="1" ht="12.75">
      <c r="A79" s="5" t="s">
        <v>109</v>
      </c>
      <c r="B79" s="6">
        <v>2.649659100000001</v>
      </c>
      <c r="C79" s="3"/>
      <c r="D79" s="5" t="s">
        <v>196</v>
      </c>
      <c r="E79" s="6">
        <v>12.660481012658225</v>
      </c>
      <c r="F79" s="3"/>
      <c r="G79" s="5" t="s">
        <v>159</v>
      </c>
      <c r="H79" s="6">
        <v>451.1020338927127</v>
      </c>
      <c r="I79" s="3"/>
      <c r="J79" s="5" t="s">
        <v>30</v>
      </c>
      <c r="K79" s="7">
        <v>9675.4735236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x14ac:dyDescent="0.25" r="80" customHeight="1" ht="12.75">
      <c r="A80" s="5" t="s">
        <v>197</v>
      </c>
      <c r="B80" s="6">
        <v>2.60188</v>
      </c>
      <c r="C80" s="3"/>
      <c r="D80" s="5" t="s">
        <v>198</v>
      </c>
      <c r="E80" s="6">
        <v>12.470442571127503</v>
      </c>
      <c r="F80" s="3"/>
      <c r="G80" s="5" t="s">
        <v>199</v>
      </c>
      <c r="H80" s="6">
        <v>441.89909928842445</v>
      </c>
      <c r="I80" s="3"/>
      <c r="J80" s="5" t="s">
        <v>200</v>
      </c>
      <c r="K80" s="7">
        <v>9513.051260690161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x14ac:dyDescent="0.25" r="81" customHeight="1" ht="12.75">
      <c r="A81" s="5" t="s">
        <v>201</v>
      </c>
      <c r="B81" s="6">
        <v>2.5655920000000005</v>
      </c>
      <c r="C81" s="3"/>
      <c r="D81" s="5" t="s">
        <v>202</v>
      </c>
      <c r="E81" s="6">
        <v>12.418888888888892</v>
      </c>
      <c r="F81" s="3"/>
      <c r="G81" s="5" t="s">
        <v>64</v>
      </c>
      <c r="H81" s="6">
        <v>441.54916627170417</v>
      </c>
      <c r="I81" s="3"/>
      <c r="J81" s="5" t="s">
        <v>137</v>
      </c>
      <c r="K81" s="7">
        <v>9332.450567486641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x14ac:dyDescent="0.25" r="82" customHeight="1" ht="12.75">
      <c r="A82" s="5" t="s">
        <v>203</v>
      </c>
      <c r="B82" s="6">
        <v>2.5</v>
      </c>
      <c r="C82" s="3"/>
      <c r="D82" s="5" t="s">
        <v>204</v>
      </c>
      <c r="E82" s="6">
        <v>12.4</v>
      </c>
      <c r="F82" s="3"/>
      <c r="G82" s="5" t="s">
        <v>61</v>
      </c>
      <c r="H82" s="6">
        <v>441.47114999999997</v>
      </c>
      <c r="I82" s="3"/>
      <c r="J82" s="5" t="s">
        <v>149</v>
      </c>
      <c r="K82" s="7">
        <v>9160.117969283603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x14ac:dyDescent="0.25" r="83" customHeight="1" ht="12.75">
      <c r="A83" s="5" t="s">
        <v>205</v>
      </c>
      <c r="B83" s="6">
        <v>2.45</v>
      </c>
      <c r="C83" s="3"/>
      <c r="D83" s="5" t="s">
        <v>206</v>
      </c>
      <c r="E83" s="6">
        <v>12.3</v>
      </c>
      <c r="F83" s="3"/>
      <c r="G83" s="5" t="s">
        <v>207</v>
      </c>
      <c r="H83" s="6">
        <v>439.47960627853683</v>
      </c>
      <c r="I83" s="3"/>
      <c r="J83" s="5" t="s">
        <v>208</v>
      </c>
      <c r="K83" s="7">
        <v>9073.24669765259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x14ac:dyDescent="0.25" r="84" customHeight="1" ht="12.75">
      <c r="A84" s="5" t="s">
        <v>209</v>
      </c>
      <c r="B84" s="6">
        <v>2.43836</v>
      </c>
      <c r="C84" s="3"/>
      <c r="D84" s="5" t="s">
        <v>29</v>
      </c>
      <c r="E84" s="6">
        <v>12.274755341144038</v>
      </c>
      <c r="F84" s="3"/>
      <c r="G84" s="5" t="s">
        <v>182</v>
      </c>
      <c r="H84" s="6">
        <v>433.23665621299887</v>
      </c>
      <c r="I84" s="3"/>
      <c r="J84" s="5" t="s">
        <v>209</v>
      </c>
      <c r="K84" s="7">
        <v>9037.460033398585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x14ac:dyDescent="0.25" r="85" customHeight="1" ht="12.75">
      <c r="A85" s="5" t="s">
        <v>170</v>
      </c>
      <c r="B85" s="6">
        <v>2.4299999999999997</v>
      </c>
      <c r="C85" s="3"/>
      <c r="D85" s="5" t="s">
        <v>210</v>
      </c>
      <c r="E85" s="6">
        <v>12.16950464396285</v>
      </c>
      <c r="F85" s="3"/>
      <c r="G85" s="5" t="s">
        <v>211</v>
      </c>
      <c r="H85" s="6">
        <v>431.6735044319431</v>
      </c>
      <c r="I85" s="3"/>
      <c r="J85" s="5" t="s">
        <v>212</v>
      </c>
      <c r="K85" s="7">
        <v>8903.513026476527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x14ac:dyDescent="0.25" r="86" customHeight="1" ht="12.75">
      <c r="A86" s="5" t="s">
        <v>213</v>
      </c>
      <c r="B86" s="6">
        <v>2.4181999999999997</v>
      </c>
      <c r="C86" s="3"/>
      <c r="D86" s="5" t="s">
        <v>214</v>
      </c>
      <c r="E86" s="6">
        <v>12.154545454545454</v>
      </c>
      <c r="F86" s="3"/>
      <c r="G86" s="5" t="s">
        <v>53</v>
      </c>
      <c r="H86" s="6">
        <v>431.021346</v>
      </c>
      <c r="I86" s="3"/>
      <c r="J86" s="5" t="s">
        <v>215</v>
      </c>
      <c r="K86" s="7">
        <v>8862.976409003215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x14ac:dyDescent="0.25" r="87" customHeight="1" ht="12.75">
      <c r="A87" s="5" t="s">
        <v>216</v>
      </c>
      <c r="B87" s="6">
        <v>2.376420196</v>
      </c>
      <c r="C87" s="3"/>
      <c r="D87" s="5" t="s">
        <v>217</v>
      </c>
      <c r="E87" s="6">
        <v>12.1</v>
      </c>
      <c r="F87" s="3"/>
      <c r="G87" s="5" t="s">
        <v>125</v>
      </c>
      <c r="H87" s="6">
        <v>427.89374440707394</v>
      </c>
      <c r="I87" s="3"/>
      <c r="J87" s="5" t="s">
        <v>218</v>
      </c>
      <c r="K87" s="7">
        <v>8827.999129797685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x14ac:dyDescent="0.25" r="88" customHeight="1" ht="12.75">
      <c r="A88" s="5" t="s">
        <v>219</v>
      </c>
      <c r="B88" s="6">
        <v>2.375</v>
      </c>
      <c r="C88" s="3"/>
      <c r="D88" s="5" t="s">
        <v>220</v>
      </c>
      <c r="E88" s="6">
        <v>12.1</v>
      </c>
      <c r="F88" s="3"/>
      <c r="G88" s="5" t="s">
        <v>221</v>
      </c>
      <c r="H88" s="6">
        <v>425.4428370877814</v>
      </c>
      <c r="I88" s="3"/>
      <c r="J88" s="5" t="s">
        <v>143</v>
      </c>
      <c r="K88" s="7">
        <v>8527.76229096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x14ac:dyDescent="0.25" r="89" customHeight="1" ht="12.75">
      <c r="A89" s="5" t="s">
        <v>107</v>
      </c>
      <c r="B89" s="6">
        <v>2.3495999999999997</v>
      </c>
      <c r="C89" s="3"/>
      <c r="D89" s="5" t="s">
        <v>222</v>
      </c>
      <c r="E89" s="6">
        <v>12.06</v>
      </c>
      <c r="F89" s="3"/>
      <c r="G89" s="5" t="s">
        <v>223</v>
      </c>
      <c r="H89" s="6">
        <v>425.04624328575363</v>
      </c>
      <c r="I89" s="3"/>
      <c r="J89" s="5" t="s">
        <v>112</v>
      </c>
      <c r="K89" s="7">
        <v>8396.958533428939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x14ac:dyDescent="0.25" r="90" customHeight="1" ht="12.75">
      <c r="A90" s="5" t="s">
        <v>193</v>
      </c>
      <c r="B90" s="6">
        <v>2.348394</v>
      </c>
      <c r="C90" s="3"/>
      <c r="D90" s="5" t="s">
        <v>224</v>
      </c>
      <c r="E90" s="6">
        <v>12.03</v>
      </c>
      <c r="F90" s="3"/>
      <c r="G90" s="5" t="s">
        <v>225</v>
      </c>
      <c r="H90" s="6">
        <v>421.5305413528176</v>
      </c>
      <c r="I90" s="3"/>
      <c r="J90" s="5" t="s">
        <v>226</v>
      </c>
      <c r="K90" s="7">
        <v>8362.58404849011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x14ac:dyDescent="0.25" r="91" customHeight="1" ht="12.75">
      <c r="A91" s="5" t="s">
        <v>190</v>
      </c>
      <c r="B91" s="6">
        <v>2.2768588</v>
      </c>
      <c r="C91" s="3"/>
      <c r="D91" s="5" t="s">
        <v>227</v>
      </c>
      <c r="E91" s="6">
        <v>12.026666666666667</v>
      </c>
      <c r="F91" s="3"/>
      <c r="G91" s="5" t="s">
        <v>188</v>
      </c>
      <c r="H91" s="6">
        <v>421.2314690917652</v>
      </c>
      <c r="I91" s="3"/>
      <c r="J91" s="5" t="s">
        <v>148</v>
      </c>
      <c r="K91" s="7">
        <v>8283.1716212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x14ac:dyDescent="0.25" r="92" customHeight="1" ht="12.75">
      <c r="A92" s="5" t="s">
        <v>228</v>
      </c>
      <c r="B92" s="6">
        <v>2.2513</v>
      </c>
      <c r="C92" s="3"/>
      <c r="D92" s="5" t="s">
        <v>229</v>
      </c>
      <c r="E92" s="6">
        <v>11.94591836734694</v>
      </c>
      <c r="F92" s="3"/>
      <c r="G92" s="5" t="s">
        <v>77</v>
      </c>
      <c r="H92" s="6">
        <v>418.9327263177878</v>
      </c>
      <c r="I92" s="3"/>
      <c r="J92" s="5" t="s">
        <v>230</v>
      </c>
      <c r="K92" s="7">
        <v>8271.270849458857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x14ac:dyDescent="0.25" r="93" customHeight="1" ht="12.75">
      <c r="A93" s="5" t="s">
        <v>226</v>
      </c>
      <c r="B93" s="6">
        <v>2.2509</v>
      </c>
      <c r="C93" s="3"/>
      <c r="D93" s="5" t="s">
        <v>113</v>
      </c>
      <c r="E93" s="6">
        <v>11.83</v>
      </c>
      <c r="F93" s="3"/>
      <c r="G93" s="5" t="s">
        <v>231</v>
      </c>
      <c r="H93" s="6">
        <v>417.2564063954984</v>
      </c>
      <c r="I93" s="3"/>
      <c r="J93" s="5" t="s">
        <v>171</v>
      </c>
      <c r="K93" s="7">
        <v>8199.442381155814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x14ac:dyDescent="0.25" r="94" customHeight="1" ht="12.75">
      <c r="A94" s="5" t="s">
        <v>10</v>
      </c>
      <c r="B94" s="6">
        <v>2.2475560000000003</v>
      </c>
      <c r="C94" s="3"/>
      <c r="D94" s="5" t="s">
        <v>178</v>
      </c>
      <c r="E94" s="6">
        <v>11.81</v>
      </c>
      <c r="F94" s="3"/>
      <c r="G94" s="5" t="s">
        <v>232</v>
      </c>
      <c r="H94" s="6">
        <v>416.1000624394887</v>
      </c>
      <c r="I94" s="3"/>
      <c r="J94" s="5" t="s">
        <v>233</v>
      </c>
      <c r="K94" s="7">
        <v>8173.7162988948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x14ac:dyDescent="0.25" r="95" customHeight="1" ht="12.75">
      <c r="A95" s="5" t="s">
        <v>212</v>
      </c>
      <c r="B95" s="6">
        <v>2.2464500000000003</v>
      </c>
      <c r="C95" s="3"/>
      <c r="D95" s="5" t="s">
        <v>234</v>
      </c>
      <c r="E95" s="6">
        <v>11.757328970490214</v>
      </c>
      <c r="F95" s="3"/>
      <c r="G95" s="5" t="s">
        <v>67</v>
      </c>
      <c r="H95" s="6">
        <v>415.44192355932205</v>
      </c>
      <c r="I95" s="3"/>
      <c r="J95" s="5" t="s">
        <v>235</v>
      </c>
      <c r="K95" s="7">
        <v>8056.048544085305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x14ac:dyDescent="0.25" r="96" customHeight="1" ht="12.75">
      <c r="A96" s="5" t="s">
        <v>133</v>
      </c>
      <c r="B96" s="6">
        <v>2.2439999999999998</v>
      </c>
      <c r="C96" s="3"/>
      <c r="D96" s="5" t="s">
        <v>197</v>
      </c>
      <c r="E96" s="6">
        <v>11.6</v>
      </c>
      <c r="F96" s="3"/>
      <c r="G96" s="5" t="s">
        <v>95</v>
      </c>
      <c r="H96" s="6">
        <v>415.395371233256</v>
      </c>
      <c r="I96" s="3"/>
      <c r="J96" s="5" t="s">
        <v>236</v>
      </c>
      <c r="K96" s="7">
        <v>8031.205116829933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x14ac:dyDescent="0.25" r="97" customHeight="1" ht="12.75">
      <c r="A97" s="5" t="s">
        <v>185</v>
      </c>
      <c r="B97" s="6">
        <v>2.24022</v>
      </c>
      <c r="C97" s="3"/>
      <c r="D97" s="5" t="s">
        <v>237</v>
      </c>
      <c r="E97" s="6">
        <v>11.6</v>
      </c>
      <c r="F97" s="3"/>
      <c r="G97" s="5" t="s">
        <v>238</v>
      </c>
      <c r="H97" s="6">
        <v>415.36483394525925</v>
      </c>
      <c r="I97" s="3"/>
      <c r="J97" s="5" t="s">
        <v>165</v>
      </c>
      <c r="K97" s="7">
        <v>7874.512548601163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x14ac:dyDescent="0.25" r="98" customHeight="1" ht="12.75">
      <c r="A98" s="5" t="s">
        <v>239</v>
      </c>
      <c r="B98" s="6">
        <v>2.223</v>
      </c>
      <c r="C98" s="3"/>
      <c r="D98" s="5" t="s">
        <v>240</v>
      </c>
      <c r="E98" s="6">
        <v>11.6</v>
      </c>
      <c r="F98" s="3"/>
      <c r="G98" s="5" t="s">
        <v>241</v>
      </c>
      <c r="H98" s="6">
        <v>413.32675458026813</v>
      </c>
      <c r="I98" s="3"/>
      <c r="J98" s="5" t="s">
        <v>158</v>
      </c>
      <c r="K98" s="7">
        <v>7819.94944823151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x14ac:dyDescent="0.25" r="99" customHeight="1" ht="12.75">
      <c r="A99" s="5" t="s">
        <v>242</v>
      </c>
      <c r="B99" s="6">
        <v>2.2229999999999994</v>
      </c>
      <c r="C99" s="3"/>
      <c r="D99" s="5" t="s">
        <v>243</v>
      </c>
      <c r="E99" s="6">
        <v>11.6</v>
      </c>
      <c r="F99" s="3"/>
      <c r="G99" s="5" t="s">
        <v>229</v>
      </c>
      <c r="H99" s="6">
        <v>412.2368583786722</v>
      </c>
      <c r="I99" s="3"/>
      <c r="J99" s="5" t="s">
        <v>150</v>
      </c>
      <c r="K99" s="7">
        <v>7759.117257499999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x14ac:dyDescent="0.25" r="100" customHeight="1" ht="12.75">
      <c r="A100" s="5" t="s">
        <v>244</v>
      </c>
      <c r="B100" s="6">
        <v>2.2057</v>
      </c>
      <c r="C100" s="3"/>
      <c r="D100" s="5" t="s">
        <v>245</v>
      </c>
      <c r="E100" s="6">
        <v>11.59</v>
      </c>
      <c r="F100" s="3"/>
      <c r="G100" s="5" t="s">
        <v>246</v>
      </c>
      <c r="H100" s="6">
        <v>409.1711385102894</v>
      </c>
      <c r="I100" s="3"/>
      <c r="J100" s="5" t="s">
        <v>191</v>
      </c>
      <c r="K100" s="7">
        <v>7758.107676150482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x14ac:dyDescent="0.25" r="101" customHeight="1" ht="12.75">
      <c r="A101" s="5" t="s">
        <v>247</v>
      </c>
      <c r="B101" s="6">
        <v>2.204799999999999</v>
      </c>
      <c r="C101" s="3"/>
      <c r="D101" s="5" t="s">
        <v>248</v>
      </c>
      <c r="E101" s="6">
        <v>11.54375</v>
      </c>
      <c r="F101" s="3"/>
      <c r="G101" s="5" t="s">
        <v>209</v>
      </c>
      <c r="H101" s="6">
        <v>399.88761209728256</v>
      </c>
      <c r="I101" s="3"/>
      <c r="J101" s="5" t="s">
        <v>249</v>
      </c>
      <c r="K101" s="7">
        <v>7640.240622111254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x14ac:dyDescent="0.25" r="102" customHeight="1" ht="12.75">
      <c r="A102" s="5" t="s">
        <v>250</v>
      </c>
      <c r="B102" s="6">
        <v>2.1974400000000003</v>
      </c>
      <c r="C102" s="3"/>
      <c r="D102" s="5" t="s">
        <v>186</v>
      </c>
      <c r="E102" s="6">
        <v>11.5</v>
      </c>
      <c r="F102" s="3"/>
      <c r="G102" s="5" t="s">
        <v>151</v>
      </c>
      <c r="H102" s="6">
        <v>399.793187</v>
      </c>
      <c r="I102" s="3"/>
      <c r="J102" s="5" t="s">
        <v>251</v>
      </c>
      <c r="K102" s="7">
        <v>7604.94841878784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x14ac:dyDescent="0.25" r="103" customHeight="1" ht="12.75">
      <c r="A103" s="5" t="s">
        <v>252</v>
      </c>
      <c r="B103" s="6">
        <v>2.1095739</v>
      </c>
      <c r="C103" s="3"/>
      <c r="D103" s="5" t="s">
        <v>139</v>
      </c>
      <c r="E103" s="6">
        <v>11.5</v>
      </c>
      <c r="F103" s="3"/>
      <c r="G103" s="5" t="s">
        <v>253</v>
      </c>
      <c r="H103" s="6">
        <v>397.1310981109325</v>
      </c>
      <c r="I103" s="3"/>
      <c r="J103" s="5" t="s">
        <v>254</v>
      </c>
      <c r="K103" s="7">
        <v>7588.047978665279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x14ac:dyDescent="0.25" r="104" customHeight="1" ht="12.75">
      <c r="A104" s="5" t="s">
        <v>136</v>
      </c>
      <c r="B104" s="6">
        <v>2.0864860000000003</v>
      </c>
      <c r="C104" s="3"/>
      <c r="D104" s="5" t="s">
        <v>255</v>
      </c>
      <c r="E104" s="6">
        <v>11.5</v>
      </c>
      <c r="F104" s="3"/>
      <c r="G104" s="5" t="s">
        <v>256</v>
      </c>
      <c r="H104" s="6">
        <v>396.6167699</v>
      </c>
      <c r="I104" s="3"/>
      <c r="J104" s="5" t="s">
        <v>257</v>
      </c>
      <c r="K104" s="7">
        <v>7576.784814399036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x14ac:dyDescent="0.25" r="105" customHeight="1" ht="12.75">
      <c r="A105" s="5" t="s">
        <v>258</v>
      </c>
      <c r="B105" s="6">
        <v>2.08</v>
      </c>
      <c r="C105" s="3"/>
      <c r="D105" s="5" t="s">
        <v>259</v>
      </c>
      <c r="E105" s="6">
        <v>11.493333333333334</v>
      </c>
      <c r="F105" s="3"/>
      <c r="G105" s="5" t="s">
        <v>190</v>
      </c>
      <c r="H105" s="6">
        <v>395.0866361350689</v>
      </c>
      <c r="I105" s="3"/>
      <c r="J105" s="5" t="s">
        <v>260</v>
      </c>
      <c r="K105" s="7">
        <v>7563.510224128618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x14ac:dyDescent="0.25" r="106" customHeight="1" ht="12.75">
      <c r="A106" s="5" t="s">
        <v>215</v>
      </c>
      <c r="B106" s="6">
        <v>2.08</v>
      </c>
      <c r="C106" s="3"/>
      <c r="D106" s="5" t="s">
        <v>261</v>
      </c>
      <c r="E106" s="6">
        <v>11.46</v>
      </c>
      <c r="F106" s="3"/>
      <c r="G106" s="5" t="s">
        <v>141</v>
      </c>
      <c r="H106" s="6">
        <v>392.7018968360129</v>
      </c>
      <c r="I106" s="3"/>
      <c r="J106" s="5" t="s">
        <v>262</v>
      </c>
      <c r="K106" s="7">
        <v>7535.76629429447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x14ac:dyDescent="0.25" r="107" customHeight="1" ht="12.75">
      <c r="A107" s="5" t="s">
        <v>218</v>
      </c>
      <c r="B107" s="6">
        <v>2.07963</v>
      </c>
      <c r="C107" s="3"/>
      <c r="D107" s="5" t="s">
        <v>171</v>
      </c>
      <c r="E107" s="6">
        <v>11.432101687151691</v>
      </c>
      <c r="F107" s="3"/>
      <c r="G107" s="5" t="s">
        <v>263</v>
      </c>
      <c r="H107" s="6">
        <v>390.92009775948554</v>
      </c>
      <c r="I107" s="3"/>
      <c r="J107" s="5" t="s">
        <v>27</v>
      </c>
      <c r="K107" s="7">
        <v>7421.5306503392985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x14ac:dyDescent="0.25" r="108" customHeight="1" ht="12.75">
      <c r="A108" s="5" t="s">
        <v>194</v>
      </c>
      <c r="B108" s="6">
        <v>2.0548599999999997</v>
      </c>
      <c r="C108" s="3"/>
      <c r="D108" s="5" t="s">
        <v>225</v>
      </c>
      <c r="E108" s="6">
        <v>11.409509427164647</v>
      </c>
      <c r="F108" s="3"/>
      <c r="G108" s="5" t="s">
        <v>112</v>
      </c>
      <c r="H108" s="6">
        <v>386.9566144437299</v>
      </c>
      <c r="I108" s="3"/>
      <c r="J108" s="5" t="s">
        <v>49</v>
      </c>
      <c r="K108" s="7">
        <v>7380.601764756964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x14ac:dyDescent="0.25" r="109" customHeight="1" ht="12.75">
      <c r="A109" s="5" t="s">
        <v>68</v>
      </c>
      <c r="B109" s="6">
        <v>2.049022</v>
      </c>
      <c r="C109" s="3"/>
      <c r="D109" s="5" t="s">
        <v>192</v>
      </c>
      <c r="E109" s="6">
        <v>11.399999999999999</v>
      </c>
      <c r="F109" s="3"/>
      <c r="G109" s="5" t="s">
        <v>264</v>
      </c>
      <c r="H109" s="6">
        <v>385.12769766221516</v>
      </c>
      <c r="I109" s="3"/>
      <c r="J109" s="5" t="s">
        <v>107</v>
      </c>
      <c r="K109" s="7">
        <v>7362.991573130545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x14ac:dyDescent="0.25" r="110" customHeight="1" ht="12.75">
      <c r="A110" s="5" t="s">
        <v>265</v>
      </c>
      <c r="B110" s="6">
        <v>2.03802</v>
      </c>
      <c r="C110" s="3"/>
      <c r="D110" s="5" t="s">
        <v>199</v>
      </c>
      <c r="E110" s="6">
        <v>11.399999999999999</v>
      </c>
      <c r="F110" s="3"/>
      <c r="G110" s="5" t="s">
        <v>163</v>
      </c>
      <c r="H110" s="6">
        <v>382.93902</v>
      </c>
      <c r="I110" s="3"/>
      <c r="J110" s="5" t="s">
        <v>154</v>
      </c>
      <c r="K110" s="7">
        <v>7338.700952408999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x14ac:dyDescent="0.25" r="111" customHeight="1" ht="12.75">
      <c r="A111" s="5" t="s">
        <v>248</v>
      </c>
      <c r="B111" s="6">
        <v>2.0317000000000003</v>
      </c>
      <c r="C111" s="3"/>
      <c r="D111" s="5" t="s">
        <v>213</v>
      </c>
      <c r="E111" s="6">
        <v>11.299999999999999</v>
      </c>
      <c r="F111" s="3"/>
      <c r="G111" s="5" t="s">
        <v>266</v>
      </c>
      <c r="H111" s="6">
        <v>382.5581483697749</v>
      </c>
      <c r="I111" s="3"/>
      <c r="J111" s="5" t="s">
        <v>258</v>
      </c>
      <c r="K111" s="7">
        <v>7189.641519999999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x14ac:dyDescent="0.25" r="112" customHeight="1" ht="12.75">
      <c r="A112" s="5" t="s">
        <v>267</v>
      </c>
      <c r="B112" s="6">
        <v>1.9825587</v>
      </c>
      <c r="C112" s="3"/>
      <c r="D112" s="5" t="s">
        <v>70</v>
      </c>
      <c r="E112" s="6">
        <v>11.286593607305935</v>
      </c>
      <c r="F112" s="3"/>
      <c r="G112" s="5" t="s">
        <v>237</v>
      </c>
      <c r="H112" s="6">
        <v>380.8118155061094</v>
      </c>
      <c r="I112" s="3"/>
      <c r="J112" s="5" t="s">
        <v>162</v>
      </c>
      <c r="K112" s="7">
        <v>7180.6026600000005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x14ac:dyDescent="0.25" r="113" customHeight="1" ht="12.75">
      <c r="A113" s="5" t="s">
        <v>234</v>
      </c>
      <c r="B113" s="6">
        <v>1.940312</v>
      </c>
      <c r="C113" s="3"/>
      <c r="D113" s="5" t="s">
        <v>268</v>
      </c>
      <c r="E113" s="6">
        <v>11.239999999999998</v>
      </c>
      <c r="F113" s="3"/>
      <c r="G113" s="5" t="s">
        <v>88</v>
      </c>
      <c r="H113" s="6">
        <v>378.816418</v>
      </c>
      <c r="I113" s="3"/>
      <c r="J113" s="5" t="s">
        <v>269</v>
      </c>
      <c r="K113" s="7">
        <v>7126.295471226836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x14ac:dyDescent="0.25" r="114" customHeight="1" ht="12.75">
      <c r="A114" s="5" t="s">
        <v>268</v>
      </c>
      <c r="B114" s="6">
        <v>1.9377759999999997</v>
      </c>
      <c r="C114" s="3"/>
      <c r="D114" s="5" t="s">
        <v>270</v>
      </c>
      <c r="E114" s="6">
        <v>11.114834703809368</v>
      </c>
      <c r="F114" s="3"/>
      <c r="G114" s="5" t="s">
        <v>42</v>
      </c>
      <c r="H114" s="6">
        <v>377.65614481672026</v>
      </c>
      <c r="I114" s="3"/>
      <c r="J114" s="5" t="s">
        <v>216</v>
      </c>
      <c r="K114" s="7">
        <v>7100.635779089388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x14ac:dyDescent="0.25" r="115" customHeight="1" ht="12.75">
      <c r="A115" s="5" t="s">
        <v>166</v>
      </c>
      <c r="B115" s="6">
        <v>1.92584</v>
      </c>
      <c r="C115" s="3"/>
      <c r="D115" s="5" t="s">
        <v>271</v>
      </c>
      <c r="E115" s="6">
        <v>11.1</v>
      </c>
      <c r="F115" s="3"/>
      <c r="G115" s="5" t="s">
        <v>272</v>
      </c>
      <c r="H115" s="6">
        <v>377.10917634397805</v>
      </c>
      <c r="I115" s="3"/>
      <c r="J115" s="5" t="s">
        <v>267</v>
      </c>
      <c r="K115" s="7">
        <v>7093.884981487922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x14ac:dyDescent="0.25" r="116" customHeight="1" ht="12.75">
      <c r="A116" s="5" t="s">
        <v>34</v>
      </c>
      <c r="B116" s="6">
        <v>1.9220699999999997</v>
      </c>
      <c r="C116" s="3"/>
      <c r="D116" s="5" t="s">
        <v>92</v>
      </c>
      <c r="E116" s="6">
        <v>11.01</v>
      </c>
      <c r="F116" s="3"/>
      <c r="G116" s="5" t="s">
        <v>271</v>
      </c>
      <c r="H116" s="6">
        <v>374.7814993762058</v>
      </c>
      <c r="I116" s="3"/>
      <c r="J116" s="5" t="s">
        <v>273</v>
      </c>
      <c r="K116" s="7">
        <v>7074.071650116704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x14ac:dyDescent="0.25" r="117" customHeight="1" ht="12.75">
      <c r="A117" s="5" t="s">
        <v>274</v>
      </c>
      <c r="B117" s="6">
        <v>1.9075</v>
      </c>
      <c r="C117" s="3"/>
      <c r="D117" s="5" t="s">
        <v>275</v>
      </c>
      <c r="E117" s="6">
        <v>11</v>
      </c>
      <c r="F117" s="3"/>
      <c r="G117" s="5" t="s">
        <v>259</v>
      </c>
      <c r="H117" s="6">
        <v>373.84907056664525</v>
      </c>
      <c r="I117" s="3"/>
      <c r="J117" s="5" t="s">
        <v>37</v>
      </c>
      <c r="K117" s="7">
        <v>7072.309745759504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x14ac:dyDescent="0.25" r="118" customHeight="1" ht="12.75">
      <c r="A118" s="5" t="s">
        <v>276</v>
      </c>
      <c r="B118" s="6">
        <v>1.8811700000000005</v>
      </c>
      <c r="C118" s="3"/>
      <c r="D118" s="5" t="s">
        <v>98</v>
      </c>
      <c r="E118" s="6">
        <v>10.985960541292528</v>
      </c>
      <c r="F118" s="3"/>
      <c r="G118" s="5" t="s">
        <v>277</v>
      </c>
      <c r="H118" s="6">
        <v>373.8205906508039</v>
      </c>
      <c r="I118" s="3"/>
      <c r="J118" s="5" t="s">
        <v>178</v>
      </c>
      <c r="K118" s="7">
        <v>6975.3144631999985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x14ac:dyDescent="0.25" r="119" customHeight="1" ht="12.75">
      <c r="A119" s="5" t="s">
        <v>278</v>
      </c>
      <c r="B119" s="6">
        <v>1.8729900000000002</v>
      </c>
      <c r="C119" s="3"/>
      <c r="D119" s="5" t="s">
        <v>279</v>
      </c>
      <c r="E119" s="6">
        <v>10.969270386266095</v>
      </c>
      <c r="F119" s="3"/>
      <c r="G119" s="5" t="s">
        <v>280</v>
      </c>
      <c r="H119" s="6">
        <v>372.2196894424437</v>
      </c>
      <c r="I119" s="3"/>
      <c r="J119" s="5" t="s">
        <v>281</v>
      </c>
      <c r="K119" s="7">
        <v>6880.936060678174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x14ac:dyDescent="0.25" r="120" customHeight="1" ht="12.75">
      <c r="A120" s="5" t="s">
        <v>230</v>
      </c>
      <c r="B120" s="6">
        <v>1.8135551823379252</v>
      </c>
      <c r="C120" s="3"/>
      <c r="D120" s="5" t="s">
        <v>201</v>
      </c>
      <c r="E120" s="6">
        <v>10.940690831556504</v>
      </c>
      <c r="F120" s="3"/>
      <c r="G120" s="5" t="s">
        <v>282</v>
      </c>
      <c r="H120" s="6">
        <v>371.9769552906674</v>
      </c>
      <c r="I120" s="3"/>
      <c r="J120" s="5" t="s">
        <v>242</v>
      </c>
      <c r="K120" s="7">
        <v>6503.951747983921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x14ac:dyDescent="0.25" r="121" customHeight="1" ht="12.75">
      <c r="A121" s="5" t="s">
        <v>283</v>
      </c>
      <c r="B121" s="6">
        <v>1.805</v>
      </c>
      <c r="C121" s="3"/>
      <c r="D121" s="5" t="s">
        <v>284</v>
      </c>
      <c r="E121" s="6">
        <v>10.939662921348315</v>
      </c>
      <c r="F121" s="3"/>
      <c r="G121" s="5" t="s">
        <v>210</v>
      </c>
      <c r="H121" s="6">
        <v>370.14593994878203</v>
      </c>
      <c r="I121" s="3"/>
      <c r="J121" s="5" t="s">
        <v>285</v>
      </c>
      <c r="K121" s="7">
        <v>6390.880900976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x14ac:dyDescent="0.25" r="122" customHeight="1" ht="12.75">
      <c r="A122" s="5" t="s">
        <v>236</v>
      </c>
      <c r="B122" s="6">
        <v>1.8021950000000002</v>
      </c>
      <c r="C122" s="3"/>
      <c r="D122" s="5" t="s">
        <v>191</v>
      </c>
      <c r="E122" s="6">
        <v>10.9</v>
      </c>
      <c r="F122" s="3"/>
      <c r="G122" s="5" t="s">
        <v>286</v>
      </c>
      <c r="H122" s="6">
        <v>369.95978460000003</v>
      </c>
      <c r="I122" s="3"/>
      <c r="J122" s="5" t="s">
        <v>287</v>
      </c>
      <c r="K122" s="7">
        <v>6283.4120302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x14ac:dyDescent="0.25" r="123" customHeight="1" ht="12.75">
      <c r="A123" s="5" t="s">
        <v>173</v>
      </c>
      <c r="B123" s="6">
        <v>1.7550000000000001</v>
      </c>
      <c r="C123" s="3"/>
      <c r="D123" s="5" t="s">
        <v>288</v>
      </c>
      <c r="E123" s="6">
        <v>10.9</v>
      </c>
      <c r="F123" s="3"/>
      <c r="G123" s="5" t="s">
        <v>110</v>
      </c>
      <c r="H123" s="6">
        <v>368.5656674115756</v>
      </c>
      <c r="I123" s="3"/>
      <c r="J123" s="5" t="s">
        <v>70</v>
      </c>
      <c r="K123" s="7">
        <v>6148.947329595303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x14ac:dyDescent="0.25" r="124" customHeight="1" ht="12.75">
      <c r="A124" s="5" t="s">
        <v>289</v>
      </c>
      <c r="B124" s="6">
        <v>1.7</v>
      </c>
      <c r="C124" s="3"/>
      <c r="D124" s="5" t="s">
        <v>44</v>
      </c>
      <c r="E124" s="6">
        <v>10.9</v>
      </c>
      <c r="F124" s="3"/>
      <c r="G124" s="5" t="s">
        <v>290</v>
      </c>
      <c r="H124" s="6">
        <v>368.37309475767995</v>
      </c>
      <c r="I124" s="3"/>
      <c r="J124" s="5" t="s">
        <v>201</v>
      </c>
      <c r="K124" s="7">
        <v>6076.386556174027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x14ac:dyDescent="0.25" r="125" customHeight="1" ht="12.75">
      <c r="A125" s="5" t="s">
        <v>291</v>
      </c>
      <c r="B125" s="6">
        <v>1.6956900000000001</v>
      </c>
      <c r="C125" s="3"/>
      <c r="D125" s="5" t="s">
        <v>274</v>
      </c>
      <c r="E125" s="6">
        <v>10.899999999999999</v>
      </c>
      <c r="F125" s="3"/>
      <c r="G125" s="5" t="s">
        <v>292</v>
      </c>
      <c r="H125" s="6">
        <v>366.51030914147907</v>
      </c>
      <c r="I125" s="3"/>
      <c r="J125" s="5" t="s">
        <v>293</v>
      </c>
      <c r="K125" s="7">
        <v>6024.7900528736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x14ac:dyDescent="0.25" r="126" customHeight="1" ht="12.75">
      <c r="A126" s="5" t="s">
        <v>294</v>
      </c>
      <c r="B126" s="6">
        <v>1.6842947368421055</v>
      </c>
      <c r="C126" s="3"/>
      <c r="D126" s="5" t="s">
        <v>209</v>
      </c>
      <c r="E126" s="6">
        <v>10.789203539823008</v>
      </c>
      <c r="F126" s="3"/>
      <c r="G126" s="5" t="s">
        <v>91</v>
      </c>
      <c r="H126" s="6">
        <v>366.41554299999996</v>
      </c>
      <c r="I126" s="3"/>
      <c r="J126" s="5" t="s">
        <v>295</v>
      </c>
      <c r="K126" s="7">
        <v>6009.135372900592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x14ac:dyDescent="0.25" r="127" customHeight="1" ht="12.75">
      <c r="A127" s="5" t="s">
        <v>237</v>
      </c>
      <c r="B127" s="6">
        <v>1.6717920000000002</v>
      </c>
      <c r="C127" s="3"/>
      <c r="D127" s="5" t="s">
        <v>296</v>
      </c>
      <c r="E127" s="6">
        <v>10.722679509632226</v>
      </c>
      <c r="F127" s="3"/>
      <c r="G127" s="5" t="s">
        <v>99</v>
      </c>
      <c r="H127" s="6">
        <v>365.136875</v>
      </c>
      <c r="I127" s="3"/>
      <c r="J127" s="5" t="s">
        <v>297</v>
      </c>
      <c r="K127" s="7">
        <v>6000.4479618043415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x14ac:dyDescent="0.25" r="128" customHeight="1" ht="12.75">
      <c r="A128" s="5" t="s">
        <v>142</v>
      </c>
      <c r="B128" s="6">
        <v>1.668424</v>
      </c>
      <c r="C128" s="3"/>
      <c r="D128" s="5" t="s">
        <v>238</v>
      </c>
      <c r="E128" s="6">
        <v>10.721951219512198</v>
      </c>
      <c r="F128" s="3"/>
      <c r="G128" s="5" t="s">
        <v>298</v>
      </c>
      <c r="H128" s="6">
        <v>362.733727036656</v>
      </c>
      <c r="I128" s="3"/>
      <c r="J128" s="5" t="s">
        <v>294</v>
      </c>
      <c r="K128" s="7">
        <v>5981.95484770875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x14ac:dyDescent="0.25" r="129" customHeight="1" ht="12.75">
      <c r="A129" s="5" t="s">
        <v>126</v>
      </c>
      <c r="B129" s="6">
        <v>1.6683100000000002</v>
      </c>
      <c r="C129" s="3"/>
      <c r="D129" s="5" t="s">
        <v>299</v>
      </c>
      <c r="E129" s="6">
        <v>10.7</v>
      </c>
      <c r="F129" s="3"/>
      <c r="G129" s="5" t="s">
        <v>97</v>
      </c>
      <c r="H129" s="6">
        <v>362.10555</v>
      </c>
      <c r="I129" s="3"/>
      <c r="J129" s="5" t="s">
        <v>203</v>
      </c>
      <c r="K129" s="7">
        <v>5963.684212218649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x14ac:dyDescent="0.25" r="130" customHeight="1" ht="12.75">
      <c r="A130" s="5" t="s">
        <v>251</v>
      </c>
      <c r="B130" s="6">
        <v>1.6655680000000002</v>
      </c>
      <c r="C130" s="3"/>
      <c r="D130" s="5" t="s">
        <v>300</v>
      </c>
      <c r="E130" s="6">
        <v>10.7</v>
      </c>
      <c r="F130" s="3"/>
      <c r="G130" s="5" t="s">
        <v>142</v>
      </c>
      <c r="H130" s="6">
        <v>358.64704656460196</v>
      </c>
      <c r="I130" s="3"/>
      <c r="J130" s="5" t="s">
        <v>265</v>
      </c>
      <c r="K130" s="7">
        <v>5931.043096939035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x14ac:dyDescent="0.25" r="131" customHeight="1" ht="12.75">
      <c r="A131" s="5" t="s">
        <v>249</v>
      </c>
      <c r="B131" s="6">
        <v>1.6634000000000002</v>
      </c>
      <c r="C131" s="3"/>
      <c r="D131" s="5" t="s">
        <v>301</v>
      </c>
      <c r="E131" s="6">
        <v>10.491333333333333</v>
      </c>
      <c r="F131" s="3"/>
      <c r="G131" s="5" t="s">
        <v>302</v>
      </c>
      <c r="H131" s="6">
        <v>358.5808880824709</v>
      </c>
      <c r="I131" s="3"/>
      <c r="J131" s="5" t="s">
        <v>303</v>
      </c>
      <c r="K131" s="7">
        <v>5771.251314194791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x14ac:dyDescent="0.25" r="132" customHeight="1" ht="12.75">
      <c r="A132" s="5" t="s">
        <v>45</v>
      </c>
      <c r="B132" s="6">
        <v>1.65219</v>
      </c>
      <c r="C132" s="3"/>
      <c r="D132" s="5" t="s">
        <v>231</v>
      </c>
      <c r="E132" s="6">
        <v>10.4</v>
      </c>
      <c r="F132" s="3"/>
      <c r="G132" s="5" t="s">
        <v>304</v>
      </c>
      <c r="H132" s="6">
        <v>357.7903560926045</v>
      </c>
      <c r="I132" s="3"/>
      <c r="J132" s="5" t="s">
        <v>305</v>
      </c>
      <c r="K132" s="7">
        <v>5763.168958555365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12.75">
      <c r="A133" s="5" t="s">
        <v>306</v>
      </c>
      <c r="B133" s="6">
        <v>1.6441974</v>
      </c>
      <c r="C133" s="3"/>
      <c r="D133" s="5" t="s">
        <v>307</v>
      </c>
      <c r="E133" s="6">
        <v>10.3</v>
      </c>
      <c r="F133" s="3"/>
      <c r="G133" s="5" t="s">
        <v>308</v>
      </c>
      <c r="H133" s="6">
        <v>357.1275107102564</v>
      </c>
      <c r="I133" s="3"/>
      <c r="J133" s="5" t="s">
        <v>309</v>
      </c>
      <c r="K133" s="7">
        <v>5620.736640308997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x14ac:dyDescent="0.25" r="134" customHeight="1" ht="12.75">
      <c r="A134" s="5" t="s">
        <v>123</v>
      </c>
      <c r="B134" s="6">
        <v>1.611822</v>
      </c>
      <c r="C134" s="3"/>
      <c r="D134" s="5" t="s">
        <v>310</v>
      </c>
      <c r="E134" s="6">
        <v>10.26473829201102</v>
      </c>
      <c r="F134" s="3"/>
      <c r="G134" s="5" t="s">
        <v>279</v>
      </c>
      <c r="H134" s="6">
        <v>355.39934246335235</v>
      </c>
      <c r="I134" s="3"/>
      <c r="J134" s="5" t="s">
        <v>252</v>
      </c>
      <c r="K134" s="7">
        <v>5585.9082835296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x14ac:dyDescent="0.25" r="135" customHeight="1" ht="12.75">
      <c r="A135" s="5" t="s">
        <v>311</v>
      </c>
      <c r="B135" s="6">
        <v>1.5997315993999999</v>
      </c>
      <c r="C135" s="3"/>
      <c r="D135" s="5" t="s">
        <v>298</v>
      </c>
      <c r="E135" s="6">
        <v>10.239999999999998</v>
      </c>
      <c r="F135" s="3"/>
      <c r="G135" s="5" t="s">
        <v>222</v>
      </c>
      <c r="H135" s="6">
        <v>354.4137959385852</v>
      </c>
      <c r="I135" s="3"/>
      <c r="J135" s="5" t="s">
        <v>185</v>
      </c>
      <c r="K135" s="7">
        <v>5560.999422651769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x14ac:dyDescent="0.25" r="136" customHeight="1" ht="12.75">
      <c r="A136" s="5" t="s">
        <v>312</v>
      </c>
      <c r="B136" s="6">
        <v>1.5730399999999998</v>
      </c>
      <c r="C136" s="3"/>
      <c r="D136" s="5" t="s">
        <v>308</v>
      </c>
      <c r="E136" s="6">
        <v>10.220532447525517</v>
      </c>
      <c r="F136" s="3"/>
      <c r="G136" s="5" t="s">
        <v>33</v>
      </c>
      <c r="H136" s="6">
        <v>351.68274504304384</v>
      </c>
      <c r="I136" s="3"/>
      <c r="J136" s="5" t="s">
        <v>213</v>
      </c>
      <c r="K136" s="7">
        <v>5533.285399392926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x14ac:dyDescent="0.25" r="137" customHeight="1" ht="12.75">
      <c r="A137" s="5" t="s">
        <v>210</v>
      </c>
      <c r="B137" s="6">
        <v>1.5723</v>
      </c>
      <c r="C137" s="3"/>
      <c r="D137" s="5" t="s">
        <v>263</v>
      </c>
      <c r="E137" s="6">
        <v>10.21</v>
      </c>
      <c r="F137" s="3"/>
      <c r="G137" s="5" t="s">
        <v>313</v>
      </c>
      <c r="H137" s="6">
        <v>349.24832743408365</v>
      </c>
      <c r="I137" s="3"/>
      <c r="J137" s="5" t="s">
        <v>237</v>
      </c>
      <c r="K137" s="7">
        <v>5488.259885074048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x14ac:dyDescent="0.25" r="138" customHeight="1" ht="12.75">
      <c r="A138" s="5" t="s">
        <v>314</v>
      </c>
      <c r="B138" s="6">
        <v>1.5568914</v>
      </c>
      <c r="C138" s="3"/>
      <c r="D138" s="5" t="s">
        <v>313</v>
      </c>
      <c r="E138" s="6">
        <v>10.2</v>
      </c>
      <c r="F138" s="3"/>
      <c r="G138" s="5" t="s">
        <v>315</v>
      </c>
      <c r="H138" s="6">
        <v>349.14930170005454</v>
      </c>
      <c r="I138" s="3"/>
      <c r="J138" s="5" t="s">
        <v>197</v>
      </c>
      <c r="K138" s="7">
        <v>5427.54177728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x14ac:dyDescent="0.25" r="139" customHeight="1" ht="12.75">
      <c r="A139" s="5" t="s">
        <v>316</v>
      </c>
      <c r="B139" s="6">
        <v>1.5568914</v>
      </c>
      <c r="C139" s="3"/>
      <c r="D139" s="5" t="s">
        <v>317</v>
      </c>
      <c r="E139" s="6">
        <v>10.123609629974624</v>
      </c>
      <c r="F139" s="3"/>
      <c r="G139" s="5" t="s">
        <v>130</v>
      </c>
      <c r="H139" s="6">
        <v>346.80447316495173</v>
      </c>
      <c r="I139" s="3"/>
      <c r="J139" s="5" t="s">
        <v>318</v>
      </c>
      <c r="K139" s="7">
        <v>5301.609532793331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x14ac:dyDescent="0.25" r="140" customHeight="1" ht="12.75">
      <c r="A140" s="5" t="s">
        <v>319</v>
      </c>
      <c r="B140" s="6">
        <v>1.5154199000000002</v>
      </c>
      <c r="C140" s="3"/>
      <c r="D140" s="5" t="s">
        <v>320</v>
      </c>
      <c r="E140" s="6">
        <v>10.123593287265548</v>
      </c>
      <c r="F140" s="3"/>
      <c r="G140" s="5" t="s">
        <v>321</v>
      </c>
      <c r="H140" s="6">
        <v>344.0913829965052</v>
      </c>
      <c r="I140" s="3"/>
      <c r="J140" s="5" t="s">
        <v>205</v>
      </c>
      <c r="K140" s="7">
        <v>5292.69345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x14ac:dyDescent="0.25" r="141" customHeight="1" ht="12.75">
      <c r="A141" s="5" t="s">
        <v>196</v>
      </c>
      <c r="B141" s="6">
        <v>1.5002669999999998</v>
      </c>
      <c r="C141" s="3"/>
      <c r="D141" s="5" t="s">
        <v>278</v>
      </c>
      <c r="E141" s="6">
        <v>10.10787911494873</v>
      </c>
      <c r="F141" s="3"/>
      <c r="G141" s="5" t="s">
        <v>322</v>
      </c>
      <c r="H141" s="6">
        <v>342.3779694187647</v>
      </c>
      <c r="I141" s="3"/>
      <c r="J141" s="5" t="s">
        <v>323</v>
      </c>
      <c r="K141" s="7">
        <v>5278.945151910694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12.75">
      <c r="A142" s="5" t="s">
        <v>324</v>
      </c>
      <c r="B142" s="6">
        <v>1.5</v>
      </c>
      <c r="C142" s="3"/>
      <c r="D142" s="5" t="s">
        <v>325</v>
      </c>
      <c r="E142" s="6">
        <v>10.1</v>
      </c>
      <c r="F142" s="3"/>
      <c r="G142" s="5" t="s">
        <v>106</v>
      </c>
      <c r="H142" s="6">
        <v>342.33704652733115</v>
      </c>
      <c r="I142" s="3"/>
      <c r="J142" s="5" t="s">
        <v>326</v>
      </c>
      <c r="K142" s="7">
        <v>5271.7142211543405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12.75">
      <c r="A143" s="5" t="s">
        <v>327</v>
      </c>
      <c r="B143" s="6">
        <v>1.49772</v>
      </c>
      <c r="C143" s="3"/>
      <c r="D143" s="5" t="s">
        <v>328</v>
      </c>
      <c r="E143" s="6">
        <v>10.1</v>
      </c>
      <c r="F143" s="3"/>
      <c r="G143" s="5" t="s">
        <v>329</v>
      </c>
      <c r="H143" s="6">
        <v>341.4398752733118</v>
      </c>
      <c r="I143" s="3"/>
      <c r="J143" s="5" t="s">
        <v>268</v>
      </c>
      <c r="K143" s="7">
        <v>5260.847018285903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x14ac:dyDescent="0.25" r="144" customHeight="1" ht="12.75">
      <c r="A144" s="5" t="s">
        <v>293</v>
      </c>
      <c r="B144" s="6">
        <v>1.49497</v>
      </c>
      <c r="C144" s="3"/>
      <c r="D144" s="5" t="s">
        <v>330</v>
      </c>
      <c r="E144" s="6">
        <v>10.084591836734692</v>
      </c>
      <c r="F144" s="3"/>
      <c r="G144" s="5" t="s">
        <v>117</v>
      </c>
      <c r="H144" s="6">
        <v>339.242459102</v>
      </c>
      <c r="I144" s="3"/>
      <c r="J144" s="5" t="s">
        <v>331</v>
      </c>
      <c r="K144" s="7">
        <v>5242.454790299071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x14ac:dyDescent="0.25" r="145" customHeight="1" ht="12.75">
      <c r="A145" s="5" t="s">
        <v>233</v>
      </c>
      <c r="B145" s="6">
        <v>1.4849823</v>
      </c>
      <c r="C145" s="3"/>
      <c r="D145" s="5" t="s">
        <v>108</v>
      </c>
      <c r="E145" s="6">
        <v>10.04046052631579</v>
      </c>
      <c r="F145" s="3"/>
      <c r="G145" s="5" t="s">
        <v>105</v>
      </c>
      <c r="H145" s="6">
        <v>338.7140498231946</v>
      </c>
      <c r="I145" s="3"/>
      <c r="J145" s="5" t="s">
        <v>131</v>
      </c>
      <c r="K145" s="7">
        <v>5148.309932958199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x14ac:dyDescent="0.25" r="146" customHeight="1" ht="12.75">
      <c r="A146" s="5" t="s">
        <v>332</v>
      </c>
      <c r="B146" s="6">
        <v>1.4795999999999998</v>
      </c>
      <c r="C146" s="3"/>
      <c r="D146" s="5" t="s">
        <v>256</v>
      </c>
      <c r="E146" s="6">
        <v>10.04</v>
      </c>
      <c r="F146" s="3"/>
      <c r="G146" s="5" t="s">
        <v>333</v>
      </c>
      <c r="H146" s="6">
        <v>338.67573961118967</v>
      </c>
      <c r="I146" s="3"/>
      <c r="J146" s="5" t="s">
        <v>170</v>
      </c>
      <c r="K146" s="7">
        <v>5130.765580000001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x14ac:dyDescent="0.25" r="147" customHeight="1" ht="12.75">
      <c r="A147" s="5" t="s">
        <v>262</v>
      </c>
      <c r="B147" s="6">
        <v>1.4693361</v>
      </c>
      <c r="C147" s="3"/>
      <c r="D147" s="5" t="s">
        <v>50</v>
      </c>
      <c r="E147" s="6">
        <v>10.023866604477611</v>
      </c>
      <c r="F147" s="3"/>
      <c r="G147" s="5" t="s">
        <v>87</v>
      </c>
      <c r="H147" s="6">
        <v>335.5663019402963</v>
      </c>
      <c r="I147" s="3"/>
      <c r="J147" s="5" t="s">
        <v>292</v>
      </c>
      <c r="K147" s="7">
        <v>5094.4932970665595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x14ac:dyDescent="0.25" r="148" customHeight="1" ht="12.75">
      <c r="A148" s="5" t="s">
        <v>269</v>
      </c>
      <c r="B148" s="6">
        <v>1.4648400000000001</v>
      </c>
      <c r="C148" s="3"/>
      <c r="D148" s="5" t="s">
        <v>334</v>
      </c>
      <c r="E148" s="6">
        <v>10.013829787234043</v>
      </c>
      <c r="F148" s="3"/>
      <c r="G148" s="5" t="s">
        <v>294</v>
      </c>
      <c r="H148" s="6">
        <v>335.2718056237942</v>
      </c>
      <c r="I148" s="3"/>
      <c r="J148" s="5" t="s">
        <v>219</v>
      </c>
      <c r="K148" s="7">
        <v>5033.377375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x14ac:dyDescent="0.25" r="149" customHeight="1" ht="12.75">
      <c r="A149" s="5" t="s">
        <v>335</v>
      </c>
      <c r="B149" s="6">
        <v>1.4549868</v>
      </c>
      <c r="C149" s="3"/>
      <c r="D149" s="5" t="s">
        <v>158</v>
      </c>
      <c r="E149" s="6">
        <v>10</v>
      </c>
      <c r="F149" s="3"/>
      <c r="G149" s="5" t="s">
        <v>336</v>
      </c>
      <c r="H149" s="6">
        <v>334.5633305074756</v>
      </c>
      <c r="I149" s="3"/>
      <c r="J149" s="5" t="s">
        <v>306</v>
      </c>
      <c r="K149" s="7">
        <v>5028.707808796401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x14ac:dyDescent="0.25" r="150" customHeight="1" ht="12.75">
      <c r="A150" s="5" t="s">
        <v>337</v>
      </c>
      <c r="B150" s="6">
        <v>1.4364</v>
      </c>
      <c r="C150" s="3"/>
      <c r="D150" s="5" t="s">
        <v>338</v>
      </c>
      <c r="E150" s="6">
        <v>10</v>
      </c>
      <c r="F150" s="3"/>
      <c r="G150" s="5" t="s">
        <v>339</v>
      </c>
      <c r="H150" s="6">
        <v>334.5285301172322</v>
      </c>
      <c r="I150" s="3"/>
      <c r="J150" s="5" t="s">
        <v>123</v>
      </c>
      <c r="K150" s="7">
        <v>4993.811074805409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x14ac:dyDescent="0.25" r="151" customHeight="1" ht="12.75">
      <c r="A151" s="5" t="s">
        <v>340</v>
      </c>
      <c r="B151" s="6">
        <v>1.407305</v>
      </c>
      <c r="C151" s="3"/>
      <c r="D151" s="5" t="s">
        <v>74</v>
      </c>
      <c r="E151" s="6">
        <v>10</v>
      </c>
      <c r="F151" s="3"/>
      <c r="G151" s="5" t="s">
        <v>301</v>
      </c>
      <c r="H151" s="6">
        <v>329.00810889410684</v>
      </c>
      <c r="I151" s="3"/>
      <c r="J151" s="5" t="s">
        <v>337</v>
      </c>
      <c r="K151" s="7">
        <v>4943.610722778135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x14ac:dyDescent="0.25" r="152" customHeight="1" ht="12.75">
      <c r="A152" s="5" t="s">
        <v>341</v>
      </c>
      <c r="B152" s="6">
        <v>1.3684499999999997</v>
      </c>
      <c r="C152" s="3"/>
      <c r="D152" s="5" t="s">
        <v>342</v>
      </c>
      <c r="E152" s="6">
        <v>9.971084337349398</v>
      </c>
      <c r="F152" s="3"/>
      <c r="G152" s="5" t="s">
        <v>270</v>
      </c>
      <c r="H152" s="6">
        <v>328.18365546394807</v>
      </c>
      <c r="I152" s="3"/>
      <c r="J152" s="5" t="s">
        <v>343</v>
      </c>
      <c r="K152" s="7">
        <v>4901.214680353763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x14ac:dyDescent="0.25" r="153" customHeight="1" ht="12.75">
      <c r="A153" s="5" t="s">
        <v>284</v>
      </c>
      <c r="B153" s="6">
        <v>1.3630820000000001</v>
      </c>
      <c r="C153" s="3"/>
      <c r="D153" s="5" t="s">
        <v>344</v>
      </c>
      <c r="E153" s="6">
        <v>9.966666666666665</v>
      </c>
      <c r="F153" s="3"/>
      <c r="G153" s="5" t="s">
        <v>345</v>
      </c>
      <c r="H153" s="6">
        <v>327.95003475719994</v>
      </c>
      <c r="I153" s="3"/>
      <c r="J153" s="5" t="s">
        <v>234</v>
      </c>
      <c r="K153" s="7">
        <v>4879.057199745633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x14ac:dyDescent="0.25" r="154" customHeight="1" ht="12.75">
      <c r="A154" s="5" t="s">
        <v>346</v>
      </c>
      <c r="B154" s="6">
        <v>1.352742</v>
      </c>
      <c r="C154" s="3"/>
      <c r="D154" s="5" t="s">
        <v>347</v>
      </c>
      <c r="E154" s="6">
        <v>9.942206185567011</v>
      </c>
      <c r="F154" s="3"/>
      <c r="G154" s="5" t="s">
        <v>348</v>
      </c>
      <c r="H154" s="6">
        <v>327.14026040514466</v>
      </c>
      <c r="I154" s="3"/>
      <c r="J154" s="5" t="s">
        <v>349</v>
      </c>
      <c r="K154" s="7">
        <v>4796.989140000001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x14ac:dyDescent="0.25" r="155" customHeight="1" ht="12.75">
      <c r="A155" s="5" t="s">
        <v>350</v>
      </c>
      <c r="B155" s="6">
        <v>1.3440034</v>
      </c>
      <c r="C155" s="3"/>
      <c r="D155" s="5" t="s">
        <v>286</v>
      </c>
      <c r="E155" s="6">
        <v>9.91</v>
      </c>
      <c r="F155" s="3"/>
      <c r="G155" s="5" t="s">
        <v>330</v>
      </c>
      <c r="H155" s="6">
        <v>326.7491108697967</v>
      </c>
      <c r="I155" s="3"/>
      <c r="J155" s="5" t="s">
        <v>276</v>
      </c>
      <c r="K155" s="7">
        <v>4789.073485704084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x14ac:dyDescent="0.25" r="156" customHeight="1" ht="12.75">
      <c r="A156" s="5" t="s">
        <v>351</v>
      </c>
      <c r="B156" s="6">
        <v>1.3311314999999997</v>
      </c>
      <c r="C156" s="3"/>
      <c r="D156" s="5" t="s">
        <v>131</v>
      </c>
      <c r="E156" s="6">
        <v>9.9</v>
      </c>
      <c r="F156" s="3"/>
      <c r="G156" s="5" t="s">
        <v>310</v>
      </c>
      <c r="H156" s="6">
        <v>325.18552831375104</v>
      </c>
      <c r="I156" s="3"/>
      <c r="J156" s="5" t="s">
        <v>210</v>
      </c>
      <c r="K156" s="7">
        <v>4782.2855441382635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x14ac:dyDescent="0.25" r="157" customHeight="1" ht="12.75">
      <c r="A157" s="5" t="s">
        <v>352</v>
      </c>
      <c r="B157" s="6">
        <v>1.3253849999999998</v>
      </c>
      <c r="C157" s="3"/>
      <c r="D157" s="5" t="s">
        <v>353</v>
      </c>
      <c r="E157" s="6">
        <v>9.9</v>
      </c>
      <c r="F157" s="3"/>
      <c r="G157" s="5" t="s">
        <v>202</v>
      </c>
      <c r="H157" s="6">
        <v>324.1972751567868</v>
      </c>
      <c r="I157" s="3"/>
      <c r="J157" s="5" t="s">
        <v>228</v>
      </c>
      <c r="K157" s="7">
        <v>4760.5978078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x14ac:dyDescent="0.25" r="158" customHeight="1" ht="12.75">
      <c r="A158" s="5" t="s">
        <v>132</v>
      </c>
      <c r="B158" s="6">
        <v>1.309275352</v>
      </c>
      <c r="C158" s="3"/>
      <c r="D158" s="5" t="s">
        <v>354</v>
      </c>
      <c r="E158" s="6">
        <v>9.811914216023924</v>
      </c>
      <c r="F158" s="3"/>
      <c r="G158" s="5" t="s">
        <v>217</v>
      </c>
      <c r="H158" s="6">
        <v>323.6620940943194</v>
      </c>
      <c r="I158" s="3"/>
      <c r="J158" s="5" t="s">
        <v>355</v>
      </c>
      <c r="K158" s="7">
        <v>4743.2255598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x14ac:dyDescent="0.25" r="159" customHeight="1" ht="12.75">
      <c r="A159" s="5" t="s">
        <v>344</v>
      </c>
      <c r="B159" s="6">
        <v>1.29168</v>
      </c>
      <c r="C159" s="3"/>
      <c r="D159" s="5" t="s">
        <v>356</v>
      </c>
      <c r="E159" s="6">
        <v>9.8</v>
      </c>
      <c r="F159" s="3"/>
      <c r="G159" s="5" t="s">
        <v>357</v>
      </c>
      <c r="H159" s="6">
        <v>322.55603079710613</v>
      </c>
      <c r="I159" s="3"/>
      <c r="J159" s="5" t="s">
        <v>319</v>
      </c>
      <c r="K159" s="7">
        <v>4695.2077712604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x14ac:dyDescent="0.25" r="160" customHeight="1" ht="12.75">
      <c r="A160" s="5" t="s">
        <v>325</v>
      </c>
      <c r="B160" s="6">
        <v>1.2726</v>
      </c>
      <c r="C160" s="3"/>
      <c r="D160" s="5" t="s">
        <v>68</v>
      </c>
      <c r="E160" s="6">
        <v>9.795496701405488</v>
      </c>
      <c r="F160" s="3"/>
      <c r="G160" s="5" t="s">
        <v>355</v>
      </c>
      <c r="H160" s="6">
        <v>320.4882135</v>
      </c>
      <c r="I160" s="3"/>
      <c r="J160" s="5" t="s">
        <v>358</v>
      </c>
      <c r="K160" s="7">
        <v>4684.6598560302255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x14ac:dyDescent="0.25" r="161" customHeight="1" ht="12.75">
      <c r="A161" s="5" t="s">
        <v>295</v>
      </c>
      <c r="B161" s="6">
        <v>1.2680280000000002</v>
      </c>
      <c r="C161" s="3"/>
      <c r="D161" s="5" t="s">
        <v>124</v>
      </c>
      <c r="E161" s="6">
        <v>9.7</v>
      </c>
      <c r="F161" s="3"/>
      <c r="G161" s="5" t="s">
        <v>198</v>
      </c>
      <c r="H161" s="6">
        <v>320.182612237311</v>
      </c>
      <c r="I161" s="3"/>
      <c r="J161" s="5" t="s">
        <v>250</v>
      </c>
      <c r="K161" s="7">
        <v>4657.665915639999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x14ac:dyDescent="0.25" r="162" customHeight="1" ht="12.75">
      <c r="A162" s="5" t="s">
        <v>235</v>
      </c>
      <c r="B162" s="6">
        <v>1.2677800000000001</v>
      </c>
      <c r="C162" s="3"/>
      <c r="D162" s="5" t="s">
        <v>359</v>
      </c>
      <c r="E162" s="6">
        <v>9.672535211267606</v>
      </c>
      <c r="F162" s="3"/>
      <c r="G162" s="5" t="s">
        <v>185</v>
      </c>
      <c r="H162" s="6">
        <v>319.5976679684925</v>
      </c>
      <c r="I162" s="3"/>
      <c r="J162" s="5" t="s">
        <v>360</v>
      </c>
      <c r="K162" s="7">
        <v>4631.431940612284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x14ac:dyDescent="0.25" r="163" customHeight="1" ht="12.75">
      <c r="A163" s="5" t="s">
        <v>361</v>
      </c>
      <c r="B163" s="6">
        <v>1.2434499</v>
      </c>
      <c r="C163" s="3"/>
      <c r="D163" s="5" t="s">
        <v>362</v>
      </c>
      <c r="E163" s="6">
        <v>9.614673365279543</v>
      </c>
      <c r="F163" s="3"/>
      <c r="G163" s="5" t="s">
        <v>320</v>
      </c>
      <c r="H163" s="6">
        <v>317.71418581009317</v>
      </c>
      <c r="I163" s="3"/>
      <c r="J163" s="5" t="s">
        <v>244</v>
      </c>
      <c r="K163" s="7">
        <v>4609.1065142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x14ac:dyDescent="0.25" r="164" customHeight="1" ht="12.75">
      <c r="A164" s="5" t="s">
        <v>363</v>
      </c>
      <c r="B164" s="6">
        <v>1.2421759999999997</v>
      </c>
      <c r="C164" s="3"/>
      <c r="D164" s="5" t="s">
        <v>329</v>
      </c>
      <c r="E164" s="6">
        <v>9.6</v>
      </c>
      <c r="F164" s="3"/>
      <c r="G164" s="5" t="s">
        <v>144</v>
      </c>
      <c r="H164" s="6">
        <v>317.186825</v>
      </c>
      <c r="I164" s="3"/>
      <c r="J164" s="5" t="s">
        <v>302</v>
      </c>
      <c r="K164" s="7">
        <v>4589.835367455627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x14ac:dyDescent="0.25" r="165" customHeight="1" ht="12.75">
      <c r="A165" s="5" t="s">
        <v>364</v>
      </c>
      <c r="B165" s="6">
        <v>1.2194280000000002</v>
      </c>
      <c r="C165" s="3"/>
      <c r="D165" s="5" t="s">
        <v>244</v>
      </c>
      <c r="E165" s="6">
        <v>9.59</v>
      </c>
      <c r="F165" s="3"/>
      <c r="G165" s="5" t="s">
        <v>365</v>
      </c>
      <c r="H165" s="6">
        <v>316.91125</v>
      </c>
      <c r="I165" s="3"/>
      <c r="J165" s="5" t="s">
        <v>239</v>
      </c>
      <c r="K165" s="7">
        <v>4583.319308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x14ac:dyDescent="0.25" r="166" customHeight="1" ht="12.75">
      <c r="A166" s="5" t="s">
        <v>366</v>
      </c>
      <c r="B166" s="6">
        <v>1.2184561</v>
      </c>
      <c r="C166" s="3"/>
      <c r="D166" s="5" t="s">
        <v>367</v>
      </c>
      <c r="E166" s="6">
        <v>9.504851893847484</v>
      </c>
      <c r="F166" s="3"/>
      <c r="G166" s="5" t="s">
        <v>66</v>
      </c>
      <c r="H166" s="6">
        <v>316.21885328147806</v>
      </c>
      <c r="I166" s="3"/>
      <c r="J166" s="5" t="s">
        <v>368</v>
      </c>
      <c r="K166" s="7">
        <v>4546.829956719076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x14ac:dyDescent="0.25" r="167" customHeight="1" ht="12.75">
      <c r="A167" s="5" t="s">
        <v>354</v>
      </c>
      <c r="B167" s="6">
        <v>1.2108196500000004</v>
      </c>
      <c r="C167" s="3"/>
      <c r="D167" s="5" t="s">
        <v>219</v>
      </c>
      <c r="E167" s="6">
        <v>9.5</v>
      </c>
      <c r="F167" s="3"/>
      <c r="G167" s="5" t="s">
        <v>369</v>
      </c>
      <c r="H167" s="6">
        <v>314.69173652941174</v>
      </c>
      <c r="I167" s="3"/>
      <c r="J167" s="5" t="s">
        <v>166</v>
      </c>
      <c r="K167" s="7">
        <v>4504.819335882445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x14ac:dyDescent="0.25" r="168" customHeight="1" ht="12.75">
      <c r="A168" s="5" t="s">
        <v>297</v>
      </c>
      <c r="B168" s="6">
        <v>1.20015</v>
      </c>
      <c r="C168" s="3"/>
      <c r="D168" s="5" t="s">
        <v>283</v>
      </c>
      <c r="E168" s="6">
        <v>9.5</v>
      </c>
      <c r="F168" s="3"/>
      <c r="G168" s="5" t="s">
        <v>370</v>
      </c>
      <c r="H168" s="6">
        <v>313.80939982277283</v>
      </c>
      <c r="I168" s="3"/>
      <c r="J168" s="5" t="s">
        <v>364</v>
      </c>
      <c r="K168" s="7">
        <v>4453.897707898225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x14ac:dyDescent="0.25" r="169" customHeight="1" ht="12.75">
      <c r="A169" s="5" t="s">
        <v>371</v>
      </c>
      <c r="B169" s="6">
        <v>1.2</v>
      </c>
      <c r="C169" s="3"/>
      <c r="D169" s="5" t="s">
        <v>372</v>
      </c>
      <c r="E169" s="6">
        <v>9.5</v>
      </c>
      <c r="F169" s="3"/>
      <c r="G169" s="5" t="s">
        <v>171</v>
      </c>
      <c r="H169" s="6">
        <v>312.9797076553864</v>
      </c>
      <c r="I169" s="3"/>
      <c r="J169" s="5" t="s">
        <v>118</v>
      </c>
      <c r="K169" s="7">
        <v>4440.154852953554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x14ac:dyDescent="0.25" r="170" customHeight="1" ht="12.75">
      <c r="A170" s="5" t="s">
        <v>373</v>
      </c>
      <c r="B170" s="6">
        <v>1.1900160000000002</v>
      </c>
      <c r="C170" s="3"/>
      <c r="D170" s="5" t="s">
        <v>374</v>
      </c>
      <c r="E170" s="6">
        <v>9.48</v>
      </c>
      <c r="F170" s="3"/>
      <c r="G170" s="5" t="s">
        <v>375</v>
      </c>
      <c r="H170" s="6">
        <v>312.9741916827438</v>
      </c>
      <c r="I170" s="3"/>
      <c r="J170" s="5" t="s">
        <v>376</v>
      </c>
      <c r="K170" s="7">
        <v>4330.082278234501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x14ac:dyDescent="0.25" r="171" customHeight="1" ht="12.75">
      <c r="A171" s="5" t="s">
        <v>285</v>
      </c>
      <c r="B171" s="6">
        <v>1.182896</v>
      </c>
      <c r="C171" s="3"/>
      <c r="D171" s="5" t="s">
        <v>294</v>
      </c>
      <c r="E171" s="6">
        <v>9.440000000000001</v>
      </c>
      <c r="F171" s="3"/>
      <c r="G171" s="5" t="s">
        <v>156</v>
      </c>
      <c r="H171" s="6">
        <v>312.3809420394737</v>
      </c>
      <c r="I171" s="3"/>
      <c r="J171" s="5" t="s">
        <v>248</v>
      </c>
      <c r="K171" s="7">
        <v>4325.548433728939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x14ac:dyDescent="0.25" r="172" customHeight="1" ht="12.75">
      <c r="A172" s="5" t="s">
        <v>377</v>
      </c>
      <c r="B172" s="6">
        <v>1.1753770000000001</v>
      </c>
      <c r="C172" s="3"/>
      <c r="D172" s="5" t="s">
        <v>378</v>
      </c>
      <c r="E172" s="6">
        <v>9.4</v>
      </c>
      <c r="F172" s="3"/>
      <c r="G172" s="5" t="s">
        <v>166</v>
      </c>
      <c r="H172" s="6">
        <v>311.10630772668816</v>
      </c>
      <c r="I172" s="3"/>
      <c r="J172" s="5" t="s">
        <v>379</v>
      </c>
      <c r="K172" s="7">
        <v>4306.530225460289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x14ac:dyDescent="0.25" r="173" customHeight="1" ht="12.75">
      <c r="A173" s="5" t="s">
        <v>257</v>
      </c>
      <c r="B173" s="6">
        <v>1.1671</v>
      </c>
      <c r="C173" s="3"/>
      <c r="D173" s="5" t="s">
        <v>380</v>
      </c>
      <c r="E173" s="6">
        <v>9.272370999434976</v>
      </c>
      <c r="F173" s="3"/>
      <c r="G173" s="5" t="s">
        <v>381</v>
      </c>
      <c r="H173" s="6">
        <v>310.75913232778896</v>
      </c>
      <c r="I173" s="3"/>
      <c r="J173" s="5" t="s">
        <v>382</v>
      </c>
      <c r="K173" s="7">
        <v>4300.680720270833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x14ac:dyDescent="0.25" r="174" customHeight="1" ht="12.75">
      <c r="A174" s="5" t="s">
        <v>163</v>
      </c>
      <c r="B174" s="6">
        <v>1.1620000000000001</v>
      </c>
      <c r="C174" s="3"/>
      <c r="D174" s="5" t="s">
        <v>346</v>
      </c>
      <c r="E174" s="6">
        <v>9.25268125854993</v>
      </c>
      <c r="F174" s="3"/>
      <c r="G174" s="5" t="s">
        <v>227</v>
      </c>
      <c r="H174" s="6">
        <v>308.7827632130761</v>
      </c>
      <c r="I174" s="3"/>
      <c r="J174" s="5" t="s">
        <v>283</v>
      </c>
      <c r="K174" s="7">
        <v>4268.32606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x14ac:dyDescent="0.25" r="175" customHeight="1" ht="12.75">
      <c r="A175" s="5" t="s">
        <v>67</v>
      </c>
      <c r="B175" s="6">
        <v>1.1589999999999998</v>
      </c>
      <c r="C175" s="3"/>
      <c r="D175" s="5" t="s">
        <v>383</v>
      </c>
      <c r="E175" s="6">
        <v>9.252677378425403</v>
      </c>
      <c r="F175" s="3"/>
      <c r="G175" s="5" t="s">
        <v>191</v>
      </c>
      <c r="H175" s="6">
        <v>307.86141572025724</v>
      </c>
      <c r="I175" s="3"/>
      <c r="J175" s="5" t="s">
        <v>194</v>
      </c>
      <c r="K175" s="7">
        <v>4261.54603316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x14ac:dyDescent="0.25" r="176" customHeight="1" ht="12.75">
      <c r="A176" s="5" t="s">
        <v>384</v>
      </c>
      <c r="B176" s="6">
        <v>1.15</v>
      </c>
      <c r="C176" s="3"/>
      <c r="D176" s="5" t="s">
        <v>385</v>
      </c>
      <c r="E176" s="6">
        <v>9.19</v>
      </c>
      <c r="F176" s="3"/>
      <c r="G176" s="5" t="s">
        <v>382</v>
      </c>
      <c r="H176" s="6">
        <v>307.49897899834355</v>
      </c>
      <c r="I176" s="3"/>
      <c r="J176" s="5" t="s">
        <v>247</v>
      </c>
      <c r="K176" s="7">
        <v>4180.203788799999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x14ac:dyDescent="0.25" r="177" customHeight="1" ht="12.75">
      <c r="A177" s="5" t="s">
        <v>386</v>
      </c>
      <c r="B177" s="6">
        <v>1.14464</v>
      </c>
      <c r="C177" s="3"/>
      <c r="D177" s="5" t="s">
        <v>387</v>
      </c>
      <c r="E177" s="6">
        <v>9.1</v>
      </c>
      <c r="F177" s="3"/>
      <c r="G177" s="5" t="s">
        <v>347</v>
      </c>
      <c r="H177" s="6">
        <v>307.1121384199542</v>
      </c>
      <c r="I177" s="3"/>
      <c r="J177" s="5" t="s">
        <v>335</v>
      </c>
      <c r="K177" s="7">
        <v>4153.589602196186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x14ac:dyDescent="0.25" r="178" customHeight="1" ht="12.75">
      <c r="A178" s="5" t="s">
        <v>388</v>
      </c>
      <c r="B178" s="6">
        <v>1.1232</v>
      </c>
      <c r="C178" s="3"/>
      <c r="D178" s="5" t="s">
        <v>129</v>
      </c>
      <c r="E178" s="6">
        <v>9.083394833948338</v>
      </c>
      <c r="F178" s="3"/>
      <c r="G178" s="5" t="s">
        <v>268</v>
      </c>
      <c r="H178" s="6">
        <v>305.1535393437299</v>
      </c>
      <c r="I178" s="3"/>
      <c r="J178" s="5" t="s">
        <v>60</v>
      </c>
      <c r="K178" s="7">
        <v>4111.015900925367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x14ac:dyDescent="0.25" r="179" customHeight="1" ht="12.75">
      <c r="A179" s="5" t="s">
        <v>70</v>
      </c>
      <c r="B179" s="6">
        <v>1.1211921503999998</v>
      </c>
      <c r="C179" s="3"/>
      <c r="D179" s="5" t="s">
        <v>389</v>
      </c>
      <c r="E179" s="6">
        <v>9.011904761904763</v>
      </c>
      <c r="F179" s="3"/>
      <c r="G179" s="5" t="s">
        <v>390</v>
      </c>
      <c r="H179" s="6">
        <v>304.6748035787781</v>
      </c>
      <c r="I179" s="3"/>
      <c r="J179" s="5" t="s">
        <v>316</v>
      </c>
      <c r="K179" s="7">
        <v>4076.2746981553614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x14ac:dyDescent="0.25" r="180" customHeight="1" ht="12.75">
      <c r="A180" s="5" t="s">
        <v>172</v>
      </c>
      <c r="B180" s="6">
        <v>1.12098</v>
      </c>
      <c r="C180" s="3"/>
      <c r="D180" s="5" t="s">
        <v>391</v>
      </c>
      <c r="E180" s="6">
        <v>9</v>
      </c>
      <c r="F180" s="3"/>
      <c r="G180" s="5" t="s">
        <v>392</v>
      </c>
      <c r="H180" s="6">
        <v>304.2908822874598</v>
      </c>
      <c r="I180" s="3"/>
      <c r="J180" s="5" t="s">
        <v>314</v>
      </c>
      <c r="K180" s="7">
        <v>4076.0498822634004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x14ac:dyDescent="0.25" r="181" customHeight="1" ht="12.75">
      <c r="A181" s="5" t="s">
        <v>273</v>
      </c>
      <c r="B181" s="6">
        <v>1.119915</v>
      </c>
      <c r="C181" s="3"/>
      <c r="D181" s="5" t="s">
        <v>393</v>
      </c>
      <c r="E181" s="6">
        <v>9</v>
      </c>
      <c r="F181" s="3"/>
      <c r="G181" s="5" t="s">
        <v>394</v>
      </c>
      <c r="H181" s="6">
        <v>302.93788218130294</v>
      </c>
      <c r="I181" s="3"/>
      <c r="J181" s="5" t="s">
        <v>277</v>
      </c>
      <c r="K181" s="7">
        <v>4064.5512821461907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x14ac:dyDescent="0.25" r="182" customHeight="1" ht="12.75">
      <c r="A182" s="5" t="s">
        <v>310</v>
      </c>
      <c r="B182" s="6">
        <v>1.1178299999999999</v>
      </c>
      <c r="C182" s="3"/>
      <c r="D182" s="5" t="s">
        <v>395</v>
      </c>
      <c r="E182" s="6">
        <v>9</v>
      </c>
      <c r="F182" s="3"/>
      <c r="G182" s="5" t="s">
        <v>8</v>
      </c>
      <c r="H182" s="6">
        <v>301.7608217089469</v>
      </c>
      <c r="I182" s="3"/>
      <c r="J182" s="5" t="s">
        <v>396</v>
      </c>
      <c r="K182" s="7">
        <v>4055.74574132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x14ac:dyDescent="0.25" r="183" customHeight="1" ht="12.75">
      <c r="A183" s="5" t="s">
        <v>260</v>
      </c>
      <c r="B183" s="6">
        <v>1.1034</v>
      </c>
      <c r="C183" s="3"/>
      <c r="D183" s="5" t="s">
        <v>306</v>
      </c>
      <c r="E183" s="6">
        <v>8.998945870505173</v>
      </c>
      <c r="F183" s="3"/>
      <c r="G183" s="5" t="s">
        <v>397</v>
      </c>
      <c r="H183" s="6">
        <v>301.7342541062968</v>
      </c>
      <c r="I183" s="3"/>
      <c r="J183" s="5" t="s">
        <v>398</v>
      </c>
      <c r="K183" s="7">
        <v>4036.4191762315113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x14ac:dyDescent="0.25" r="184" customHeight="1" ht="12.75">
      <c r="A184" s="5" t="s">
        <v>254</v>
      </c>
      <c r="B184" s="6">
        <v>1.0913532000000001</v>
      </c>
      <c r="C184" s="3"/>
      <c r="D184" s="5" t="s">
        <v>350</v>
      </c>
      <c r="E184" s="6">
        <v>8.966000000000001</v>
      </c>
      <c r="F184" s="3"/>
      <c r="G184" s="5" t="s">
        <v>200</v>
      </c>
      <c r="H184" s="6">
        <v>300.0962542804467</v>
      </c>
      <c r="I184" s="3"/>
      <c r="J184" s="5" t="s">
        <v>274</v>
      </c>
      <c r="K184" s="7">
        <v>4031.2764449999995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x14ac:dyDescent="0.25" r="185" customHeight="1" ht="12.75">
      <c r="A185" s="5" t="s">
        <v>302</v>
      </c>
      <c r="B185" s="6">
        <v>1.0825000000000002</v>
      </c>
      <c r="C185" s="3"/>
      <c r="D185" s="5" t="s">
        <v>65</v>
      </c>
      <c r="E185" s="6">
        <v>8.96029588164734</v>
      </c>
      <c r="F185" s="3"/>
      <c r="G185" s="5" t="s">
        <v>399</v>
      </c>
      <c r="H185" s="6">
        <v>300.0685720000001</v>
      </c>
      <c r="I185" s="3"/>
      <c r="J185" s="5" t="s">
        <v>34</v>
      </c>
      <c r="K185" s="7">
        <v>4030.007309786559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x14ac:dyDescent="0.25" r="186" customHeight="1" ht="12.75">
      <c r="A186" s="5" t="s">
        <v>343</v>
      </c>
      <c r="B186" s="6">
        <v>1.0801200000000002</v>
      </c>
      <c r="C186" s="3"/>
      <c r="D186" s="5" t="s">
        <v>400</v>
      </c>
      <c r="E186" s="6">
        <v>8.9</v>
      </c>
      <c r="F186" s="3"/>
      <c r="G186" s="5" t="s">
        <v>401</v>
      </c>
      <c r="H186" s="6">
        <v>299.0085663957923</v>
      </c>
      <c r="I186" s="3"/>
      <c r="J186" s="5" t="s">
        <v>183</v>
      </c>
      <c r="K186" s="7">
        <v>4010.6672202405143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x14ac:dyDescent="0.25" r="187" customHeight="1" ht="12.75">
      <c r="A187" s="5" t="s">
        <v>7</v>
      </c>
      <c r="B187" s="6">
        <v>1.0708964882999998</v>
      </c>
      <c r="C187" s="3"/>
      <c r="D187" s="5" t="s">
        <v>246</v>
      </c>
      <c r="E187" s="6">
        <v>8.870000000000001</v>
      </c>
      <c r="F187" s="3"/>
      <c r="G187" s="5" t="s">
        <v>402</v>
      </c>
      <c r="H187" s="6">
        <v>298.4741054116788</v>
      </c>
      <c r="I187" s="3"/>
      <c r="J187" s="5" t="s">
        <v>403</v>
      </c>
      <c r="K187" s="7">
        <v>4010.1557209003213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x14ac:dyDescent="0.25" r="188" customHeight="1" ht="12.75">
      <c r="A188" s="5" t="s">
        <v>404</v>
      </c>
      <c r="B188" s="6">
        <v>1.0673492000000002</v>
      </c>
      <c r="C188" s="3"/>
      <c r="D188" s="5" t="s">
        <v>232</v>
      </c>
      <c r="E188" s="6">
        <v>8.850651041666667</v>
      </c>
      <c r="F188" s="3"/>
      <c r="G188" s="5" t="s">
        <v>405</v>
      </c>
      <c r="H188" s="6">
        <v>298.24385187196873</v>
      </c>
      <c r="I188" s="3"/>
      <c r="J188" s="5" t="s">
        <v>291</v>
      </c>
      <c r="K188" s="7">
        <v>3963.0844211118324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x14ac:dyDescent="0.25" r="189" customHeight="1" ht="12.75">
      <c r="A189" s="5" t="s">
        <v>406</v>
      </c>
      <c r="B189" s="6">
        <v>1.06575</v>
      </c>
      <c r="C189" s="3"/>
      <c r="D189" s="5" t="s">
        <v>121</v>
      </c>
      <c r="E189" s="6">
        <v>8.85</v>
      </c>
      <c r="F189" s="3"/>
      <c r="G189" s="5" t="s">
        <v>262</v>
      </c>
      <c r="H189" s="6">
        <v>297.75045613396304</v>
      </c>
      <c r="I189" s="3"/>
      <c r="J189" s="5" t="s">
        <v>132</v>
      </c>
      <c r="K189" s="7">
        <v>3954.669458294987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x14ac:dyDescent="0.25" r="190" customHeight="1" ht="12.75">
      <c r="A190" s="5" t="s">
        <v>379</v>
      </c>
      <c r="B190" s="6">
        <v>1.0577899999999998</v>
      </c>
      <c r="C190" s="3"/>
      <c r="D190" s="5" t="s">
        <v>397</v>
      </c>
      <c r="E190" s="6">
        <v>8.792175611060332</v>
      </c>
      <c r="F190" s="3"/>
      <c r="G190" s="5" t="s">
        <v>245</v>
      </c>
      <c r="H190" s="6">
        <v>296.2552503</v>
      </c>
      <c r="I190" s="3"/>
      <c r="J190" s="5" t="s">
        <v>278</v>
      </c>
      <c r="K190" s="7">
        <v>3930.654257767653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x14ac:dyDescent="0.25" r="191" customHeight="1" ht="12.75">
      <c r="A191" s="5" t="s">
        <v>287</v>
      </c>
      <c r="B191" s="6">
        <v>1.0534</v>
      </c>
      <c r="C191" s="3"/>
      <c r="D191" s="5" t="s">
        <v>407</v>
      </c>
      <c r="E191" s="6">
        <v>8.77</v>
      </c>
      <c r="F191" s="3"/>
      <c r="G191" s="5" t="s">
        <v>408</v>
      </c>
      <c r="H191" s="6">
        <v>295.75325130255675</v>
      </c>
      <c r="I191" s="3"/>
      <c r="J191" s="5" t="s">
        <v>409</v>
      </c>
      <c r="K191" s="7">
        <v>3912.3178594012907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x14ac:dyDescent="0.25" r="192" customHeight="1" ht="12.75">
      <c r="A192" s="5" t="s">
        <v>410</v>
      </c>
      <c r="B192" s="6">
        <v>1.0514352</v>
      </c>
      <c r="C192" s="3"/>
      <c r="D192" s="5" t="s">
        <v>411</v>
      </c>
      <c r="E192" s="6">
        <v>8.75</v>
      </c>
      <c r="F192" s="3"/>
      <c r="G192" s="5" t="s">
        <v>234</v>
      </c>
      <c r="H192" s="6">
        <v>295.64668240596455</v>
      </c>
      <c r="I192" s="3"/>
      <c r="J192" s="5" t="s">
        <v>412</v>
      </c>
      <c r="K192" s="7">
        <v>3901.9576639625084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x14ac:dyDescent="0.25" r="193" customHeight="1" ht="12.75">
      <c r="A193" s="5" t="s">
        <v>413</v>
      </c>
      <c r="B193" s="6">
        <v>1.04954</v>
      </c>
      <c r="C193" s="3"/>
      <c r="D193" s="5" t="s">
        <v>333</v>
      </c>
      <c r="E193" s="6">
        <v>8.74</v>
      </c>
      <c r="F193" s="3"/>
      <c r="G193" s="5" t="s">
        <v>296</v>
      </c>
      <c r="H193" s="6">
        <v>295.32189736705334</v>
      </c>
      <c r="I193" s="3"/>
      <c r="J193" s="5" t="s">
        <v>351</v>
      </c>
      <c r="K193" s="7">
        <v>3832.477592361725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x14ac:dyDescent="0.25" r="194" customHeight="1" ht="12.75">
      <c r="A194" s="5" t="s">
        <v>368</v>
      </c>
      <c r="B194" s="6">
        <v>1.0342919000000002</v>
      </c>
      <c r="C194" s="3"/>
      <c r="D194" s="5" t="s">
        <v>414</v>
      </c>
      <c r="E194" s="6">
        <v>8.71</v>
      </c>
      <c r="F194" s="3"/>
      <c r="G194" s="5" t="s">
        <v>415</v>
      </c>
      <c r="H194" s="6">
        <v>294.92675857142854</v>
      </c>
      <c r="I194" s="3"/>
      <c r="J194" s="5" t="s">
        <v>352</v>
      </c>
      <c r="K194" s="7">
        <v>3825.387388482813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x14ac:dyDescent="0.25" r="195" customHeight="1" ht="12.75">
      <c r="A195" s="5" t="s">
        <v>416</v>
      </c>
      <c r="B195" s="6">
        <v>1.0284</v>
      </c>
      <c r="C195" s="3"/>
      <c r="D195" s="5" t="s">
        <v>417</v>
      </c>
      <c r="E195" s="6">
        <v>8.71</v>
      </c>
      <c r="F195" s="3"/>
      <c r="G195" s="5" t="s">
        <v>418</v>
      </c>
      <c r="H195" s="6">
        <v>294.86686747588425</v>
      </c>
      <c r="I195" s="3"/>
      <c r="J195" s="5" t="s">
        <v>363</v>
      </c>
      <c r="K195" s="7">
        <v>3801.6029238197457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x14ac:dyDescent="0.25" r="196" customHeight="1" ht="12.75">
      <c r="A196" s="5" t="s">
        <v>419</v>
      </c>
      <c r="B196" s="6">
        <v>1.0186622484</v>
      </c>
      <c r="C196" s="3"/>
      <c r="D196" s="5" t="s">
        <v>420</v>
      </c>
      <c r="E196" s="6">
        <v>8.709999999999999</v>
      </c>
      <c r="F196" s="3"/>
      <c r="G196" s="5" t="s">
        <v>86</v>
      </c>
      <c r="H196" s="6">
        <v>294.18756120771707</v>
      </c>
      <c r="I196" s="3"/>
      <c r="J196" s="5" t="s">
        <v>421</v>
      </c>
      <c r="K196" s="7">
        <v>3782.526719708651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x14ac:dyDescent="0.25" r="197" customHeight="1" ht="12.75">
      <c r="A197" s="5" t="s">
        <v>309</v>
      </c>
      <c r="B197" s="6">
        <v>1.0153299999999998</v>
      </c>
      <c r="C197" s="3"/>
      <c r="D197" s="5" t="s">
        <v>370</v>
      </c>
      <c r="E197" s="6">
        <v>8.591176470588234</v>
      </c>
      <c r="F197" s="3"/>
      <c r="G197" s="5" t="s">
        <v>29</v>
      </c>
      <c r="H197" s="6">
        <v>293.9550976142403</v>
      </c>
      <c r="I197" s="3"/>
      <c r="J197" s="5" t="s">
        <v>422</v>
      </c>
      <c r="K197" s="7">
        <v>3781.462619403216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x14ac:dyDescent="0.25" r="198" customHeight="1" ht="12.75">
      <c r="A198" s="5" t="s">
        <v>358</v>
      </c>
      <c r="B198" s="6">
        <v>1.01451</v>
      </c>
      <c r="C198" s="3"/>
      <c r="D198" s="5" t="s">
        <v>423</v>
      </c>
      <c r="E198" s="6">
        <v>8.59</v>
      </c>
      <c r="F198" s="3"/>
      <c r="G198" s="5" t="s">
        <v>424</v>
      </c>
      <c r="H198" s="6">
        <v>292.7322983536977</v>
      </c>
      <c r="I198" s="3"/>
      <c r="J198" s="5" t="s">
        <v>173</v>
      </c>
      <c r="K198" s="7">
        <v>3736.631655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x14ac:dyDescent="0.25" r="199" customHeight="1" ht="12.75">
      <c r="A199" s="5" t="s">
        <v>26</v>
      </c>
      <c r="B199" s="6">
        <v>1.01285</v>
      </c>
      <c r="C199" s="3"/>
      <c r="D199" s="5" t="s">
        <v>416</v>
      </c>
      <c r="E199" s="6">
        <v>8.57</v>
      </c>
      <c r="F199" s="3"/>
      <c r="G199" s="5" t="s">
        <v>249</v>
      </c>
      <c r="H199" s="6">
        <v>292.729525751389</v>
      </c>
      <c r="I199" s="3"/>
      <c r="J199" s="5" t="s">
        <v>425</v>
      </c>
      <c r="K199" s="7">
        <v>3733.9812490306767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x14ac:dyDescent="0.25" r="200" customHeight="1" ht="12.75">
      <c r="A200" s="5" t="s">
        <v>426</v>
      </c>
      <c r="B200" s="6">
        <v>1.012</v>
      </c>
      <c r="C200" s="3"/>
      <c r="D200" s="5" t="s">
        <v>228</v>
      </c>
      <c r="E200" s="6">
        <v>8.527651515151515</v>
      </c>
      <c r="F200" s="3"/>
      <c r="G200" s="5" t="s">
        <v>427</v>
      </c>
      <c r="H200" s="6">
        <v>292.6946077096463</v>
      </c>
      <c r="I200" s="3"/>
      <c r="J200" s="5" t="s">
        <v>340</v>
      </c>
      <c r="K200" s="7">
        <v>3716.516219253047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x14ac:dyDescent="0.25" r="201" customHeight="1" ht="12.75">
      <c r="A201" s="5" t="s">
        <v>428</v>
      </c>
      <c r="B201" s="6">
        <v>1.0097855999999998</v>
      </c>
      <c r="C201" s="3"/>
      <c r="D201" s="5" t="s">
        <v>138</v>
      </c>
      <c r="E201" s="6">
        <v>8.51</v>
      </c>
      <c r="F201" s="3"/>
      <c r="G201" s="5" t="s">
        <v>429</v>
      </c>
      <c r="H201" s="6">
        <v>292.5108544977072</v>
      </c>
      <c r="I201" s="3"/>
      <c r="J201" s="5" t="s">
        <v>289</v>
      </c>
      <c r="K201" s="7">
        <v>3691.6027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x14ac:dyDescent="0.25" r="202" customHeight="1" ht="12.75">
      <c r="A202" s="5" t="s">
        <v>318</v>
      </c>
      <c r="B202" s="6">
        <v>1.008418</v>
      </c>
      <c r="C202" s="3"/>
      <c r="D202" s="5" t="s">
        <v>430</v>
      </c>
      <c r="E202" s="6">
        <v>8.5</v>
      </c>
      <c r="F202" s="3"/>
      <c r="G202" s="5" t="s">
        <v>423</v>
      </c>
      <c r="H202" s="6">
        <v>292.12016674405146</v>
      </c>
      <c r="I202" s="3"/>
      <c r="J202" s="5" t="s">
        <v>410</v>
      </c>
      <c r="K202" s="7">
        <v>3669.514876511816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x14ac:dyDescent="0.25" r="203" customHeight="1" ht="12.75">
      <c r="A203" s="5" t="s">
        <v>431</v>
      </c>
      <c r="B203" s="6">
        <v>1.006881</v>
      </c>
      <c r="C203" s="3"/>
      <c r="D203" s="5" t="s">
        <v>302</v>
      </c>
      <c r="E203" s="6">
        <v>8.45703125</v>
      </c>
      <c r="F203" s="3"/>
      <c r="G203" s="5" t="s">
        <v>220</v>
      </c>
      <c r="H203" s="6">
        <v>290.378889</v>
      </c>
      <c r="I203" s="3"/>
      <c r="J203" s="5" t="s">
        <v>189</v>
      </c>
      <c r="K203" s="7">
        <v>3666.817930572475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x14ac:dyDescent="0.25" r="204" customHeight="1" ht="12.75">
      <c r="A204" s="5" t="s">
        <v>331</v>
      </c>
      <c r="B204" s="6">
        <v>1.005471</v>
      </c>
      <c r="C204" s="3"/>
      <c r="D204" s="5" t="s">
        <v>38</v>
      </c>
      <c r="E204" s="6">
        <v>8.438910505836574</v>
      </c>
      <c r="F204" s="3"/>
      <c r="G204" s="5" t="s">
        <v>317</v>
      </c>
      <c r="H204" s="6">
        <v>289.6798800430431</v>
      </c>
      <c r="I204" s="3"/>
      <c r="J204" s="5" t="s">
        <v>432</v>
      </c>
      <c r="K204" s="7">
        <v>3629.2867270072675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x14ac:dyDescent="0.25" r="205" customHeight="1" ht="12.75">
      <c r="A205" s="5" t="s">
        <v>433</v>
      </c>
      <c r="B205" s="6">
        <v>0.9964750000000001</v>
      </c>
      <c r="C205" s="3"/>
      <c r="D205" s="5" t="s">
        <v>434</v>
      </c>
      <c r="E205" s="6">
        <v>8.4</v>
      </c>
      <c r="F205" s="3"/>
      <c r="G205" s="5" t="s">
        <v>435</v>
      </c>
      <c r="H205" s="6">
        <v>287.5097306800371</v>
      </c>
      <c r="I205" s="3"/>
      <c r="J205" s="5" t="s">
        <v>324</v>
      </c>
      <c r="K205" s="7">
        <v>3624.3624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x14ac:dyDescent="0.25" r="206" customHeight="1" ht="12.75">
      <c r="A206" s="5" t="s">
        <v>131</v>
      </c>
      <c r="B206" s="6">
        <v>0.99</v>
      </c>
      <c r="C206" s="3"/>
      <c r="D206" s="5" t="s">
        <v>351</v>
      </c>
      <c r="E206" s="6">
        <v>8.38191234808891</v>
      </c>
      <c r="F206" s="3"/>
      <c r="G206" s="5" t="s">
        <v>436</v>
      </c>
      <c r="H206" s="6">
        <v>286.52117307490295</v>
      </c>
      <c r="I206" s="3"/>
      <c r="J206" s="5" t="s">
        <v>437</v>
      </c>
      <c r="K206" s="7">
        <v>3603.4192826214794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x14ac:dyDescent="0.25" r="207" customHeight="1" ht="12.75">
      <c r="A207" s="5" t="s">
        <v>376</v>
      </c>
      <c r="B207" s="6">
        <v>0.9890700000000001</v>
      </c>
      <c r="C207" s="3"/>
      <c r="D207" s="5" t="s">
        <v>427</v>
      </c>
      <c r="E207" s="6">
        <v>8.37</v>
      </c>
      <c r="F207" s="3"/>
      <c r="G207" s="5" t="s">
        <v>438</v>
      </c>
      <c r="H207" s="6">
        <v>285.949211755627</v>
      </c>
      <c r="I207" s="3"/>
      <c r="J207" s="5" t="s">
        <v>310</v>
      </c>
      <c r="K207" s="7">
        <v>3541.270403336749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x14ac:dyDescent="0.25" r="208" customHeight="1" ht="12.75">
      <c r="A208" s="5" t="s">
        <v>439</v>
      </c>
      <c r="B208" s="6">
        <v>0.988</v>
      </c>
      <c r="C208" s="3"/>
      <c r="D208" s="5" t="s">
        <v>190</v>
      </c>
      <c r="E208" s="6">
        <v>8.367420528462755</v>
      </c>
      <c r="F208" s="3"/>
      <c r="G208" s="5" t="s">
        <v>440</v>
      </c>
      <c r="H208" s="6">
        <v>285.6962194758842</v>
      </c>
      <c r="I208" s="3"/>
      <c r="J208" s="5" t="s">
        <v>441</v>
      </c>
      <c r="K208" s="7">
        <v>3529.9472709180804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x14ac:dyDescent="0.25" r="209" customHeight="1" ht="12.75">
      <c r="A209" s="5" t="s">
        <v>356</v>
      </c>
      <c r="B209" s="6">
        <v>0.98</v>
      </c>
      <c r="C209" s="3"/>
      <c r="D209" s="5" t="s">
        <v>442</v>
      </c>
      <c r="E209" s="6">
        <v>8.34</v>
      </c>
      <c r="F209" s="3"/>
      <c r="G209" s="5" t="s">
        <v>178</v>
      </c>
      <c r="H209" s="6">
        <v>284.7067127836734</v>
      </c>
      <c r="I209" s="3"/>
      <c r="J209" s="5" t="s">
        <v>322</v>
      </c>
      <c r="K209" s="7">
        <v>3410.7693313497334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x14ac:dyDescent="0.25" r="210" customHeight="1" ht="12.75">
      <c r="A210" s="5" t="s">
        <v>349</v>
      </c>
      <c r="B210" s="6">
        <v>0.96</v>
      </c>
      <c r="C210" s="3"/>
      <c r="D210" s="5" t="s">
        <v>443</v>
      </c>
      <c r="E210" s="6">
        <v>8.33</v>
      </c>
      <c r="F210" s="3"/>
      <c r="G210" s="5" t="s">
        <v>444</v>
      </c>
      <c r="H210" s="6">
        <v>284.5120856441397</v>
      </c>
      <c r="I210" s="3"/>
      <c r="J210" s="5" t="s">
        <v>401</v>
      </c>
      <c r="K210" s="7">
        <v>3403.9135198496997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x14ac:dyDescent="0.25" r="211" customHeight="1" ht="12.75">
      <c r="A211" s="5" t="s">
        <v>214</v>
      </c>
      <c r="B211" s="6">
        <v>0.9359</v>
      </c>
      <c r="C211" s="3"/>
      <c r="D211" s="5" t="s">
        <v>363</v>
      </c>
      <c r="E211" s="6">
        <v>8.32</v>
      </c>
      <c r="F211" s="3"/>
      <c r="G211" s="5" t="s">
        <v>445</v>
      </c>
      <c r="H211" s="6">
        <v>284.4408680086816</v>
      </c>
      <c r="I211" s="3"/>
      <c r="J211" s="5" t="s">
        <v>446</v>
      </c>
      <c r="K211" s="7">
        <v>3402.4628370366595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x14ac:dyDescent="0.25" r="212" customHeight="1" ht="12.75">
      <c r="A212" s="5" t="s">
        <v>382</v>
      </c>
      <c r="B212" s="6">
        <v>0.9302809090909092</v>
      </c>
      <c r="C212" s="3"/>
      <c r="D212" s="5" t="s">
        <v>42</v>
      </c>
      <c r="E212" s="6">
        <v>8.3</v>
      </c>
      <c r="F212" s="3"/>
      <c r="G212" s="5" t="s">
        <v>447</v>
      </c>
      <c r="H212" s="6">
        <v>284.41071185315207</v>
      </c>
      <c r="I212" s="3"/>
      <c r="J212" s="5" t="s">
        <v>311</v>
      </c>
      <c r="K212" s="7">
        <v>3387.614274569249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x14ac:dyDescent="0.25" r="213" customHeight="1" ht="12.75">
      <c r="A213" s="5" t="s">
        <v>448</v>
      </c>
      <c r="B213" s="6">
        <v>0.9289000000000001</v>
      </c>
      <c r="C213" s="3"/>
      <c r="D213" s="5" t="s">
        <v>336</v>
      </c>
      <c r="E213" s="6">
        <v>8.3</v>
      </c>
      <c r="F213" s="3"/>
      <c r="G213" s="5" t="s">
        <v>449</v>
      </c>
      <c r="H213" s="6">
        <v>283.0190130181322</v>
      </c>
      <c r="I213" s="3"/>
      <c r="J213" s="5" t="s">
        <v>312</v>
      </c>
      <c r="K213" s="7">
        <v>3325.93539824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x14ac:dyDescent="0.25" r="214" customHeight="1" ht="12.75">
      <c r="A214" s="5" t="s">
        <v>292</v>
      </c>
      <c r="B214" s="6">
        <v>0.9271999999999999</v>
      </c>
      <c r="C214" s="3"/>
      <c r="D214" s="5" t="s">
        <v>450</v>
      </c>
      <c r="E214" s="6">
        <v>8.3</v>
      </c>
      <c r="F214" s="3"/>
      <c r="G214" s="5" t="s">
        <v>376</v>
      </c>
      <c r="H214" s="6">
        <v>283.01191361009813</v>
      </c>
      <c r="I214" s="3"/>
      <c r="J214" s="5" t="s">
        <v>451</v>
      </c>
      <c r="K214" s="7">
        <v>3319.7948900524334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x14ac:dyDescent="0.25" r="215" customHeight="1" ht="12.75">
      <c r="A215" s="5" t="s">
        <v>60</v>
      </c>
      <c r="B215" s="6">
        <v>0.9194450999999999</v>
      </c>
      <c r="C215" s="3"/>
      <c r="D215" s="5" t="s">
        <v>452</v>
      </c>
      <c r="E215" s="6">
        <v>8.26</v>
      </c>
      <c r="F215" s="3"/>
      <c r="G215" s="5" t="s">
        <v>453</v>
      </c>
      <c r="H215" s="6">
        <v>282.8826088893891</v>
      </c>
      <c r="I215" s="3"/>
      <c r="J215" s="5" t="s">
        <v>196</v>
      </c>
      <c r="K215" s="7">
        <v>3312.7030390574664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x14ac:dyDescent="0.25" r="216" customHeight="1" ht="12.75">
      <c r="A216" s="5" t="s">
        <v>403</v>
      </c>
      <c r="B216" s="6">
        <v>0.8999999999999999</v>
      </c>
      <c r="C216" s="3"/>
      <c r="D216" s="5" t="s">
        <v>454</v>
      </c>
      <c r="E216" s="6">
        <v>8.25</v>
      </c>
      <c r="F216" s="3"/>
      <c r="G216" s="5" t="s">
        <v>380</v>
      </c>
      <c r="H216" s="6">
        <v>282.68956577853527</v>
      </c>
      <c r="I216" s="3"/>
      <c r="J216" s="5" t="s">
        <v>449</v>
      </c>
      <c r="K216" s="7">
        <v>3254.7186497085204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x14ac:dyDescent="0.25" r="217" customHeight="1" ht="12.75">
      <c r="A217" s="5" t="s">
        <v>380</v>
      </c>
      <c r="B217" s="6">
        <v>0.8932291029999999</v>
      </c>
      <c r="C217" s="3"/>
      <c r="D217" s="5" t="s">
        <v>455</v>
      </c>
      <c r="E217" s="6">
        <v>8.129999999999999</v>
      </c>
      <c r="F217" s="3"/>
      <c r="G217" s="5" t="s">
        <v>179</v>
      </c>
      <c r="H217" s="6">
        <v>282.29903</v>
      </c>
      <c r="I217" s="3"/>
      <c r="J217" s="5" t="s">
        <v>344</v>
      </c>
      <c r="K217" s="7">
        <v>3246.204526697363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x14ac:dyDescent="0.25" r="218" customHeight="1" ht="12.75">
      <c r="A218" s="5" t="s">
        <v>456</v>
      </c>
      <c r="B218" s="6">
        <v>0.872517</v>
      </c>
      <c r="C218" s="3"/>
      <c r="D218" s="5" t="s">
        <v>457</v>
      </c>
      <c r="E218" s="6">
        <v>8.129999999999999</v>
      </c>
      <c r="F218" s="3"/>
      <c r="G218" s="5" t="s">
        <v>458</v>
      </c>
      <c r="H218" s="6">
        <v>282.2028421365185</v>
      </c>
      <c r="I218" s="3"/>
      <c r="J218" s="5" t="s">
        <v>325</v>
      </c>
      <c r="K218" s="7">
        <v>3246.0968511144697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x14ac:dyDescent="0.25" r="219" customHeight="1" ht="12.75">
      <c r="A219" s="5" t="s">
        <v>459</v>
      </c>
      <c r="B219" s="6">
        <v>0.8684</v>
      </c>
      <c r="C219" s="3"/>
      <c r="D219" s="5" t="s">
        <v>195</v>
      </c>
      <c r="E219" s="6">
        <v>8.12</v>
      </c>
      <c r="F219" s="3"/>
      <c r="G219" s="5" t="s">
        <v>421</v>
      </c>
      <c r="H219" s="6">
        <v>281.3124140791798</v>
      </c>
      <c r="I219" s="3"/>
      <c r="J219" s="5" t="s">
        <v>419</v>
      </c>
      <c r="K219" s="7">
        <v>3243.0746228478915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x14ac:dyDescent="0.25" r="220" customHeight="1" ht="12.75">
      <c r="A220" s="5" t="s">
        <v>409</v>
      </c>
      <c r="B220" s="6">
        <v>0.8388720000000001</v>
      </c>
      <c r="C220" s="3"/>
      <c r="D220" s="5" t="s">
        <v>460</v>
      </c>
      <c r="E220" s="6">
        <v>8.119165659008464</v>
      </c>
      <c r="F220" s="3"/>
      <c r="G220" s="5" t="s">
        <v>293</v>
      </c>
      <c r="H220" s="6">
        <v>280.6143480611831</v>
      </c>
      <c r="I220" s="3"/>
      <c r="J220" s="5" t="s">
        <v>346</v>
      </c>
      <c r="K220" s="7">
        <v>3208.5353636100385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x14ac:dyDescent="0.25" r="221" customHeight="1" ht="12.75">
      <c r="A221" s="5" t="s">
        <v>217</v>
      </c>
      <c r="B221" s="6">
        <v>0.8336899999999999</v>
      </c>
      <c r="C221" s="3"/>
      <c r="D221" s="5" t="s">
        <v>272</v>
      </c>
      <c r="E221" s="6">
        <v>8.100051679586564</v>
      </c>
      <c r="F221" s="3"/>
      <c r="G221" s="5" t="s">
        <v>170</v>
      </c>
      <c r="H221" s="6">
        <v>280.36970382513664</v>
      </c>
      <c r="I221" s="3"/>
      <c r="J221" s="5" t="s">
        <v>232</v>
      </c>
      <c r="K221" s="7">
        <v>3195.648479535273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x14ac:dyDescent="0.25" r="222" customHeight="1" ht="12.75">
      <c r="A222" s="5" t="s">
        <v>452</v>
      </c>
      <c r="B222" s="6">
        <v>0.826</v>
      </c>
      <c r="C222" s="3"/>
      <c r="D222" s="5" t="s">
        <v>147</v>
      </c>
      <c r="E222" s="6">
        <v>8.1</v>
      </c>
      <c r="F222" s="3"/>
      <c r="G222" s="5" t="s">
        <v>124</v>
      </c>
      <c r="H222" s="6">
        <v>279.7662031414791</v>
      </c>
      <c r="I222" s="3"/>
      <c r="J222" s="5" t="s">
        <v>413</v>
      </c>
      <c r="K222" s="7">
        <v>3195.426242761029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x14ac:dyDescent="0.25" r="223" customHeight="1" ht="12.75">
      <c r="A223" s="5" t="s">
        <v>110</v>
      </c>
      <c r="B223" s="6">
        <v>0.825</v>
      </c>
      <c r="C223" s="3"/>
      <c r="D223" s="5" t="s">
        <v>461</v>
      </c>
      <c r="E223" s="6">
        <v>8.1</v>
      </c>
      <c r="F223" s="3"/>
      <c r="G223" s="5" t="s">
        <v>196</v>
      </c>
      <c r="H223" s="6">
        <v>279.5529990765794</v>
      </c>
      <c r="I223" s="3"/>
      <c r="J223" s="5" t="s">
        <v>163</v>
      </c>
      <c r="K223" s="7">
        <v>3178.3938660000003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x14ac:dyDescent="0.25" r="224" customHeight="1" ht="12.75">
      <c r="A224" s="5" t="s">
        <v>462</v>
      </c>
      <c r="B224" s="6">
        <v>0.8113000000000001</v>
      </c>
      <c r="C224" s="3"/>
      <c r="D224" s="5" t="s">
        <v>463</v>
      </c>
      <c r="E224" s="6">
        <v>8.013302711552294</v>
      </c>
      <c r="F224" s="3"/>
      <c r="G224" s="5" t="s">
        <v>463</v>
      </c>
      <c r="H224" s="6">
        <v>279.412907217705</v>
      </c>
      <c r="I224" s="3"/>
      <c r="J224" s="5" t="s">
        <v>464</v>
      </c>
      <c r="K224" s="7">
        <v>3176.6863020759392</v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x14ac:dyDescent="0.25" r="225" customHeight="1" ht="12.75">
      <c r="A225" s="5" t="s">
        <v>184</v>
      </c>
      <c r="B225" s="6">
        <v>0.80757</v>
      </c>
      <c r="C225" s="3"/>
      <c r="D225" s="5" t="s">
        <v>162</v>
      </c>
      <c r="E225" s="6">
        <v>8</v>
      </c>
      <c r="F225" s="3"/>
      <c r="G225" s="5" t="s">
        <v>285</v>
      </c>
      <c r="H225" s="6">
        <v>279.3217177</v>
      </c>
      <c r="I225" s="3"/>
      <c r="J225" s="5" t="s">
        <v>365</v>
      </c>
      <c r="K225" s="7">
        <v>3169.1125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x14ac:dyDescent="0.25" r="226" customHeight="1" ht="12.75">
      <c r="A226" s="5" t="s">
        <v>365</v>
      </c>
      <c r="B226" s="6">
        <v>0.8</v>
      </c>
      <c r="C226" s="3"/>
      <c r="D226" s="5" t="s">
        <v>365</v>
      </c>
      <c r="E226" s="6">
        <v>8</v>
      </c>
      <c r="F226" s="3"/>
      <c r="G226" s="5" t="s">
        <v>214</v>
      </c>
      <c r="H226" s="6">
        <v>279.00724858516725</v>
      </c>
      <c r="I226" s="3"/>
      <c r="J226" s="5" t="s">
        <v>366</v>
      </c>
      <c r="K226" s="7">
        <v>3153.1952206430187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x14ac:dyDescent="0.25" r="227" customHeight="1" ht="12.75">
      <c r="A227" s="5" t="s">
        <v>389</v>
      </c>
      <c r="B227" s="6">
        <v>0.7948500000000001</v>
      </c>
      <c r="C227" s="3"/>
      <c r="D227" s="5" t="s">
        <v>465</v>
      </c>
      <c r="E227" s="6">
        <v>8</v>
      </c>
      <c r="F227" s="3"/>
      <c r="G227" s="5" t="s">
        <v>300</v>
      </c>
      <c r="H227" s="6">
        <v>278.48347833440516</v>
      </c>
      <c r="I227" s="3"/>
      <c r="J227" s="5" t="s">
        <v>466</v>
      </c>
      <c r="K227" s="7">
        <v>3153.13758641393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x14ac:dyDescent="0.25" r="228" customHeight="1" ht="12.75">
      <c r="A228" s="5" t="s">
        <v>467</v>
      </c>
      <c r="B228" s="6">
        <v>0.7938660000000001</v>
      </c>
      <c r="C228" s="3"/>
      <c r="D228" s="5" t="s">
        <v>468</v>
      </c>
      <c r="E228" s="6">
        <v>8</v>
      </c>
      <c r="F228" s="3"/>
      <c r="G228" s="5" t="s">
        <v>469</v>
      </c>
      <c r="H228" s="6">
        <v>278.4443470110932</v>
      </c>
      <c r="I228" s="3"/>
      <c r="J228" s="5" t="s">
        <v>174</v>
      </c>
      <c r="K228" s="7">
        <v>3136.6439818224603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x14ac:dyDescent="0.25" r="229" customHeight="1" ht="12.75">
      <c r="A229" s="5" t="s">
        <v>305</v>
      </c>
      <c r="B229" s="6">
        <v>0.7899812</v>
      </c>
      <c r="C229" s="3"/>
      <c r="D229" s="5" t="s">
        <v>375</v>
      </c>
      <c r="E229" s="6">
        <v>8</v>
      </c>
      <c r="F229" s="3"/>
      <c r="G229" s="5" t="s">
        <v>470</v>
      </c>
      <c r="H229" s="6">
        <v>278.2656401014143</v>
      </c>
      <c r="I229" s="3"/>
      <c r="J229" s="5" t="s">
        <v>332</v>
      </c>
      <c r="K229" s="7">
        <v>3087.2523951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x14ac:dyDescent="0.25" r="230" customHeight="1" ht="12.75">
      <c r="A230" s="5" t="s">
        <v>471</v>
      </c>
      <c r="B230" s="6">
        <v>0.7897043</v>
      </c>
      <c r="C230" s="3"/>
      <c r="D230" s="5" t="s">
        <v>472</v>
      </c>
      <c r="E230" s="6">
        <v>8</v>
      </c>
      <c r="F230" s="3"/>
      <c r="G230" s="5" t="s">
        <v>385</v>
      </c>
      <c r="H230" s="6">
        <v>277.65006983729904</v>
      </c>
      <c r="I230" s="3"/>
      <c r="J230" s="5" t="s">
        <v>473</v>
      </c>
      <c r="K230" s="7">
        <v>3071.32699348488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x14ac:dyDescent="0.25" r="231" customHeight="1" ht="12.75">
      <c r="A231" s="5" t="s">
        <v>474</v>
      </c>
      <c r="B231" s="6">
        <v>0.7864712000000001</v>
      </c>
      <c r="C231" s="3"/>
      <c r="D231" s="5" t="s">
        <v>475</v>
      </c>
      <c r="E231" s="6">
        <v>8</v>
      </c>
      <c r="F231" s="3"/>
      <c r="G231" s="5" t="s">
        <v>318</v>
      </c>
      <c r="H231" s="6">
        <v>277.5711797273995</v>
      </c>
      <c r="I231" s="3"/>
      <c r="J231" s="5" t="s">
        <v>476</v>
      </c>
      <c r="K231" s="7">
        <v>3069.937504845598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x14ac:dyDescent="0.25" r="232" customHeight="1" ht="12.75">
      <c r="A232" s="5" t="s">
        <v>400</v>
      </c>
      <c r="B232" s="6">
        <v>0.7832000000000001</v>
      </c>
      <c r="C232" s="3"/>
      <c r="D232" s="5" t="s">
        <v>477</v>
      </c>
      <c r="E232" s="6">
        <v>8</v>
      </c>
      <c r="F232" s="3"/>
      <c r="G232" s="5" t="s">
        <v>362</v>
      </c>
      <c r="H232" s="6">
        <v>277.2442108502799</v>
      </c>
      <c r="I232" s="3"/>
      <c r="J232" s="5" t="s">
        <v>471</v>
      </c>
      <c r="K232" s="7">
        <v>3057.5783227135234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x14ac:dyDescent="0.25" r="233" customHeight="1" ht="12.75">
      <c r="A233" s="5" t="s">
        <v>326</v>
      </c>
      <c r="B233" s="6">
        <v>0.775</v>
      </c>
      <c r="C233" s="3"/>
      <c r="D233" s="5" t="s">
        <v>478</v>
      </c>
      <c r="E233" s="6">
        <v>7.9799999999999995</v>
      </c>
      <c r="F233" s="3"/>
      <c r="G233" s="5" t="s">
        <v>173</v>
      </c>
      <c r="H233" s="6">
        <v>276.78753</v>
      </c>
      <c r="I233" s="3"/>
      <c r="J233" s="5" t="s">
        <v>479</v>
      </c>
      <c r="K233" s="7">
        <v>3023.1293674216945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x14ac:dyDescent="0.25" r="234" customHeight="1" ht="12.75">
      <c r="A234" s="5" t="s">
        <v>95</v>
      </c>
      <c r="B234" s="6">
        <v>0.774228</v>
      </c>
      <c r="C234" s="3"/>
      <c r="D234" s="5" t="s">
        <v>304</v>
      </c>
      <c r="E234" s="6">
        <v>7.96</v>
      </c>
      <c r="F234" s="3"/>
      <c r="G234" s="5" t="s">
        <v>480</v>
      </c>
      <c r="H234" s="6">
        <v>275.3992467</v>
      </c>
      <c r="I234" s="3"/>
      <c r="J234" s="5" t="s">
        <v>481</v>
      </c>
      <c r="K234" s="7">
        <v>3017.742492180708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x14ac:dyDescent="0.25" r="235" customHeight="1" ht="12.75">
      <c r="A235" s="5" t="s">
        <v>482</v>
      </c>
      <c r="B235" s="6">
        <v>0.7740499999999999</v>
      </c>
      <c r="C235" s="3"/>
      <c r="D235" s="5" t="s">
        <v>17</v>
      </c>
      <c r="E235" s="6">
        <v>7.9</v>
      </c>
      <c r="F235" s="3"/>
      <c r="G235" s="5" t="s">
        <v>306</v>
      </c>
      <c r="H235" s="6">
        <v>275.22893157442945</v>
      </c>
      <c r="I235" s="3"/>
      <c r="J235" s="5" t="s">
        <v>386</v>
      </c>
      <c r="K235" s="7">
        <v>3006.003947505595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x14ac:dyDescent="0.25" r="236" customHeight="1" ht="12.75">
      <c r="A236" s="5" t="s">
        <v>455</v>
      </c>
      <c r="B236" s="6">
        <v>0.769911</v>
      </c>
      <c r="C236" s="3"/>
      <c r="D236" s="5" t="s">
        <v>483</v>
      </c>
      <c r="E236" s="6">
        <v>7.9</v>
      </c>
      <c r="F236" s="3"/>
      <c r="G236" s="5" t="s">
        <v>176</v>
      </c>
      <c r="H236" s="6">
        <v>275.13408</v>
      </c>
      <c r="I236" s="3"/>
      <c r="J236" s="5" t="s">
        <v>484</v>
      </c>
      <c r="K236" s="7">
        <v>3005.4895710445658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x14ac:dyDescent="0.25" r="237" customHeight="1" ht="12.75">
      <c r="A237" s="5" t="s">
        <v>484</v>
      </c>
      <c r="B237" s="6">
        <v>0.767285</v>
      </c>
      <c r="C237" s="3"/>
      <c r="D237" s="5" t="s">
        <v>485</v>
      </c>
      <c r="E237" s="6">
        <v>7.9</v>
      </c>
      <c r="F237" s="3"/>
      <c r="G237" s="5" t="s">
        <v>175</v>
      </c>
      <c r="H237" s="6">
        <v>274.03177999999997</v>
      </c>
      <c r="I237" s="3"/>
      <c r="J237" s="5" t="s">
        <v>345</v>
      </c>
      <c r="K237" s="7">
        <v>3000.7428180283796</v>
      </c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x14ac:dyDescent="0.25" r="238" customHeight="1" ht="12.75">
      <c r="A238" s="5" t="s">
        <v>277</v>
      </c>
      <c r="B238" s="6">
        <v>0.7665464999999999</v>
      </c>
      <c r="C238" s="3"/>
      <c r="D238" s="5" t="s">
        <v>486</v>
      </c>
      <c r="E238" s="6">
        <v>7.890000000000001</v>
      </c>
      <c r="F238" s="3"/>
      <c r="G238" s="5" t="s">
        <v>487</v>
      </c>
      <c r="H238" s="6">
        <v>273.5639805250962</v>
      </c>
      <c r="I238" s="3"/>
      <c r="J238" s="5" t="s">
        <v>428</v>
      </c>
      <c r="K238" s="7">
        <v>2961.300210861438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x14ac:dyDescent="0.25" r="239" customHeight="1" ht="12.75">
      <c r="A239" s="5" t="s">
        <v>355</v>
      </c>
      <c r="B239" s="6">
        <v>0.76072</v>
      </c>
      <c r="C239" s="3"/>
      <c r="D239" s="5" t="s">
        <v>76</v>
      </c>
      <c r="E239" s="6">
        <v>7.84245067497404</v>
      </c>
      <c r="F239" s="3"/>
      <c r="G239" s="5" t="s">
        <v>488</v>
      </c>
      <c r="H239" s="6">
        <v>273.41707794330637</v>
      </c>
      <c r="I239" s="3"/>
      <c r="J239" s="5" t="s">
        <v>327</v>
      </c>
      <c r="K239" s="7">
        <v>2908.11916532</v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x14ac:dyDescent="0.25" r="240" customHeight="1" ht="12.75">
      <c r="A240" s="5" t="s">
        <v>432</v>
      </c>
      <c r="B240" s="6">
        <v>0.751689</v>
      </c>
      <c r="C240" s="3"/>
      <c r="D240" s="5" t="s">
        <v>489</v>
      </c>
      <c r="E240" s="6">
        <v>7.839314641744549</v>
      </c>
      <c r="F240" s="3"/>
      <c r="G240" s="5" t="s">
        <v>83</v>
      </c>
      <c r="H240" s="6">
        <v>271.37523699999997</v>
      </c>
      <c r="I240" s="3"/>
      <c r="J240" s="5" t="s">
        <v>350</v>
      </c>
      <c r="K240" s="7">
        <v>2888.5012452346605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x14ac:dyDescent="0.25" r="241" customHeight="1" ht="12.75">
      <c r="A241" s="5" t="s">
        <v>490</v>
      </c>
      <c r="B241" s="6">
        <v>0.7441979999999999</v>
      </c>
      <c r="C241" s="3"/>
      <c r="D241" s="5" t="s">
        <v>345</v>
      </c>
      <c r="E241" s="6">
        <v>7.753191256830601</v>
      </c>
      <c r="F241" s="3"/>
      <c r="G241" s="5" t="s">
        <v>334</v>
      </c>
      <c r="H241" s="6">
        <v>271.0631906327564</v>
      </c>
      <c r="I241" s="3"/>
      <c r="J241" s="5" t="s">
        <v>491</v>
      </c>
      <c r="K241" s="7">
        <v>2876.0928396861736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x14ac:dyDescent="0.25" r="242" customHeight="1" ht="12.75">
      <c r="A242" s="5" t="s">
        <v>492</v>
      </c>
      <c r="B242" s="6">
        <v>0.7430490000000001</v>
      </c>
      <c r="C242" s="3"/>
      <c r="D242" s="5" t="s">
        <v>276</v>
      </c>
      <c r="E242" s="6">
        <v>7.7097131147540985</v>
      </c>
      <c r="F242" s="3"/>
      <c r="G242" s="5" t="s">
        <v>493</v>
      </c>
      <c r="H242" s="6">
        <v>270.9381654317793</v>
      </c>
      <c r="I242" s="3"/>
      <c r="J242" s="5" t="s">
        <v>494</v>
      </c>
      <c r="K242" s="7">
        <v>2868.8930435216694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x14ac:dyDescent="0.25" r="243" customHeight="1" ht="12.75">
      <c r="A243" s="5" t="s">
        <v>421</v>
      </c>
      <c r="B243" s="6">
        <v>0.7424321999999999</v>
      </c>
      <c r="C243" s="3"/>
      <c r="D243" s="5" t="s">
        <v>495</v>
      </c>
      <c r="E243" s="6">
        <v>7.699999999999999</v>
      </c>
      <c r="F243" s="3"/>
      <c r="G243" s="5" t="s">
        <v>496</v>
      </c>
      <c r="H243" s="6">
        <v>269.7451363427653</v>
      </c>
      <c r="I243" s="3"/>
      <c r="J243" s="5" t="s">
        <v>497</v>
      </c>
      <c r="K243" s="7">
        <v>2868.6385169947334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x14ac:dyDescent="0.25" r="244" customHeight="1" ht="12.75">
      <c r="A244" s="5" t="s">
        <v>494</v>
      </c>
      <c r="B244" s="6">
        <v>0.7411951999999999</v>
      </c>
      <c r="C244" s="3"/>
      <c r="D244" s="5" t="s">
        <v>498</v>
      </c>
      <c r="E244" s="6">
        <v>7.624242424242425</v>
      </c>
      <c r="F244" s="3"/>
      <c r="G244" s="5" t="s">
        <v>96</v>
      </c>
      <c r="H244" s="6">
        <v>269.27538947474716</v>
      </c>
      <c r="I244" s="3"/>
      <c r="J244" s="5" t="s">
        <v>354</v>
      </c>
      <c r="K244" s="7">
        <v>2854.751117995391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x14ac:dyDescent="0.25" r="245" customHeight="1" ht="12.75">
      <c r="A245" s="5" t="s">
        <v>476</v>
      </c>
      <c r="B245" s="6">
        <v>0.729666</v>
      </c>
      <c r="C245" s="3"/>
      <c r="D245" s="5" t="s">
        <v>499</v>
      </c>
      <c r="E245" s="6">
        <v>7.6000000000000005</v>
      </c>
      <c r="F245" s="3"/>
      <c r="G245" s="5" t="s">
        <v>500</v>
      </c>
      <c r="H245" s="6">
        <v>269.14595720160776</v>
      </c>
      <c r="I245" s="3"/>
      <c r="J245" s="5" t="s">
        <v>284</v>
      </c>
      <c r="K245" s="7">
        <v>2843.363799314026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x14ac:dyDescent="0.25" r="246" customHeight="1" ht="12.75">
      <c r="A246" s="5" t="s">
        <v>465</v>
      </c>
      <c r="B246" s="6">
        <v>0.7256</v>
      </c>
      <c r="C246" s="3"/>
      <c r="D246" s="5" t="s">
        <v>439</v>
      </c>
      <c r="E246" s="6">
        <v>7.6</v>
      </c>
      <c r="F246" s="3"/>
      <c r="G246" s="5" t="s">
        <v>430</v>
      </c>
      <c r="H246" s="6">
        <v>268.3077034083601</v>
      </c>
      <c r="I246" s="3"/>
      <c r="J246" s="5" t="s">
        <v>501</v>
      </c>
      <c r="K246" s="7">
        <v>2810.406373602737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x14ac:dyDescent="0.25" r="247" customHeight="1" ht="12.75">
      <c r="A247" s="5" t="s">
        <v>345</v>
      </c>
      <c r="B247" s="6">
        <v>0.709417</v>
      </c>
      <c r="C247" s="3"/>
      <c r="D247" s="5" t="s">
        <v>429</v>
      </c>
      <c r="E247" s="6">
        <v>7.590000000000001</v>
      </c>
      <c r="F247" s="3"/>
      <c r="G247" s="5" t="s">
        <v>387</v>
      </c>
      <c r="H247" s="6">
        <v>268.053034596463</v>
      </c>
      <c r="I247" s="3"/>
      <c r="J247" s="5" t="s">
        <v>418</v>
      </c>
      <c r="K247" s="7">
        <v>2801.2352410209005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x14ac:dyDescent="0.25" r="248" customHeight="1" ht="12.75">
      <c r="A248" s="5" t="s">
        <v>187</v>
      </c>
      <c r="B248" s="6">
        <v>0.69993907944</v>
      </c>
      <c r="C248" s="3"/>
      <c r="D248" s="5" t="s">
        <v>480</v>
      </c>
      <c r="E248" s="6">
        <v>7.57</v>
      </c>
      <c r="F248" s="3"/>
      <c r="G248" s="5" t="s">
        <v>502</v>
      </c>
      <c r="H248" s="6">
        <v>268.0364900561894</v>
      </c>
      <c r="I248" s="3"/>
      <c r="J248" s="5" t="s">
        <v>373</v>
      </c>
      <c r="K248" s="7">
        <v>2795.789636556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x14ac:dyDescent="0.25" r="249" customHeight="1" ht="12.75">
      <c r="A249" s="5" t="s">
        <v>503</v>
      </c>
      <c r="B249" s="6">
        <v>0.6968185</v>
      </c>
      <c r="C249" s="3"/>
      <c r="D249" s="5" t="s">
        <v>503</v>
      </c>
      <c r="E249" s="6">
        <v>7.569999999999999</v>
      </c>
      <c r="F249" s="3"/>
      <c r="G249" s="5" t="s">
        <v>504</v>
      </c>
      <c r="H249" s="6">
        <v>267.6783489769858</v>
      </c>
      <c r="I249" s="3"/>
      <c r="J249" s="5" t="s">
        <v>505</v>
      </c>
      <c r="K249" s="7">
        <v>2791.5031761474693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x14ac:dyDescent="0.25" r="250" customHeight="1" ht="12.75">
      <c r="A250" s="5" t="s">
        <v>396</v>
      </c>
      <c r="B250" s="6">
        <v>0.6916</v>
      </c>
      <c r="C250" s="3"/>
      <c r="D250" s="5" t="s">
        <v>506</v>
      </c>
      <c r="E250" s="6">
        <v>7.545898876404493</v>
      </c>
      <c r="F250" s="3"/>
      <c r="G250" s="5" t="s">
        <v>507</v>
      </c>
      <c r="H250" s="6">
        <v>265.6712513987138</v>
      </c>
      <c r="I250" s="3"/>
      <c r="J250" s="5" t="s">
        <v>341</v>
      </c>
      <c r="K250" s="7">
        <v>2781.8430944499996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x14ac:dyDescent="0.25" r="251" customHeight="1" ht="12.75">
      <c r="A251" s="5" t="s">
        <v>437</v>
      </c>
      <c r="B251" s="6">
        <v>0.6885600000000001</v>
      </c>
      <c r="C251" s="3"/>
      <c r="D251" s="5" t="s">
        <v>369</v>
      </c>
      <c r="E251" s="6">
        <v>7.543529411764705</v>
      </c>
      <c r="F251" s="3"/>
      <c r="G251" s="5" t="s">
        <v>236</v>
      </c>
      <c r="H251" s="6">
        <v>265.2313446773425</v>
      </c>
      <c r="I251" s="3"/>
      <c r="J251" s="5" t="s">
        <v>264</v>
      </c>
      <c r="K251" s="7">
        <v>2772.380244391222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x14ac:dyDescent="0.25" r="252" customHeight="1" ht="12.75">
      <c r="A252" s="5" t="s">
        <v>359</v>
      </c>
      <c r="B252" s="6">
        <v>0.68675</v>
      </c>
      <c r="C252" s="3"/>
      <c r="D252" s="5" t="s">
        <v>211</v>
      </c>
      <c r="E252" s="6">
        <v>7.510072992700731</v>
      </c>
      <c r="F252" s="3"/>
      <c r="G252" s="5" t="s">
        <v>193</v>
      </c>
      <c r="H252" s="6">
        <v>265.19950386378815</v>
      </c>
      <c r="I252" s="3"/>
      <c r="J252" s="5" t="s">
        <v>508</v>
      </c>
      <c r="K252" s="7">
        <v>2735.4278460703513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x14ac:dyDescent="0.25" r="253" customHeight="1" ht="12.75">
      <c r="A253" s="5" t="s">
        <v>509</v>
      </c>
      <c r="B253" s="6">
        <v>0.681786</v>
      </c>
      <c r="C253" s="3"/>
      <c r="D253" s="5" t="s">
        <v>324</v>
      </c>
      <c r="E253" s="6">
        <v>7.5</v>
      </c>
      <c r="F253" s="3"/>
      <c r="G253" s="5" t="s">
        <v>510</v>
      </c>
      <c r="H253" s="6">
        <v>265.0260109</v>
      </c>
      <c r="I253" s="3"/>
      <c r="J253" s="5" t="s">
        <v>482</v>
      </c>
      <c r="K253" s="7">
        <v>2731.8385786935046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x14ac:dyDescent="0.25" r="254" customHeight="1" ht="12.75">
      <c r="A254" s="5" t="s">
        <v>232</v>
      </c>
      <c r="B254" s="6">
        <v>0.6797300000000001</v>
      </c>
      <c r="C254" s="3"/>
      <c r="D254" s="5" t="s">
        <v>406</v>
      </c>
      <c r="E254" s="6">
        <v>7.5</v>
      </c>
      <c r="F254" s="3"/>
      <c r="G254" s="5" t="s">
        <v>511</v>
      </c>
      <c r="H254" s="6">
        <v>264.4937140418006</v>
      </c>
      <c r="I254" s="3"/>
      <c r="J254" s="5" t="s">
        <v>380</v>
      </c>
      <c r="K254" s="7">
        <v>2723.2144538134567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x14ac:dyDescent="0.25" r="255" customHeight="1" ht="12.75">
      <c r="A255" s="5" t="s">
        <v>512</v>
      </c>
      <c r="B255" s="6">
        <v>0.6732</v>
      </c>
      <c r="C255" s="3"/>
      <c r="D255" s="5" t="s">
        <v>436</v>
      </c>
      <c r="E255" s="6">
        <v>7.484443274545932</v>
      </c>
      <c r="F255" s="3"/>
      <c r="G255" s="5" t="s">
        <v>206</v>
      </c>
      <c r="H255" s="6">
        <v>263.515838</v>
      </c>
      <c r="I255" s="3"/>
      <c r="J255" s="5" t="s">
        <v>439</v>
      </c>
      <c r="K255" s="7">
        <v>2722.138066662379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x14ac:dyDescent="0.25" r="256" customHeight="1" ht="12.75">
      <c r="A256" s="5" t="s">
        <v>513</v>
      </c>
      <c r="B256" s="6">
        <v>0.672</v>
      </c>
      <c r="C256" s="3"/>
      <c r="D256" s="5" t="s">
        <v>221</v>
      </c>
      <c r="E256" s="6">
        <v>7.48</v>
      </c>
      <c r="F256" s="3"/>
      <c r="G256" s="5" t="s">
        <v>514</v>
      </c>
      <c r="H256" s="6">
        <v>263.50985753054664</v>
      </c>
      <c r="I256" s="3"/>
      <c r="J256" s="5" t="s">
        <v>490</v>
      </c>
      <c r="K256" s="7">
        <v>2718.1834946512954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x14ac:dyDescent="0.25" r="257" customHeight="1" ht="12.75">
      <c r="A257" s="5" t="s">
        <v>460</v>
      </c>
      <c r="B257" s="6">
        <v>0.671455</v>
      </c>
      <c r="C257" s="3"/>
      <c r="D257" s="5" t="s">
        <v>291</v>
      </c>
      <c r="E257" s="6">
        <v>7.47</v>
      </c>
      <c r="F257" s="3"/>
      <c r="G257" s="5" t="s">
        <v>194</v>
      </c>
      <c r="H257" s="6">
        <v>263.383562</v>
      </c>
      <c r="I257" s="3"/>
      <c r="J257" s="5" t="s">
        <v>515</v>
      </c>
      <c r="K257" s="7">
        <v>2703.887089212377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x14ac:dyDescent="0.25" r="258" customHeight="1" ht="12.75">
      <c r="A258" s="5" t="s">
        <v>501</v>
      </c>
      <c r="B258" s="6">
        <v>0.6695135999999999</v>
      </c>
      <c r="C258" s="3"/>
      <c r="D258" s="5" t="s">
        <v>428</v>
      </c>
      <c r="E258" s="6">
        <v>7.459999999999999</v>
      </c>
      <c r="F258" s="3"/>
      <c r="G258" s="5" t="s">
        <v>516</v>
      </c>
      <c r="H258" s="6">
        <v>263.1882875562701</v>
      </c>
      <c r="I258" s="3"/>
      <c r="J258" s="5" t="s">
        <v>517</v>
      </c>
      <c r="K258" s="7">
        <v>2669.9845691361184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x14ac:dyDescent="0.25" r="259" customHeight="1" ht="12.75">
      <c r="A259" s="5" t="s">
        <v>401</v>
      </c>
      <c r="B259" s="6">
        <v>0.6691646</v>
      </c>
      <c r="C259" s="3"/>
      <c r="D259" s="5" t="s">
        <v>312</v>
      </c>
      <c r="E259" s="6">
        <v>7.42</v>
      </c>
      <c r="F259" s="3"/>
      <c r="G259" s="5" t="s">
        <v>518</v>
      </c>
      <c r="H259" s="6">
        <v>262.9590016096603</v>
      </c>
      <c r="I259" s="3"/>
      <c r="J259" s="5" t="s">
        <v>177</v>
      </c>
      <c r="K259" s="7">
        <v>2657.738362355355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x14ac:dyDescent="0.25" r="260" customHeight="1" ht="12.75">
      <c r="A260" s="5" t="s">
        <v>182</v>
      </c>
      <c r="B260" s="6">
        <v>0.668958</v>
      </c>
      <c r="C260" s="3"/>
      <c r="D260" s="5" t="s">
        <v>519</v>
      </c>
      <c r="E260" s="6">
        <v>7.4</v>
      </c>
      <c r="F260" s="3"/>
      <c r="G260" s="5" t="s">
        <v>367</v>
      </c>
      <c r="H260" s="6">
        <v>262.8016084371208</v>
      </c>
      <c r="I260" s="3"/>
      <c r="J260" s="5" t="s">
        <v>458</v>
      </c>
      <c r="K260" s="7">
        <v>2650.7312961883185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x14ac:dyDescent="0.25" r="261" customHeight="1" ht="12.75">
      <c r="A261" s="5" t="s">
        <v>520</v>
      </c>
      <c r="B261" s="6">
        <v>0.66708</v>
      </c>
      <c r="C261" s="3"/>
      <c r="D261" s="5" t="s">
        <v>521</v>
      </c>
      <c r="E261" s="6">
        <v>7.33</v>
      </c>
      <c r="F261" s="3"/>
      <c r="G261" s="5" t="s">
        <v>224</v>
      </c>
      <c r="H261" s="6">
        <v>261.23517929999997</v>
      </c>
      <c r="I261" s="3"/>
      <c r="J261" s="5" t="s">
        <v>522</v>
      </c>
      <c r="K261" s="7">
        <v>2629.386456692971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x14ac:dyDescent="0.25" r="262" customHeight="1" ht="12.75">
      <c r="A262" s="5" t="s">
        <v>523</v>
      </c>
      <c r="B262" s="6">
        <v>0.66187</v>
      </c>
      <c r="C262" s="3"/>
      <c r="D262" s="5" t="s">
        <v>524</v>
      </c>
      <c r="E262" s="6">
        <v>7.319999999999999</v>
      </c>
      <c r="F262" s="3"/>
      <c r="G262" s="5" t="s">
        <v>400</v>
      </c>
      <c r="H262" s="6">
        <v>261.090778</v>
      </c>
      <c r="I262" s="3"/>
      <c r="J262" s="5" t="s">
        <v>272</v>
      </c>
      <c r="K262" s="7">
        <v>2626.942522412151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x14ac:dyDescent="0.25" r="263" customHeight="1" ht="12.75">
      <c r="A263" s="5" t="s">
        <v>491</v>
      </c>
      <c r="B263" s="6">
        <v>0.6608</v>
      </c>
      <c r="C263" s="3"/>
      <c r="D263" s="5" t="s">
        <v>525</v>
      </c>
      <c r="E263" s="6">
        <v>7.31</v>
      </c>
      <c r="F263" s="3"/>
      <c r="G263" s="5" t="s">
        <v>526</v>
      </c>
      <c r="H263" s="6">
        <v>260.2571790372165</v>
      </c>
      <c r="I263" s="3"/>
      <c r="J263" s="5" t="s">
        <v>527</v>
      </c>
      <c r="K263" s="7">
        <v>2570.957889039228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x14ac:dyDescent="0.25" r="264" customHeight="1" ht="12.75">
      <c r="A264" s="5" t="s">
        <v>464</v>
      </c>
      <c r="B264" s="6">
        <v>0.659061</v>
      </c>
      <c r="C264" s="3"/>
      <c r="D264" s="5" t="s">
        <v>266</v>
      </c>
      <c r="E264" s="6">
        <v>7.3</v>
      </c>
      <c r="F264" s="3"/>
      <c r="G264" s="5" t="s">
        <v>204</v>
      </c>
      <c r="H264" s="6">
        <v>259.900294</v>
      </c>
      <c r="I264" s="3"/>
      <c r="J264" s="5" t="s">
        <v>528</v>
      </c>
      <c r="K264" s="7">
        <v>2568.3968635499677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x14ac:dyDescent="0.25" r="265" customHeight="1" ht="12.75">
      <c r="A265" s="5" t="s">
        <v>529</v>
      </c>
      <c r="B265" s="6">
        <v>0.6559999999999999</v>
      </c>
      <c r="C265" s="3"/>
      <c r="D265" s="5" t="s">
        <v>530</v>
      </c>
      <c r="E265" s="6">
        <v>7.3</v>
      </c>
      <c r="F265" s="3"/>
      <c r="G265" s="5" t="s">
        <v>201</v>
      </c>
      <c r="H265" s="6">
        <v>259.1209618837538</v>
      </c>
      <c r="I265" s="3"/>
      <c r="J265" s="5" t="s">
        <v>433</v>
      </c>
      <c r="K265" s="7">
        <v>2560.0317786674727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x14ac:dyDescent="0.25" r="266" customHeight="1" ht="12.75">
      <c r="A266" s="5" t="s">
        <v>531</v>
      </c>
      <c r="B266" s="6">
        <v>0.6533120000000001</v>
      </c>
      <c r="C266" s="3"/>
      <c r="D266" s="5" t="s">
        <v>55</v>
      </c>
      <c r="E266" s="6">
        <v>7.280723689081729</v>
      </c>
      <c r="F266" s="3"/>
      <c r="G266" s="5" t="s">
        <v>213</v>
      </c>
      <c r="H266" s="6">
        <v>258.5647382893891</v>
      </c>
      <c r="I266" s="3"/>
      <c r="J266" s="5" t="s">
        <v>377</v>
      </c>
      <c r="K266" s="7">
        <v>2552.367592187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x14ac:dyDescent="0.25" r="267" customHeight="1" ht="12.75">
      <c r="A267" s="5" t="s">
        <v>505</v>
      </c>
      <c r="B267" s="6">
        <v>0.6503023348</v>
      </c>
      <c r="C267" s="3"/>
      <c r="D267" s="5" t="s">
        <v>496</v>
      </c>
      <c r="E267" s="6">
        <v>7.260000000000001</v>
      </c>
      <c r="F267" s="3"/>
      <c r="G267" s="5" t="s">
        <v>325</v>
      </c>
      <c r="H267" s="6">
        <v>257.6267342154341</v>
      </c>
      <c r="I267" s="3"/>
      <c r="J267" s="5" t="s">
        <v>371</v>
      </c>
      <c r="K267" s="7">
        <v>2539.6992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x14ac:dyDescent="0.25" r="268" customHeight="1" ht="12.75">
      <c r="A268" s="5" t="s">
        <v>532</v>
      </c>
      <c r="B268" s="6">
        <v>0.6384</v>
      </c>
      <c r="C268" s="3"/>
      <c r="D268" s="5" t="s">
        <v>533</v>
      </c>
      <c r="E268" s="6">
        <v>7.26</v>
      </c>
      <c r="F268" s="3"/>
      <c r="G268" s="5" t="s">
        <v>527</v>
      </c>
      <c r="H268" s="6">
        <v>257.0957889039228</v>
      </c>
      <c r="I268" s="3"/>
      <c r="J268" s="5" t="s">
        <v>361</v>
      </c>
      <c r="K268" s="7">
        <v>2537.5329909044</v>
      </c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x14ac:dyDescent="0.25" r="269" customHeight="1" ht="12.75">
      <c r="A269" s="5" t="s">
        <v>534</v>
      </c>
      <c r="B269" s="6">
        <v>0.6375</v>
      </c>
      <c r="C269" s="3"/>
      <c r="D269" s="5" t="s">
        <v>167</v>
      </c>
      <c r="E269" s="6">
        <v>7.2521144781144775</v>
      </c>
      <c r="F269" s="3"/>
      <c r="G269" s="5" t="s">
        <v>76</v>
      </c>
      <c r="H269" s="6">
        <v>257.0576577822096</v>
      </c>
      <c r="I269" s="3"/>
      <c r="J269" s="5" t="s">
        <v>462</v>
      </c>
      <c r="K269" s="7">
        <v>2533.1020464575563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x14ac:dyDescent="0.25" r="270" customHeight="1" ht="12.75">
      <c r="A270" s="5" t="s">
        <v>535</v>
      </c>
      <c r="B270" s="6">
        <v>0.6351589999999999</v>
      </c>
      <c r="C270" s="3"/>
      <c r="D270" s="5" t="s">
        <v>415</v>
      </c>
      <c r="E270" s="6">
        <v>7.2</v>
      </c>
      <c r="F270" s="3"/>
      <c r="G270" s="5" t="s">
        <v>230</v>
      </c>
      <c r="H270" s="6">
        <v>256.94290518158795</v>
      </c>
      <c r="I270" s="3"/>
      <c r="J270" s="5" t="s">
        <v>406</v>
      </c>
      <c r="K270" s="7">
        <v>2529.082461709727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x14ac:dyDescent="0.25" r="271" customHeight="1" ht="12.75">
      <c r="A271" s="5" t="s">
        <v>536</v>
      </c>
      <c r="B271" s="6">
        <v>0.6337512000000001</v>
      </c>
      <c r="C271" s="3"/>
      <c r="D271" s="5" t="s">
        <v>537</v>
      </c>
      <c r="E271" s="6">
        <v>7.199999999999999</v>
      </c>
      <c r="F271" s="3"/>
      <c r="G271" s="5" t="s">
        <v>464</v>
      </c>
      <c r="H271" s="6">
        <v>256.805683272105</v>
      </c>
      <c r="I271" s="3"/>
      <c r="J271" s="5" t="s">
        <v>448</v>
      </c>
      <c r="K271" s="7">
        <v>2527.1738621299037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x14ac:dyDescent="0.25" r="272" customHeight="1" ht="12.75">
      <c r="A272" s="5" t="s">
        <v>391</v>
      </c>
      <c r="B272" s="6">
        <v>0.6299999999999999</v>
      </c>
      <c r="C272" s="3"/>
      <c r="D272" s="5" t="s">
        <v>538</v>
      </c>
      <c r="E272" s="6">
        <v>7.1899999999999995</v>
      </c>
      <c r="F272" s="3"/>
      <c r="G272" s="5" t="s">
        <v>539</v>
      </c>
      <c r="H272" s="6">
        <v>256.0775318028939</v>
      </c>
      <c r="I272" s="3"/>
      <c r="J272" s="5" t="s">
        <v>384</v>
      </c>
      <c r="K272" s="7">
        <v>2497.2606499999997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x14ac:dyDescent="0.25" r="273" customHeight="1" ht="12.75">
      <c r="A273" s="5" t="s">
        <v>527</v>
      </c>
      <c r="B273" s="6">
        <v>0.6295999999999999</v>
      </c>
      <c r="C273" s="3"/>
      <c r="D273" s="5" t="s">
        <v>36</v>
      </c>
      <c r="E273" s="6">
        <v>7.1110125991600555</v>
      </c>
      <c r="F273" s="3"/>
      <c r="G273" s="5" t="s">
        <v>129</v>
      </c>
      <c r="H273" s="6">
        <v>255.90418641315355</v>
      </c>
      <c r="I273" s="3"/>
      <c r="J273" s="5" t="s">
        <v>540</v>
      </c>
      <c r="K273" s="7">
        <v>2466.412073312862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x14ac:dyDescent="0.25" r="274" customHeight="1" ht="12.75">
      <c r="A274" s="5" t="s">
        <v>541</v>
      </c>
      <c r="B274" s="6">
        <v>0.6210000000000001</v>
      </c>
      <c r="C274" s="3"/>
      <c r="D274" s="5" t="s">
        <v>352</v>
      </c>
      <c r="E274" s="6">
        <v>7.107003056464154</v>
      </c>
      <c r="F274" s="3"/>
      <c r="G274" s="5" t="s">
        <v>295</v>
      </c>
      <c r="H274" s="6">
        <v>255.27338032712797</v>
      </c>
      <c r="I274" s="3"/>
      <c r="J274" s="5" t="s">
        <v>67</v>
      </c>
      <c r="K274" s="7">
        <v>2451.1073489999994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x14ac:dyDescent="0.25" r="275" customHeight="1" ht="12.75">
      <c r="A275" s="5" t="s">
        <v>497</v>
      </c>
      <c r="B275" s="6">
        <v>0.620509</v>
      </c>
      <c r="C275" s="3"/>
      <c r="D275" s="5" t="s">
        <v>542</v>
      </c>
      <c r="E275" s="6">
        <v>7.1000000000000005</v>
      </c>
      <c r="F275" s="3"/>
      <c r="G275" s="5" t="s">
        <v>363</v>
      </c>
      <c r="H275" s="6">
        <v>254.62846107299035</v>
      </c>
      <c r="I275" s="3"/>
      <c r="J275" s="5" t="s">
        <v>543</v>
      </c>
      <c r="K275" s="7">
        <v>2401.9106338835227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x14ac:dyDescent="0.25" r="276" customHeight="1" ht="12.75">
      <c r="A276" s="5" t="s">
        <v>483</v>
      </c>
      <c r="B276" s="6">
        <v>0.6185700000000001</v>
      </c>
      <c r="C276" s="3"/>
      <c r="D276" s="5" t="s">
        <v>408</v>
      </c>
      <c r="E276" s="6">
        <v>7.0863414634146356</v>
      </c>
      <c r="F276" s="3"/>
      <c r="G276" s="5" t="s">
        <v>240</v>
      </c>
      <c r="H276" s="6">
        <v>254.5833041993569</v>
      </c>
      <c r="I276" s="3"/>
      <c r="J276" s="5" t="s">
        <v>388</v>
      </c>
      <c r="K276" s="7">
        <v>2387.4759791999995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x14ac:dyDescent="0.25" r="277" customHeight="1" ht="12.75">
      <c r="A277" s="5" t="s">
        <v>451</v>
      </c>
      <c r="B277" s="6">
        <v>0.61485789716</v>
      </c>
      <c r="C277" s="3"/>
      <c r="D277" s="5" t="s">
        <v>474</v>
      </c>
      <c r="E277" s="6">
        <v>7.059885098743268</v>
      </c>
      <c r="F277" s="3"/>
      <c r="G277" s="5" t="s">
        <v>544</v>
      </c>
      <c r="H277" s="6">
        <v>254.5275602358628</v>
      </c>
      <c r="I277" s="3"/>
      <c r="J277" s="5" t="s">
        <v>426</v>
      </c>
      <c r="K277" s="7">
        <v>2370.5627245723476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x14ac:dyDescent="0.25" r="278" customHeight="1" ht="12.75">
      <c r="A278" s="5" t="s">
        <v>296</v>
      </c>
      <c r="B278" s="6">
        <v>0.612265</v>
      </c>
      <c r="C278" s="3"/>
      <c r="D278" s="5" t="s">
        <v>404</v>
      </c>
      <c r="E278" s="6">
        <v>7.054055911704449</v>
      </c>
      <c r="F278" s="3"/>
      <c r="G278" s="5" t="s">
        <v>128</v>
      </c>
      <c r="H278" s="6">
        <v>254.10671324321262</v>
      </c>
      <c r="I278" s="3"/>
      <c r="J278" s="5" t="s">
        <v>545</v>
      </c>
      <c r="K278" s="7">
        <v>2343.7249749124467</v>
      </c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x14ac:dyDescent="0.25" r="279" customHeight="1" ht="12.75">
      <c r="A279" s="5" t="s">
        <v>414</v>
      </c>
      <c r="B279" s="6">
        <v>0.6097</v>
      </c>
      <c r="C279" s="3"/>
      <c r="D279" s="5" t="s">
        <v>277</v>
      </c>
      <c r="E279" s="6">
        <v>7.05</v>
      </c>
      <c r="F279" s="3"/>
      <c r="G279" s="5" t="s">
        <v>412</v>
      </c>
      <c r="H279" s="6">
        <v>253.37387428327975</v>
      </c>
      <c r="I279" s="3"/>
      <c r="J279" s="5" t="s">
        <v>546</v>
      </c>
      <c r="K279" s="7">
        <v>2338.5295602300002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x14ac:dyDescent="0.25" r="280" customHeight="1" ht="12.75">
      <c r="A280" s="5" t="s">
        <v>547</v>
      </c>
      <c r="B280" s="6">
        <v>0.606837</v>
      </c>
      <c r="C280" s="3"/>
      <c r="D280" s="5" t="s">
        <v>548</v>
      </c>
      <c r="E280" s="6">
        <v>7.0276595744680845</v>
      </c>
      <c r="F280" s="3"/>
      <c r="G280" s="5" t="s">
        <v>549</v>
      </c>
      <c r="H280" s="6">
        <v>252.85172700418005</v>
      </c>
      <c r="I280" s="3"/>
      <c r="J280" s="5" t="s">
        <v>541</v>
      </c>
      <c r="K280" s="7">
        <v>2318.844613924437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x14ac:dyDescent="0.25" r="281" customHeight="1" ht="12.75">
      <c r="A281" s="5" t="s">
        <v>398</v>
      </c>
      <c r="B281" s="6">
        <v>0.6050000000000001</v>
      </c>
      <c r="C281" s="3"/>
      <c r="D281" s="5" t="s">
        <v>388</v>
      </c>
      <c r="E281" s="6">
        <v>7.02</v>
      </c>
      <c r="F281" s="3"/>
      <c r="G281" s="5" t="s">
        <v>533</v>
      </c>
      <c r="H281" s="6">
        <v>250.9185319237942</v>
      </c>
      <c r="I281" s="3"/>
      <c r="J281" s="5" t="s">
        <v>550</v>
      </c>
      <c r="K281" s="7">
        <v>2308.23540668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x14ac:dyDescent="0.25" r="282" customHeight="1" ht="12.75">
      <c r="A282" s="5" t="s">
        <v>281</v>
      </c>
      <c r="B282" s="6">
        <v>0.60179842</v>
      </c>
      <c r="C282" s="3"/>
      <c r="D282" s="5" t="s">
        <v>551</v>
      </c>
      <c r="E282" s="6">
        <v>7</v>
      </c>
      <c r="F282" s="3"/>
      <c r="G282" s="5" t="s">
        <v>344</v>
      </c>
      <c r="H282" s="6">
        <v>250.4787443439323</v>
      </c>
      <c r="I282" s="3"/>
      <c r="J282" s="5" t="s">
        <v>400</v>
      </c>
      <c r="K282" s="7">
        <v>2297.5988464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x14ac:dyDescent="0.25" r="283" customHeight="1" ht="12.75">
      <c r="A283" s="5" t="s">
        <v>422</v>
      </c>
      <c r="B283" s="6">
        <v>0.5984</v>
      </c>
      <c r="C283" s="3"/>
      <c r="D283" s="5" t="s">
        <v>552</v>
      </c>
      <c r="E283" s="6">
        <v>7</v>
      </c>
      <c r="F283" s="3"/>
      <c r="G283" s="5" t="s">
        <v>553</v>
      </c>
      <c r="H283" s="6">
        <v>250.1666628452263</v>
      </c>
      <c r="I283" s="3"/>
      <c r="J283" s="5" t="s">
        <v>544</v>
      </c>
      <c r="K283" s="7">
        <v>2290.748042122765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x14ac:dyDescent="0.25" r="284" customHeight="1" ht="12.75">
      <c r="A284" s="5" t="s">
        <v>454</v>
      </c>
      <c r="B284" s="6">
        <v>0.5940000000000001</v>
      </c>
      <c r="C284" s="3"/>
      <c r="D284" s="5" t="s">
        <v>554</v>
      </c>
      <c r="E284" s="6">
        <v>7</v>
      </c>
      <c r="F284" s="3"/>
      <c r="G284" s="5" t="s">
        <v>555</v>
      </c>
      <c r="H284" s="6">
        <v>249.57340397427657</v>
      </c>
      <c r="I284" s="3"/>
      <c r="J284" s="5" t="s">
        <v>556</v>
      </c>
      <c r="K284" s="7">
        <v>2283.4541328000005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x14ac:dyDescent="0.25" r="285" customHeight="1" ht="12.75">
      <c r="A285" s="5" t="s">
        <v>330</v>
      </c>
      <c r="B285" s="6">
        <v>0.592974</v>
      </c>
      <c r="C285" s="3"/>
      <c r="D285" s="5" t="s">
        <v>557</v>
      </c>
      <c r="E285" s="6">
        <v>7</v>
      </c>
      <c r="F285" s="3"/>
      <c r="G285" s="5" t="s">
        <v>407</v>
      </c>
      <c r="H285" s="6">
        <v>247.14329545980704</v>
      </c>
      <c r="I285" s="3"/>
      <c r="J285" s="5" t="s">
        <v>404</v>
      </c>
      <c r="K285" s="7">
        <v>2269.4306159827</v>
      </c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x14ac:dyDescent="0.25" r="286" customHeight="1" ht="12.75">
      <c r="A286" s="5" t="s">
        <v>558</v>
      </c>
      <c r="B286" s="6">
        <v>0.590673</v>
      </c>
      <c r="C286" s="3"/>
      <c r="D286" s="5" t="s">
        <v>253</v>
      </c>
      <c r="E286" s="6">
        <v>7</v>
      </c>
      <c r="F286" s="3"/>
      <c r="G286" s="5" t="s">
        <v>559</v>
      </c>
      <c r="H286" s="6">
        <v>246.82155432668816</v>
      </c>
      <c r="I286" s="3"/>
      <c r="J286" s="5" t="s">
        <v>390</v>
      </c>
      <c r="K286" s="7">
        <v>2251.8328880877307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x14ac:dyDescent="0.25" r="287" customHeight="1" ht="12.75">
      <c r="A287" s="5" t="s">
        <v>200</v>
      </c>
      <c r="B287" s="6">
        <v>0.58529</v>
      </c>
      <c r="C287" s="3"/>
      <c r="D287" s="5" t="s">
        <v>560</v>
      </c>
      <c r="E287" s="6">
        <v>6.984321686746988</v>
      </c>
      <c r="F287" s="3"/>
      <c r="G287" s="5" t="s">
        <v>561</v>
      </c>
      <c r="H287" s="6">
        <v>246.59562664758843</v>
      </c>
      <c r="I287" s="3"/>
      <c r="J287" s="5" t="s">
        <v>562</v>
      </c>
      <c r="K287" s="7">
        <v>2237.9830056522333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x14ac:dyDescent="0.25" r="288" customHeight="1" ht="12.75">
      <c r="A288" s="5" t="s">
        <v>560</v>
      </c>
      <c r="B288" s="6">
        <v>0.5796987</v>
      </c>
      <c r="C288" s="3"/>
      <c r="D288" s="5" t="s">
        <v>563</v>
      </c>
      <c r="E288" s="6">
        <v>6.98</v>
      </c>
      <c r="F288" s="3"/>
      <c r="G288" s="5" t="s">
        <v>564</v>
      </c>
      <c r="H288" s="6">
        <v>246.58979830289388</v>
      </c>
      <c r="I288" s="3"/>
      <c r="J288" s="5" t="s">
        <v>182</v>
      </c>
      <c r="K288" s="7">
        <v>2235.501146059074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x14ac:dyDescent="0.25" r="289" customHeight="1" ht="12.75">
      <c r="A289" s="5" t="s">
        <v>565</v>
      </c>
      <c r="B289" s="6">
        <v>0.5753631</v>
      </c>
      <c r="C289" s="3"/>
      <c r="D289" s="5" t="s">
        <v>63</v>
      </c>
      <c r="E289" s="6">
        <v>6.971785663524678</v>
      </c>
      <c r="F289" s="3"/>
      <c r="G289" s="5" t="s">
        <v>248</v>
      </c>
      <c r="H289" s="6">
        <v>245.76979737096244</v>
      </c>
      <c r="I289" s="3"/>
      <c r="J289" s="5" t="s">
        <v>217</v>
      </c>
      <c r="K289" s="7">
        <v>2230.0318283098604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x14ac:dyDescent="0.25" r="290" customHeight="1" ht="12.75">
      <c r="A290" s="5" t="s">
        <v>544</v>
      </c>
      <c r="B290" s="6">
        <v>0.56883</v>
      </c>
      <c r="C290" s="3"/>
      <c r="D290" s="5" t="s">
        <v>293</v>
      </c>
      <c r="E290" s="6">
        <v>6.9630647414997675</v>
      </c>
      <c r="F290" s="3"/>
      <c r="G290" s="5" t="s">
        <v>450</v>
      </c>
      <c r="H290" s="6">
        <v>245.68062399999997</v>
      </c>
      <c r="I290" s="3"/>
      <c r="J290" s="5" t="s">
        <v>459</v>
      </c>
      <c r="K290" s="7">
        <v>2210.0343548453375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x14ac:dyDescent="0.25" r="291" customHeight="1" ht="12.75">
      <c r="A291" s="5" t="s">
        <v>272</v>
      </c>
      <c r="B291" s="6">
        <v>0.5642495999999999</v>
      </c>
      <c r="C291" s="3"/>
      <c r="D291" s="5" t="s">
        <v>357</v>
      </c>
      <c r="E291" s="6">
        <v>6.9399999999999995</v>
      </c>
      <c r="F291" s="3"/>
      <c r="G291" s="5" t="s">
        <v>485</v>
      </c>
      <c r="H291" s="6">
        <v>244.97860173311898</v>
      </c>
      <c r="I291" s="3"/>
      <c r="J291" s="5" t="s">
        <v>566</v>
      </c>
      <c r="K291" s="7">
        <v>2207.691619253643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x14ac:dyDescent="0.25" r="292" customHeight="1" ht="12.75">
      <c r="A292" s="5" t="s">
        <v>543</v>
      </c>
      <c r="B292" s="6">
        <v>0.5639278000000001</v>
      </c>
      <c r="C292" s="3"/>
      <c r="D292" s="5" t="s">
        <v>94</v>
      </c>
      <c r="E292" s="6">
        <v>6.913521695257316</v>
      </c>
      <c r="F292" s="3"/>
      <c r="G292" s="5" t="s">
        <v>525</v>
      </c>
      <c r="H292" s="6">
        <v>244.65217810000001</v>
      </c>
      <c r="I292" s="3"/>
      <c r="J292" s="5" t="s">
        <v>567</v>
      </c>
      <c r="K292" s="7">
        <v>2171.7388737306305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x14ac:dyDescent="0.25" r="293" customHeight="1" ht="12.75">
      <c r="A293" s="5" t="s">
        <v>537</v>
      </c>
      <c r="B293" s="6">
        <v>0.558864</v>
      </c>
      <c r="C293" s="3"/>
      <c r="D293" s="5" t="s">
        <v>568</v>
      </c>
      <c r="E293" s="6">
        <v>6.9</v>
      </c>
      <c r="F293" s="3"/>
      <c r="G293" s="5" t="s">
        <v>389</v>
      </c>
      <c r="H293" s="6">
        <v>243.59207801643808</v>
      </c>
      <c r="I293" s="3"/>
      <c r="J293" s="5" t="s">
        <v>416</v>
      </c>
      <c r="K293" s="7">
        <v>2164.7496504</v>
      </c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x14ac:dyDescent="0.25" r="294" customHeight="1" ht="12.75">
      <c r="A294" s="5" t="s">
        <v>569</v>
      </c>
      <c r="B294" s="6">
        <v>0.5575999999999999</v>
      </c>
      <c r="C294" s="3"/>
      <c r="D294" s="5" t="s">
        <v>570</v>
      </c>
      <c r="E294" s="6">
        <v>6.9</v>
      </c>
      <c r="F294" s="3"/>
      <c r="G294" s="5" t="s">
        <v>331</v>
      </c>
      <c r="H294" s="6">
        <v>243.3823022422967</v>
      </c>
      <c r="I294" s="3"/>
      <c r="J294" s="5" t="s">
        <v>389</v>
      </c>
      <c r="K294" s="7">
        <v>2148.482128104984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x14ac:dyDescent="0.25" r="295" customHeight="1" ht="12.75">
      <c r="A295" s="5" t="s">
        <v>156</v>
      </c>
      <c r="B295" s="6">
        <v>0.55675</v>
      </c>
      <c r="C295" s="3"/>
      <c r="D295" s="5" t="s">
        <v>116</v>
      </c>
      <c r="E295" s="6">
        <v>6.889044585987261</v>
      </c>
      <c r="F295" s="3"/>
      <c r="G295" s="5" t="s">
        <v>197</v>
      </c>
      <c r="H295" s="6">
        <v>241.976896</v>
      </c>
      <c r="I295" s="3"/>
      <c r="J295" s="5" t="s">
        <v>214</v>
      </c>
      <c r="K295" s="7">
        <v>2148.355814105788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x14ac:dyDescent="0.25" r="296" customHeight="1" ht="12.75">
      <c r="A296" s="5" t="s">
        <v>540</v>
      </c>
      <c r="B296" s="6">
        <v>0.5543</v>
      </c>
      <c r="C296" s="3"/>
      <c r="D296" s="5" t="s">
        <v>394</v>
      </c>
      <c r="E296" s="6">
        <v>6.849783376862805</v>
      </c>
      <c r="F296" s="3"/>
      <c r="G296" s="5" t="s">
        <v>299</v>
      </c>
      <c r="H296" s="6">
        <v>241.36801290032153</v>
      </c>
      <c r="I296" s="3"/>
      <c r="J296" s="5" t="s">
        <v>571</v>
      </c>
      <c r="K296" s="7">
        <v>2147.9992157436054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x14ac:dyDescent="0.25" r="297" customHeight="1" ht="12.75">
      <c r="A297" s="5" t="s">
        <v>572</v>
      </c>
      <c r="B297" s="6">
        <v>0.5510106</v>
      </c>
      <c r="C297" s="3"/>
      <c r="D297" s="5" t="s">
        <v>469</v>
      </c>
      <c r="E297" s="6">
        <v>6.842500000000001</v>
      </c>
      <c r="F297" s="3"/>
      <c r="G297" s="5" t="s">
        <v>351</v>
      </c>
      <c r="H297" s="6">
        <v>241.32470199368584</v>
      </c>
      <c r="I297" s="3"/>
      <c r="J297" s="5" t="s">
        <v>573</v>
      </c>
      <c r="K297" s="7">
        <v>2124.548765812063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x14ac:dyDescent="0.25" r="298" customHeight="1" ht="12.75">
      <c r="A298" s="5" t="s">
        <v>441</v>
      </c>
      <c r="B298" s="6">
        <v>0.549522</v>
      </c>
      <c r="C298" s="3"/>
      <c r="D298" s="5" t="s">
        <v>574</v>
      </c>
      <c r="E298" s="6">
        <v>6.81</v>
      </c>
      <c r="F298" s="3"/>
      <c r="G298" s="5" t="s">
        <v>10</v>
      </c>
      <c r="H298" s="6">
        <v>240.966510781</v>
      </c>
      <c r="I298" s="3"/>
      <c r="J298" s="5" t="s">
        <v>575</v>
      </c>
      <c r="K298" s="7">
        <v>2120.1226270776465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x14ac:dyDescent="0.25" r="299" customHeight="1" ht="12.75">
      <c r="A299" s="5" t="s">
        <v>495</v>
      </c>
      <c r="B299" s="6">
        <v>0.5467</v>
      </c>
      <c r="C299" s="3"/>
      <c r="D299" s="5" t="s">
        <v>512</v>
      </c>
      <c r="E299" s="6">
        <v>6.800000000000001</v>
      </c>
      <c r="F299" s="3"/>
      <c r="G299" s="5" t="s">
        <v>576</v>
      </c>
      <c r="H299" s="6">
        <v>240.5540136012862</v>
      </c>
      <c r="I299" s="3"/>
      <c r="J299" s="5" t="s">
        <v>509</v>
      </c>
      <c r="K299" s="7">
        <v>2101.5487433422186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x14ac:dyDescent="0.25" r="300" customHeight="1" ht="12.75">
      <c r="A300" s="5" t="s">
        <v>21</v>
      </c>
      <c r="B300" s="6">
        <v>0.54426</v>
      </c>
      <c r="C300" s="3"/>
      <c r="D300" s="5" t="s">
        <v>569</v>
      </c>
      <c r="E300" s="6">
        <v>6.8</v>
      </c>
      <c r="F300" s="3"/>
      <c r="G300" s="5" t="s">
        <v>543</v>
      </c>
      <c r="H300" s="6">
        <v>239.3294772701796</v>
      </c>
      <c r="I300" s="3"/>
      <c r="J300" s="5" t="s">
        <v>431</v>
      </c>
      <c r="K300" s="7">
        <v>2093.982894286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x14ac:dyDescent="0.25" r="301" customHeight="1" ht="12.75">
      <c r="A301" s="5" t="s">
        <v>418</v>
      </c>
      <c r="B301" s="6">
        <v>0.5415</v>
      </c>
      <c r="C301" s="3"/>
      <c r="D301" s="5" t="s">
        <v>577</v>
      </c>
      <c r="E301" s="6">
        <v>6.8</v>
      </c>
      <c r="F301" s="3"/>
      <c r="G301" s="5" t="s">
        <v>275</v>
      </c>
      <c r="H301" s="6">
        <v>238.86840999999998</v>
      </c>
      <c r="I301" s="3"/>
      <c r="J301" s="5" t="s">
        <v>578</v>
      </c>
      <c r="K301" s="7">
        <v>2088.7322774362456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x14ac:dyDescent="0.25" r="302" customHeight="1" ht="12.75">
      <c r="A302" s="5" t="s">
        <v>545</v>
      </c>
      <c r="B302" s="6">
        <v>0.5410098783000001</v>
      </c>
      <c r="C302" s="3"/>
      <c r="D302" s="5" t="s">
        <v>348</v>
      </c>
      <c r="E302" s="6">
        <v>6.8</v>
      </c>
      <c r="F302" s="3"/>
      <c r="G302" s="5" t="s">
        <v>579</v>
      </c>
      <c r="H302" s="6">
        <v>238.68600124919615</v>
      </c>
      <c r="I302" s="3"/>
      <c r="J302" s="5" t="s">
        <v>38</v>
      </c>
      <c r="K302" s="7">
        <v>2079.6231723028295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x14ac:dyDescent="0.25" r="303" customHeight="1" ht="12.75">
      <c r="A303" s="5" t="s">
        <v>473</v>
      </c>
      <c r="B303" s="6">
        <v>0.5347913</v>
      </c>
      <c r="C303" s="3"/>
      <c r="D303" s="5" t="s">
        <v>120</v>
      </c>
      <c r="E303" s="6">
        <v>6.7509999999999994</v>
      </c>
      <c r="F303" s="3"/>
      <c r="G303" s="5" t="s">
        <v>580</v>
      </c>
      <c r="H303" s="6">
        <v>238.46813962694554</v>
      </c>
      <c r="I303" s="3"/>
      <c r="J303" s="5" t="s">
        <v>356</v>
      </c>
      <c r="K303" s="7">
        <v>2061.96238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x14ac:dyDescent="0.25" r="304" customHeight="1" ht="12.75">
      <c r="A304" s="5" t="s">
        <v>581</v>
      </c>
      <c r="B304" s="6">
        <v>0.5298702</v>
      </c>
      <c r="C304" s="3"/>
      <c r="D304" s="5" t="s">
        <v>438</v>
      </c>
      <c r="E304" s="6">
        <v>6.73</v>
      </c>
      <c r="F304" s="3"/>
      <c r="G304" s="5" t="s">
        <v>582</v>
      </c>
      <c r="H304" s="6">
        <v>238.0256482026071</v>
      </c>
      <c r="I304" s="3"/>
      <c r="J304" s="5" t="s">
        <v>583</v>
      </c>
      <c r="K304" s="7">
        <v>2055.531862067846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x14ac:dyDescent="0.25" r="305" customHeight="1" ht="12.75">
      <c r="A305" s="5" t="s">
        <v>584</v>
      </c>
      <c r="B305" s="6">
        <v>0.52962</v>
      </c>
      <c r="C305" s="3"/>
      <c r="D305" s="5" t="s">
        <v>526</v>
      </c>
      <c r="E305" s="6">
        <v>6.727949170342364</v>
      </c>
      <c r="F305" s="3"/>
      <c r="G305" s="5" t="s">
        <v>585</v>
      </c>
      <c r="H305" s="6">
        <v>237.44563513826367</v>
      </c>
      <c r="I305" s="3"/>
      <c r="J305" s="5" t="s">
        <v>586</v>
      </c>
      <c r="K305" s="7">
        <v>2051.6384819629793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x14ac:dyDescent="0.25" r="306" customHeight="1" ht="12.75">
      <c r="A306" s="5" t="s">
        <v>587</v>
      </c>
      <c r="B306" s="6">
        <v>0.520778</v>
      </c>
      <c r="C306" s="3"/>
      <c r="D306" s="5" t="s">
        <v>588</v>
      </c>
      <c r="E306" s="6">
        <v>6.7</v>
      </c>
      <c r="F306" s="3"/>
      <c r="G306" s="5" t="s">
        <v>243</v>
      </c>
      <c r="H306" s="6">
        <v>236.46539599999997</v>
      </c>
      <c r="I306" s="3"/>
      <c r="J306" s="5" t="s">
        <v>589</v>
      </c>
      <c r="K306" s="7">
        <v>2000.5634624867341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x14ac:dyDescent="0.25" r="307" customHeight="1" ht="12.75">
      <c r="A307" s="5" t="s">
        <v>175</v>
      </c>
      <c r="B307" s="6">
        <v>0.52</v>
      </c>
      <c r="C307" s="3"/>
      <c r="D307" s="5" t="s">
        <v>502</v>
      </c>
      <c r="E307" s="6">
        <v>6.683139013452916</v>
      </c>
      <c r="F307" s="3"/>
      <c r="G307" s="5" t="s">
        <v>590</v>
      </c>
      <c r="H307" s="6">
        <v>236.4336889459807</v>
      </c>
      <c r="I307" s="3"/>
      <c r="J307" s="5" t="s">
        <v>535</v>
      </c>
      <c r="K307" s="7">
        <v>1992.784227256894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x14ac:dyDescent="0.25" r="308" customHeight="1" ht="12.75">
      <c r="A308" s="5" t="s">
        <v>240</v>
      </c>
      <c r="B308" s="6">
        <v>0.5133</v>
      </c>
      <c r="C308" s="3"/>
      <c r="D308" s="5" t="s">
        <v>292</v>
      </c>
      <c r="E308" s="6">
        <v>6.670503597122302</v>
      </c>
      <c r="F308" s="3"/>
      <c r="G308" s="5" t="s">
        <v>591</v>
      </c>
      <c r="H308" s="6">
        <v>236.08700960000002</v>
      </c>
      <c r="I308" s="3"/>
      <c r="J308" s="5" t="s">
        <v>415</v>
      </c>
      <c r="K308" s="7">
        <v>1979.9259097824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x14ac:dyDescent="0.25" r="309" customHeight="1" ht="12.75">
      <c r="A309" s="5" t="s">
        <v>586</v>
      </c>
      <c r="B309" s="6">
        <v>0.5056701</v>
      </c>
      <c r="C309" s="3"/>
      <c r="D309" s="5" t="s">
        <v>382</v>
      </c>
      <c r="E309" s="6">
        <v>6.651515151515151</v>
      </c>
      <c r="F309" s="3"/>
      <c r="G309" s="5" t="s">
        <v>571</v>
      </c>
      <c r="H309" s="6">
        <v>234.40049059818037</v>
      </c>
      <c r="I309" s="3"/>
      <c r="J309" s="5" t="s">
        <v>394</v>
      </c>
      <c r="K309" s="7">
        <v>1971.822675118101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x14ac:dyDescent="0.25" r="310" customHeight="1" ht="12.75">
      <c r="A310" s="5" t="s">
        <v>360</v>
      </c>
      <c r="B310" s="6">
        <v>0.5036200000000001</v>
      </c>
      <c r="C310" s="3"/>
      <c r="D310" s="5" t="s">
        <v>145</v>
      </c>
      <c r="E310" s="6">
        <v>6.65</v>
      </c>
      <c r="F310" s="3"/>
      <c r="G310" s="5" t="s">
        <v>575</v>
      </c>
      <c r="H310" s="6">
        <v>234.0091199864952</v>
      </c>
      <c r="I310" s="3"/>
      <c r="J310" s="5" t="s">
        <v>592</v>
      </c>
      <c r="K310" s="7">
        <v>1964.670715575957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x14ac:dyDescent="0.25" r="311" customHeight="1" ht="12.75">
      <c r="A311" s="5" t="s">
        <v>489</v>
      </c>
      <c r="B311" s="6">
        <v>0.5032840000000001</v>
      </c>
      <c r="C311" s="3"/>
      <c r="D311" s="5" t="s">
        <v>90</v>
      </c>
      <c r="E311" s="6">
        <v>6.620675682104713</v>
      </c>
      <c r="F311" s="3"/>
      <c r="G311" s="5" t="s">
        <v>593</v>
      </c>
      <c r="H311" s="6">
        <v>233.56108176601418</v>
      </c>
      <c r="I311" s="3"/>
      <c r="J311" s="5" t="s">
        <v>330</v>
      </c>
      <c r="K311" s="7">
        <v>1921.284771914405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x14ac:dyDescent="0.25" r="312" customHeight="1" ht="12.75">
      <c r="A312" s="5" t="s">
        <v>498</v>
      </c>
      <c r="B312" s="6">
        <v>0.5032000000000001</v>
      </c>
      <c r="C312" s="3"/>
      <c r="D312" s="5" t="s">
        <v>558</v>
      </c>
      <c r="E312" s="6">
        <v>6.604125670840787</v>
      </c>
      <c r="F312" s="3"/>
      <c r="G312" s="5" t="s">
        <v>594</v>
      </c>
      <c r="H312" s="6">
        <v>233.25126443895613</v>
      </c>
      <c r="I312" s="3"/>
      <c r="J312" s="5" t="s">
        <v>110</v>
      </c>
      <c r="K312" s="7">
        <v>1842.828337057878</v>
      </c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x14ac:dyDescent="0.25" r="313" customHeight="1" ht="12.75">
      <c r="A313" s="5" t="s">
        <v>387</v>
      </c>
      <c r="B313" s="6">
        <v>0.5027294999999999</v>
      </c>
      <c r="C313" s="3"/>
      <c r="D313" s="5" t="s">
        <v>57</v>
      </c>
      <c r="E313" s="6">
        <v>6.6000000000000005</v>
      </c>
      <c r="F313" s="3"/>
      <c r="G313" s="5" t="s">
        <v>208</v>
      </c>
      <c r="H313" s="6">
        <v>233.21544011444774</v>
      </c>
      <c r="I313" s="3"/>
      <c r="J313" s="5" t="s">
        <v>584</v>
      </c>
      <c r="K313" s="7">
        <v>1836.34229324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x14ac:dyDescent="0.25" r="314" customHeight="1" ht="12.75">
      <c r="A314" s="5" t="s">
        <v>479</v>
      </c>
      <c r="B314" s="6">
        <v>0.5017540760000001</v>
      </c>
      <c r="C314" s="3"/>
      <c r="D314" s="5" t="s">
        <v>6</v>
      </c>
      <c r="E314" s="6">
        <v>6.6000000000000005</v>
      </c>
      <c r="F314" s="3"/>
      <c r="G314" s="5" t="s">
        <v>273</v>
      </c>
      <c r="H314" s="6">
        <v>233.0830856710611</v>
      </c>
      <c r="I314" s="3"/>
      <c r="J314" s="5" t="s">
        <v>95</v>
      </c>
      <c r="K314" s="7">
        <v>1834.8013547372925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x14ac:dyDescent="0.25" r="315" customHeight="1" ht="12.75">
      <c r="A315" s="5" t="s">
        <v>522</v>
      </c>
      <c r="B315" s="6">
        <v>0.501037</v>
      </c>
      <c r="C315" s="3"/>
      <c r="D315" s="5" t="s">
        <v>241</v>
      </c>
      <c r="E315" s="6">
        <v>6.59658720379147</v>
      </c>
      <c r="F315" s="3"/>
      <c r="G315" s="5" t="s">
        <v>595</v>
      </c>
      <c r="H315" s="6">
        <v>232.01464392057878</v>
      </c>
      <c r="I315" s="3"/>
      <c r="J315" s="5" t="s">
        <v>456</v>
      </c>
      <c r="K315" s="7">
        <v>1833.4511697770001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x14ac:dyDescent="0.25" r="316" customHeight="1" ht="12.75">
      <c r="A316" s="5" t="s">
        <v>322</v>
      </c>
      <c r="B316" s="6">
        <v>0.4965222000000001</v>
      </c>
      <c r="C316" s="3"/>
      <c r="D316" s="5" t="s">
        <v>440</v>
      </c>
      <c r="E316" s="6">
        <v>6.58</v>
      </c>
      <c r="F316" s="3"/>
      <c r="G316" s="5" t="s">
        <v>596</v>
      </c>
      <c r="H316" s="6">
        <v>231.92723358842443</v>
      </c>
      <c r="I316" s="3"/>
      <c r="J316" s="5" t="s">
        <v>597</v>
      </c>
      <c r="K316" s="7">
        <v>1827.3134811577197</v>
      </c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x14ac:dyDescent="0.25" r="317" customHeight="1" ht="12.75">
      <c r="A317" s="5" t="s">
        <v>578</v>
      </c>
      <c r="B317" s="6">
        <v>0.4865084</v>
      </c>
      <c r="C317" s="3"/>
      <c r="D317" s="5" t="s">
        <v>598</v>
      </c>
      <c r="E317" s="6">
        <v>6.5280000000000005</v>
      </c>
      <c r="F317" s="3"/>
      <c r="G317" s="5" t="s">
        <v>288</v>
      </c>
      <c r="H317" s="6">
        <v>231.46095399999996</v>
      </c>
      <c r="I317" s="3"/>
      <c r="J317" s="5" t="s">
        <v>590</v>
      </c>
      <c r="K317" s="7">
        <v>1820.5394048840515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x14ac:dyDescent="0.25" r="318" customHeight="1" ht="12.75">
      <c r="A318" s="5" t="s">
        <v>415</v>
      </c>
      <c r="B318" s="6">
        <v>0.48335616000000003</v>
      </c>
      <c r="C318" s="3"/>
      <c r="D318" s="5" t="s">
        <v>599</v>
      </c>
      <c r="E318" s="6">
        <v>6.500000000000001</v>
      </c>
      <c r="F318" s="3"/>
      <c r="G318" s="5" t="s">
        <v>600</v>
      </c>
      <c r="H318" s="6">
        <v>231.41233146290497</v>
      </c>
      <c r="I318" s="3"/>
      <c r="J318" s="5" t="s">
        <v>547</v>
      </c>
      <c r="K318" s="7">
        <v>1803.8702354158263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x14ac:dyDescent="0.25" r="319" customHeight="1" ht="12.75">
      <c r="A319" s="5" t="s">
        <v>566</v>
      </c>
      <c r="B319" s="6">
        <v>0.48278849999999995</v>
      </c>
      <c r="C319" s="3"/>
      <c r="D319" s="5" t="s">
        <v>601</v>
      </c>
      <c r="E319" s="6">
        <v>6.46509683149694</v>
      </c>
      <c r="F319" s="3"/>
      <c r="G319" s="5" t="s">
        <v>354</v>
      </c>
      <c r="H319" s="6">
        <v>231.33563349313962</v>
      </c>
      <c r="I319" s="3"/>
      <c r="J319" s="5" t="s">
        <v>493</v>
      </c>
      <c r="K319" s="7">
        <v>1788.1918918497431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x14ac:dyDescent="0.25" r="320" customHeight="1" ht="12.75">
      <c r="A320" s="5" t="s">
        <v>602</v>
      </c>
      <c r="B320" s="6">
        <v>0.48214</v>
      </c>
      <c r="C320" s="3"/>
      <c r="D320" s="5" t="s">
        <v>376</v>
      </c>
      <c r="E320" s="6">
        <v>6.464509803921569</v>
      </c>
      <c r="F320" s="3"/>
      <c r="G320" s="5" t="s">
        <v>603</v>
      </c>
      <c r="H320" s="6">
        <v>230.9984688187418</v>
      </c>
      <c r="I320" s="3"/>
      <c r="J320" s="5" t="s">
        <v>147</v>
      </c>
      <c r="K320" s="7">
        <v>1759.9569360723472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x14ac:dyDescent="0.25" r="321" customHeight="1" ht="12.75">
      <c r="A321" s="5" t="s">
        <v>604</v>
      </c>
      <c r="B321" s="6">
        <v>0.4797760000000001</v>
      </c>
      <c r="C321" s="3"/>
      <c r="D321" s="5" t="s">
        <v>605</v>
      </c>
      <c r="E321" s="6">
        <v>6.45</v>
      </c>
      <c r="F321" s="3"/>
      <c r="G321" s="5" t="s">
        <v>521</v>
      </c>
      <c r="H321" s="6">
        <v>230.4425804511254</v>
      </c>
      <c r="I321" s="3"/>
      <c r="J321" s="5" t="s">
        <v>263</v>
      </c>
      <c r="K321" s="7">
        <v>1759.140439917685</v>
      </c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x14ac:dyDescent="0.25" r="322" customHeight="1" ht="12.75">
      <c r="A322" s="5" t="s">
        <v>412</v>
      </c>
      <c r="B322" s="6">
        <v>0.47894000000000003</v>
      </c>
      <c r="C322" s="3"/>
      <c r="D322" s="5" t="s">
        <v>553</v>
      </c>
      <c r="E322" s="6">
        <v>6.443615635179152</v>
      </c>
      <c r="F322" s="3"/>
      <c r="G322" s="5" t="s">
        <v>274</v>
      </c>
      <c r="H322" s="6">
        <v>230.35865399999997</v>
      </c>
      <c r="I322" s="3"/>
      <c r="J322" s="5" t="s">
        <v>424</v>
      </c>
      <c r="K322" s="7">
        <v>1756.3937901221861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x14ac:dyDescent="0.25" r="323" customHeight="1" ht="12.75">
      <c r="A323" s="5" t="s">
        <v>606</v>
      </c>
      <c r="B323" s="6">
        <v>0.47318899999999997</v>
      </c>
      <c r="C323" s="3"/>
      <c r="D323" s="5" t="s">
        <v>607</v>
      </c>
      <c r="E323" s="6">
        <v>6.41</v>
      </c>
      <c r="F323" s="3"/>
      <c r="G323" s="5" t="s">
        <v>608</v>
      </c>
      <c r="H323" s="6">
        <v>230.33000698906753</v>
      </c>
      <c r="I323" s="3"/>
      <c r="J323" s="5" t="s">
        <v>609</v>
      </c>
      <c r="K323" s="7">
        <v>1755.1591742380226</v>
      </c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x14ac:dyDescent="0.25" r="324" customHeight="1" ht="12.75">
      <c r="A324" s="5" t="s">
        <v>303</v>
      </c>
      <c r="B324" s="6">
        <v>0.473105</v>
      </c>
      <c r="C324" s="3"/>
      <c r="D324" s="5" t="s">
        <v>610</v>
      </c>
      <c r="E324" s="6">
        <v>6.4</v>
      </c>
      <c r="F324" s="3"/>
      <c r="G324" s="5" t="s">
        <v>611</v>
      </c>
      <c r="H324" s="6">
        <v>230.29013067620576</v>
      </c>
      <c r="I324" s="3"/>
      <c r="J324" s="5" t="s">
        <v>452</v>
      </c>
      <c r="K324" s="7">
        <v>1731.4046559999997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x14ac:dyDescent="0.25" r="325" customHeight="1" ht="12.75">
      <c r="A325" s="5" t="s">
        <v>612</v>
      </c>
      <c r="B325" s="6">
        <v>0.4676</v>
      </c>
      <c r="C325" s="3"/>
      <c r="D325" s="5" t="s">
        <v>249</v>
      </c>
      <c r="E325" s="6">
        <v>6.373180076628352</v>
      </c>
      <c r="F325" s="3"/>
      <c r="G325" s="5" t="s">
        <v>158</v>
      </c>
      <c r="H325" s="6">
        <v>229.99851318327973</v>
      </c>
      <c r="I325" s="3"/>
      <c r="J325" s="5" t="s">
        <v>613</v>
      </c>
      <c r="K325" s="7">
        <v>1706.6246037783287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x14ac:dyDescent="0.25" r="326" customHeight="1" ht="12.75">
      <c r="A326" s="5" t="s">
        <v>270</v>
      </c>
      <c r="B326" s="6">
        <v>0.4636331</v>
      </c>
      <c r="C326" s="3"/>
      <c r="D326" s="5" t="s">
        <v>86</v>
      </c>
      <c r="E326" s="6">
        <v>6.37</v>
      </c>
      <c r="F326" s="3"/>
      <c r="G326" s="5" t="s">
        <v>255</v>
      </c>
      <c r="H326" s="6">
        <v>229.05793999999997</v>
      </c>
      <c r="I326" s="3"/>
      <c r="J326" s="5" t="s">
        <v>238</v>
      </c>
      <c r="K326" s="7">
        <v>1702.9958191755627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x14ac:dyDescent="0.25" r="327" customHeight="1" ht="12.75">
      <c r="A327" s="5" t="s">
        <v>263</v>
      </c>
      <c r="B327" s="6">
        <v>0.45945</v>
      </c>
      <c r="C327" s="3"/>
      <c r="D327" s="5" t="s">
        <v>614</v>
      </c>
      <c r="E327" s="6">
        <v>6.353236594972906</v>
      </c>
      <c r="F327" s="3"/>
      <c r="G327" s="5" t="s">
        <v>284</v>
      </c>
      <c r="H327" s="6">
        <v>228.19934183900688</v>
      </c>
      <c r="I327" s="3"/>
      <c r="J327" s="5" t="s">
        <v>296</v>
      </c>
      <c r="K327" s="7">
        <v>1686.2880339658745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x14ac:dyDescent="0.25" r="328" customHeight="1" ht="12.75">
      <c r="A328" s="5" t="s">
        <v>457</v>
      </c>
      <c r="B328" s="6">
        <v>0.4569059999999999</v>
      </c>
      <c r="C328" s="3"/>
      <c r="D328" s="5" t="s">
        <v>561</v>
      </c>
      <c r="E328" s="6">
        <v>6.3500000000000005</v>
      </c>
      <c r="F328" s="3"/>
      <c r="G328" s="5" t="s">
        <v>613</v>
      </c>
      <c r="H328" s="6">
        <v>227.24304785954126</v>
      </c>
      <c r="I328" s="3"/>
      <c r="J328" s="5" t="s">
        <v>513</v>
      </c>
      <c r="K328" s="7">
        <v>1669.1869387524116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x14ac:dyDescent="0.25" r="329" customHeight="1" ht="12.75">
      <c r="A329" s="5" t="s">
        <v>394</v>
      </c>
      <c r="B329" s="6">
        <v>0.44585240000000004</v>
      </c>
      <c r="C329" s="3"/>
      <c r="D329" s="5" t="s">
        <v>544</v>
      </c>
      <c r="E329" s="6">
        <v>6.320333333333334</v>
      </c>
      <c r="F329" s="3"/>
      <c r="G329" s="5" t="s">
        <v>94</v>
      </c>
      <c r="H329" s="6">
        <v>225.17378874008523</v>
      </c>
      <c r="I329" s="3"/>
      <c r="J329" s="5" t="s">
        <v>604</v>
      </c>
      <c r="K329" s="7">
        <v>1664.4265664037557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x14ac:dyDescent="0.25" r="330" customHeight="1" ht="12.75">
      <c r="A330" s="5" t="s">
        <v>601</v>
      </c>
      <c r="B330" s="6">
        <v>0.44546586</v>
      </c>
      <c r="C330" s="3"/>
      <c r="D330" s="5" t="s">
        <v>615</v>
      </c>
      <c r="E330" s="6">
        <v>6.31</v>
      </c>
      <c r="F330" s="3"/>
      <c r="G330" s="5" t="s">
        <v>283</v>
      </c>
      <c r="H330" s="6">
        <v>224.64874</v>
      </c>
      <c r="I330" s="3"/>
      <c r="J330" s="5" t="s">
        <v>467</v>
      </c>
      <c r="K330" s="7">
        <v>1664.182014846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x14ac:dyDescent="0.25" r="331" customHeight="1" ht="12.75">
      <c r="A331" s="5" t="s">
        <v>615</v>
      </c>
      <c r="B331" s="6">
        <v>0.4416999999999999</v>
      </c>
      <c r="C331" s="3"/>
      <c r="D331" s="5" t="s">
        <v>616</v>
      </c>
      <c r="E331" s="6">
        <v>6.3</v>
      </c>
      <c r="F331" s="3"/>
      <c r="G331" s="5" t="s">
        <v>614</v>
      </c>
      <c r="H331" s="6">
        <v>224.6297982331806</v>
      </c>
      <c r="I331" s="3"/>
      <c r="J331" s="5" t="s">
        <v>602</v>
      </c>
      <c r="K331" s="7">
        <v>1650.9503163624117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x14ac:dyDescent="0.25" r="332" customHeight="1" ht="12.75">
      <c r="A332" s="5" t="s">
        <v>562</v>
      </c>
      <c r="B332" s="6">
        <v>0.441287</v>
      </c>
      <c r="C332" s="3"/>
      <c r="D332" s="5" t="s">
        <v>617</v>
      </c>
      <c r="E332" s="6">
        <v>6.3</v>
      </c>
      <c r="F332" s="3"/>
      <c r="G332" s="5" t="s">
        <v>618</v>
      </c>
      <c r="H332" s="6">
        <v>224.04218747866247</v>
      </c>
      <c r="I332" s="3"/>
      <c r="J332" s="5" t="s">
        <v>520</v>
      </c>
      <c r="K332" s="7">
        <v>1638.270554785466</v>
      </c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x14ac:dyDescent="0.25" r="333" customHeight="1" ht="12.75">
      <c r="A333" s="5" t="s">
        <v>499</v>
      </c>
      <c r="B333" s="6">
        <v>0.44079999999999997</v>
      </c>
      <c r="C333" s="3"/>
      <c r="D333" s="5" t="s">
        <v>527</v>
      </c>
      <c r="E333" s="6">
        <v>6.295999999999999</v>
      </c>
      <c r="F333" s="3"/>
      <c r="G333" s="5" t="s">
        <v>307</v>
      </c>
      <c r="H333" s="6">
        <v>223.667693</v>
      </c>
      <c r="I333" s="3"/>
      <c r="J333" s="5" t="s">
        <v>474</v>
      </c>
      <c r="K333" s="7">
        <v>1635.5852873497001</v>
      </c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x14ac:dyDescent="0.25" r="334" customHeight="1" ht="12.75">
      <c r="A334" s="5" t="s">
        <v>41</v>
      </c>
      <c r="B334" s="6">
        <v>0.44</v>
      </c>
      <c r="C334" s="3"/>
      <c r="D334" s="5" t="s">
        <v>619</v>
      </c>
      <c r="E334" s="6">
        <v>6.29</v>
      </c>
      <c r="F334" s="3"/>
      <c r="G334" s="5" t="s">
        <v>420</v>
      </c>
      <c r="H334" s="6">
        <v>223.1908749392283</v>
      </c>
      <c r="I334" s="3"/>
      <c r="J334" s="5" t="s">
        <v>620</v>
      </c>
      <c r="K334" s="7">
        <v>1624.91866832</v>
      </c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x14ac:dyDescent="0.25" r="335" customHeight="1" ht="12.75">
      <c r="A335" s="5" t="s">
        <v>238</v>
      </c>
      <c r="B335" s="6">
        <v>0.4396</v>
      </c>
      <c r="C335" s="3"/>
      <c r="D335" s="5" t="s">
        <v>621</v>
      </c>
      <c r="E335" s="6">
        <v>6.200000000000001</v>
      </c>
      <c r="F335" s="3"/>
      <c r="G335" s="5" t="s">
        <v>396</v>
      </c>
      <c r="H335" s="6">
        <v>222.8431726</v>
      </c>
      <c r="I335" s="3"/>
      <c r="J335" s="5" t="s">
        <v>622</v>
      </c>
      <c r="K335" s="7">
        <v>1624.91866832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x14ac:dyDescent="0.25" r="336" customHeight="1" ht="12.75">
      <c r="A336" s="5" t="s">
        <v>623</v>
      </c>
      <c r="B336" s="6">
        <v>0.4389</v>
      </c>
      <c r="C336" s="3"/>
      <c r="D336" s="5" t="s">
        <v>624</v>
      </c>
      <c r="E336" s="6">
        <v>6.2</v>
      </c>
      <c r="F336" s="3"/>
      <c r="G336" s="5" t="s">
        <v>215</v>
      </c>
      <c r="H336" s="6">
        <v>221.57441022508038</v>
      </c>
      <c r="I336" s="3"/>
      <c r="J336" s="5" t="s">
        <v>455</v>
      </c>
      <c r="K336" s="7">
        <v>1619.691698741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x14ac:dyDescent="0.25" r="337" customHeight="1" ht="12.75">
      <c r="A337" s="5" t="s">
        <v>625</v>
      </c>
      <c r="B337" s="6">
        <v>0.437695</v>
      </c>
      <c r="C337" s="3"/>
      <c r="D337" s="5" t="s">
        <v>626</v>
      </c>
      <c r="E337" s="6">
        <v>6.2</v>
      </c>
      <c r="F337" s="3"/>
      <c r="G337" s="5" t="s">
        <v>583</v>
      </c>
      <c r="H337" s="6">
        <v>221.02493140514468</v>
      </c>
      <c r="I337" s="3"/>
      <c r="J337" s="5" t="s">
        <v>492</v>
      </c>
      <c r="K337" s="7">
        <v>1613.5539380190003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x14ac:dyDescent="0.25" r="338" customHeight="1" ht="12.75">
      <c r="A338" s="5" t="s">
        <v>189</v>
      </c>
      <c r="B338" s="6">
        <v>0.43351059999999997</v>
      </c>
      <c r="C338" s="3"/>
      <c r="D338" s="5" t="s">
        <v>137</v>
      </c>
      <c r="E338" s="6">
        <v>6.1717421909370875</v>
      </c>
      <c r="F338" s="3"/>
      <c r="G338" s="5" t="s">
        <v>605</v>
      </c>
      <c r="H338" s="6">
        <v>220.80416419421223</v>
      </c>
      <c r="I338" s="3"/>
      <c r="J338" s="5" t="s">
        <v>558</v>
      </c>
      <c r="K338" s="7">
        <v>1613.024763962497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x14ac:dyDescent="0.25" r="339" customHeight="1" ht="12.75">
      <c r="A339" s="5" t="s">
        <v>198</v>
      </c>
      <c r="B339" s="6">
        <v>0.4294485216</v>
      </c>
      <c r="C339" s="3"/>
      <c r="D339" s="5" t="s">
        <v>193</v>
      </c>
      <c r="E339" s="6">
        <v>6.1605299055613845</v>
      </c>
      <c r="F339" s="3"/>
      <c r="G339" s="5" t="s">
        <v>119</v>
      </c>
      <c r="H339" s="6">
        <v>220.16525681550058</v>
      </c>
      <c r="I339" s="3"/>
      <c r="J339" s="5" t="s">
        <v>465</v>
      </c>
      <c r="K339" s="7">
        <v>1605.580202566238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x14ac:dyDescent="0.25" r="340" customHeight="1" ht="12.75">
      <c r="A340" s="5" t="s">
        <v>563</v>
      </c>
      <c r="B340" s="6">
        <v>0.4287116000000001</v>
      </c>
      <c r="C340" s="3"/>
      <c r="D340" s="5" t="s">
        <v>627</v>
      </c>
      <c r="E340" s="6">
        <v>6.16</v>
      </c>
      <c r="F340" s="3"/>
      <c r="G340" s="5" t="s">
        <v>468</v>
      </c>
      <c r="H340" s="6">
        <v>220.16148691318327</v>
      </c>
      <c r="I340" s="3"/>
      <c r="J340" s="5" t="s">
        <v>628</v>
      </c>
      <c r="K340" s="7">
        <v>1600.1001932213285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x14ac:dyDescent="0.25" r="341" customHeight="1" ht="12.75">
      <c r="A341" s="5" t="s">
        <v>430</v>
      </c>
      <c r="B341" s="6">
        <v>0.42500000000000004</v>
      </c>
      <c r="C341" s="3"/>
      <c r="D341" s="5" t="s">
        <v>482</v>
      </c>
      <c r="E341" s="6">
        <v>6.138382236320381</v>
      </c>
      <c r="F341" s="3"/>
      <c r="G341" s="5" t="s">
        <v>346</v>
      </c>
      <c r="H341" s="6">
        <v>219.46206317442122</v>
      </c>
      <c r="I341" s="3"/>
      <c r="J341" s="5" t="s">
        <v>503</v>
      </c>
      <c r="K341" s="7">
        <v>1595.5750401089902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x14ac:dyDescent="0.25" r="342" customHeight="1" ht="12.75">
      <c r="A342" s="5" t="s">
        <v>446</v>
      </c>
      <c r="B342" s="6">
        <v>0.4197374</v>
      </c>
      <c r="C342" s="3"/>
      <c r="D342" s="5" t="s">
        <v>629</v>
      </c>
      <c r="E342" s="6">
        <v>6.12</v>
      </c>
      <c r="F342" s="3"/>
      <c r="G342" s="5" t="s">
        <v>630</v>
      </c>
      <c r="H342" s="6">
        <v>219.38940525273313</v>
      </c>
      <c r="I342" s="3"/>
      <c r="J342" s="5" t="s">
        <v>536</v>
      </c>
      <c r="K342" s="7">
        <v>1593.736535380229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x14ac:dyDescent="0.25" r="343" customHeight="1" ht="12.75">
      <c r="A343" s="5" t="s">
        <v>605</v>
      </c>
      <c r="B343" s="6">
        <v>0.41925</v>
      </c>
      <c r="C343" s="3"/>
      <c r="D343" s="5" t="s">
        <v>462</v>
      </c>
      <c r="E343" s="6">
        <v>6.1000000000000005</v>
      </c>
      <c r="F343" s="3"/>
      <c r="G343" s="5" t="s">
        <v>631</v>
      </c>
      <c r="H343" s="6">
        <v>218.92824962057875</v>
      </c>
      <c r="I343" s="3"/>
      <c r="J343" s="5" t="s">
        <v>460</v>
      </c>
      <c r="K343" s="7">
        <v>1582.7689815305625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x14ac:dyDescent="0.25" r="344" customHeight="1" ht="12.75">
      <c r="A344" s="5" t="s">
        <v>61</v>
      </c>
      <c r="B344" s="6">
        <v>0.41000000000000003</v>
      </c>
      <c r="C344" s="3"/>
      <c r="D344" s="5" t="s">
        <v>632</v>
      </c>
      <c r="E344" s="6">
        <v>6.07</v>
      </c>
      <c r="F344" s="3"/>
      <c r="G344" s="5" t="s">
        <v>428</v>
      </c>
      <c r="H344" s="6">
        <v>218.77217869839228</v>
      </c>
      <c r="I344" s="3"/>
      <c r="J344" s="5" t="s">
        <v>529</v>
      </c>
      <c r="K344" s="7">
        <v>1573.1228490771705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x14ac:dyDescent="0.25" r="345" customHeight="1" ht="12.75">
      <c r="A345" s="5" t="s">
        <v>546</v>
      </c>
      <c r="B345" s="6">
        <v>0.40749</v>
      </c>
      <c r="C345" s="3"/>
      <c r="D345" s="5" t="s">
        <v>410</v>
      </c>
      <c r="E345" s="6">
        <v>6.0452634439794934</v>
      </c>
      <c r="F345" s="3"/>
      <c r="G345" s="5" t="s">
        <v>51</v>
      </c>
      <c r="H345" s="6">
        <v>218.63688959995108</v>
      </c>
      <c r="I345" s="3"/>
      <c r="J345" s="5" t="s">
        <v>315</v>
      </c>
      <c r="K345" s="7">
        <v>1564.1888716162446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x14ac:dyDescent="0.25" r="346" customHeight="1" ht="12.75">
      <c r="A346" s="5" t="s">
        <v>633</v>
      </c>
      <c r="B346" s="6">
        <v>0.4056</v>
      </c>
      <c r="C346" s="3"/>
      <c r="D346" s="5" t="s">
        <v>392</v>
      </c>
      <c r="E346" s="6">
        <v>6.04</v>
      </c>
      <c r="F346" s="3"/>
      <c r="G346" s="5" t="s">
        <v>338</v>
      </c>
      <c r="H346" s="6">
        <v>218.49617540192924</v>
      </c>
      <c r="I346" s="3"/>
      <c r="J346" s="5" t="s">
        <v>634</v>
      </c>
      <c r="K346" s="7">
        <v>1561.711501542179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x14ac:dyDescent="0.25" r="347" customHeight="1" ht="12.75">
      <c r="A347" s="5" t="s">
        <v>208</v>
      </c>
      <c r="B347" s="6">
        <v>0.40453370000000005</v>
      </c>
      <c r="C347" s="3"/>
      <c r="D347" s="5" t="s">
        <v>265</v>
      </c>
      <c r="E347" s="6">
        <v>6.029644970414202</v>
      </c>
      <c r="F347" s="3"/>
      <c r="G347" s="5" t="s">
        <v>100</v>
      </c>
      <c r="H347" s="6">
        <v>218.46612241575565</v>
      </c>
      <c r="I347" s="3"/>
      <c r="J347" s="5" t="s">
        <v>495</v>
      </c>
      <c r="K347" s="7">
        <v>1546.6384949508035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x14ac:dyDescent="0.25" r="348" customHeight="1" ht="12.75">
      <c r="A348" s="5" t="s">
        <v>635</v>
      </c>
      <c r="B348" s="6">
        <v>0.40345600000000004</v>
      </c>
      <c r="C348" s="3"/>
      <c r="D348" s="5" t="s">
        <v>539</v>
      </c>
      <c r="E348" s="6">
        <v>6.02</v>
      </c>
      <c r="F348" s="3"/>
      <c r="G348" s="5" t="s">
        <v>353</v>
      </c>
      <c r="H348" s="6">
        <v>218.06921506109325</v>
      </c>
      <c r="I348" s="3"/>
      <c r="J348" s="5" t="s">
        <v>135</v>
      </c>
      <c r="K348" s="7">
        <v>1546.5419277272317</v>
      </c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x14ac:dyDescent="0.25" r="349" customHeight="1" ht="12.75">
      <c r="A349" s="5" t="s">
        <v>636</v>
      </c>
      <c r="B349" s="6">
        <v>0.3987719999999999</v>
      </c>
      <c r="C349" s="3"/>
      <c r="D349" s="5" t="s">
        <v>637</v>
      </c>
      <c r="E349" s="6">
        <v>6.01</v>
      </c>
      <c r="F349" s="3"/>
      <c r="G349" s="5" t="s">
        <v>495</v>
      </c>
      <c r="H349" s="6">
        <v>217.8364077395498</v>
      </c>
      <c r="I349" s="3"/>
      <c r="J349" s="5" t="s">
        <v>638</v>
      </c>
      <c r="K349" s="7">
        <v>1536.1287156591643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x14ac:dyDescent="0.25" r="350" customHeight="1" ht="12.75">
      <c r="A350" s="5" t="s">
        <v>323</v>
      </c>
      <c r="B350" s="6">
        <v>0.3930910000000001</v>
      </c>
      <c r="C350" s="3"/>
      <c r="D350" s="5" t="s">
        <v>154</v>
      </c>
      <c r="E350" s="6">
        <v>6.0066770347330225</v>
      </c>
      <c r="F350" s="3"/>
      <c r="G350" s="5" t="s">
        <v>461</v>
      </c>
      <c r="H350" s="6">
        <v>217.64070135369775</v>
      </c>
      <c r="I350" s="3"/>
      <c r="J350" s="5" t="s">
        <v>612</v>
      </c>
      <c r="K350" s="7">
        <v>1524.8608006000002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x14ac:dyDescent="0.25" r="351" customHeight="1" ht="12.75">
      <c r="A351" s="5" t="s">
        <v>571</v>
      </c>
      <c r="B351" s="6">
        <v>0.39147909999999997</v>
      </c>
      <c r="C351" s="3"/>
      <c r="D351" s="5" t="s">
        <v>157</v>
      </c>
      <c r="E351" s="6">
        <v>6</v>
      </c>
      <c r="F351" s="3"/>
      <c r="G351" s="5" t="s">
        <v>328</v>
      </c>
      <c r="H351" s="6">
        <v>217.395606</v>
      </c>
      <c r="I351" s="3"/>
      <c r="J351" s="5" t="s">
        <v>531</v>
      </c>
      <c r="K351" s="7">
        <v>1524.7921109562442</v>
      </c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x14ac:dyDescent="0.25" r="352" customHeight="1" ht="12.75">
      <c r="A352" s="5" t="s">
        <v>573</v>
      </c>
      <c r="B352" s="6">
        <v>0.39121340000000004</v>
      </c>
      <c r="C352" s="3"/>
      <c r="D352" s="5" t="s">
        <v>96</v>
      </c>
      <c r="E352" s="6">
        <v>5.99</v>
      </c>
      <c r="F352" s="3"/>
      <c r="G352" s="5" t="s">
        <v>261</v>
      </c>
      <c r="H352" s="6">
        <v>217.2765576</v>
      </c>
      <c r="I352" s="3"/>
      <c r="J352" s="5" t="s">
        <v>611</v>
      </c>
      <c r="K352" s="7">
        <v>1524.5206650764821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x14ac:dyDescent="0.25" r="353" customHeight="1" ht="12.75">
      <c r="A353" s="5" t="s">
        <v>115</v>
      </c>
      <c r="B353" s="6">
        <v>0.39064</v>
      </c>
      <c r="C353" s="3"/>
      <c r="D353" s="5" t="s">
        <v>445</v>
      </c>
      <c r="E353" s="6">
        <v>5.97</v>
      </c>
      <c r="F353" s="3"/>
      <c r="G353" s="5" t="s">
        <v>343</v>
      </c>
      <c r="H353" s="6">
        <v>216.86790621034345</v>
      </c>
      <c r="I353" s="3"/>
      <c r="J353" s="5" t="s">
        <v>534</v>
      </c>
      <c r="K353" s="7">
        <v>1508.6048250000001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x14ac:dyDescent="0.25" r="354" customHeight="1" ht="12.75">
      <c r="A354" s="5" t="s">
        <v>589</v>
      </c>
      <c r="B354" s="6">
        <v>0.389398567</v>
      </c>
      <c r="C354" s="3"/>
      <c r="D354" s="5" t="s">
        <v>639</v>
      </c>
      <c r="E354" s="6">
        <v>5.965948553054663</v>
      </c>
      <c r="F354" s="3"/>
      <c r="G354" s="5" t="s">
        <v>482</v>
      </c>
      <c r="H354" s="6">
        <v>216.6406485879068</v>
      </c>
      <c r="I354" s="3"/>
      <c r="J354" s="5" t="s">
        <v>640</v>
      </c>
      <c r="K354" s="7">
        <v>1502.8640370921946</v>
      </c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x14ac:dyDescent="0.25" r="355" customHeight="1" ht="12.75">
      <c r="A355" s="5" t="s">
        <v>264</v>
      </c>
      <c r="B355" s="6">
        <v>0.38939786</v>
      </c>
      <c r="C355" s="3"/>
      <c r="D355" s="5" t="s">
        <v>433</v>
      </c>
      <c r="E355" s="6">
        <v>5.956216377764495</v>
      </c>
      <c r="F355" s="3"/>
      <c r="G355" s="5" t="s">
        <v>641</v>
      </c>
      <c r="H355" s="6">
        <v>216.27214353439155</v>
      </c>
      <c r="I355" s="3"/>
      <c r="J355" s="5" t="s">
        <v>359</v>
      </c>
      <c r="K355" s="7">
        <v>1491.29891425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x14ac:dyDescent="0.25" r="356" customHeight="1" ht="12.75">
      <c r="A356" s="5" t="s">
        <v>642</v>
      </c>
      <c r="B356" s="6">
        <v>0.384142</v>
      </c>
      <c r="C356" s="3"/>
      <c r="D356" s="5" t="s">
        <v>236</v>
      </c>
      <c r="E356" s="6">
        <v>5.951766842800528</v>
      </c>
      <c r="F356" s="3"/>
      <c r="G356" s="5" t="s">
        <v>643</v>
      </c>
      <c r="H356" s="6">
        <v>216.2181503360501</v>
      </c>
      <c r="I356" s="3"/>
      <c r="J356" s="5" t="s">
        <v>387</v>
      </c>
      <c r="K356" s="7">
        <v>1480.8589896281599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x14ac:dyDescent="0.25" r="357" customHeight="1" ht="12.75">
      <c r="A357" s="5" t="s">
        <v>367</v>
      </c>
      <c r="B357" s="6">
        <v>0.38073661270000003</v>
      </c>
      <c r="C357" s="3"/>
      <c r="D357" s="5" t="s">
        <v>51</v>
      </c>
      <c r="E357" s="6">
        <v>5.9485420772489555</v>
      </c>
      <c r="F357" s="3"/>
      <c r="G357" s="5" t="s">
        <v>644</v>
      </c>
      <c r="H357" s="6">
        <v>216.00208519678458</v>
      </c>
      <c r="I357" s="3"/>
      <c r="J357" s="5" t="s">
        <v>414</v>
      </c>
      <c r="K357" s="7">
        <v>1471.6908096790994</v>
      </c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x14ac:dyDescent="0.25" r="358" customHeight="1" ht="12.75">
      <c r="A358" s="5" t="s">
        <v>436</v>
      </c>
      <c r="B358" s="6">
        <v>0.3799</v>
      </c>
      <c r="C358" s="3"/>
      <c r="D358" s="5" t="s">
        <v>645</v>
      </c>
      <c r="E358" s="6">
        <v>5.94</v>
      </c>
      <c r="F358" s="3"/>
      <c r="G358" s="5" t="s">
        <v>134</v>
      </c>
      <c r="H358" s="6">
        <v>214.75524245328978</v>
      </c>
      <c r="I358" s="3"/>
      <c r="J358" s="5" t="s">
        <v>646</v>
      </c>
      <c r="K358" s="7">
        <v>1470.1230767337968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x14ac:dyDescent="0.25" r="359" customHeight="1" ht="12.75">
      <c r="A359" s="5" t="s">
        <v>481</v>
      </c>
      <c r="B359" s="6">
        <v>0.37770000000000004</v>
      </c>
      <c r="C359" s="3"/>
      <c r="D359" s="5" t="s">
        <v>470</v>
      </c>
      <c r="E359" s="6">
        <v>5.936842105263158</v>
      </c>
      <c r="F359" s="3"/>
      <c r="G359" s="5" t="s">
        <v>411</v>
      </c>
      <c r="H359" s="6">
        <v>213.70210790192925</v>
      </c>
      <c r="I359" s="3"/>
      <c r="J359" s="5" t="s">
        <v>647</v>
      </c>
      <c r="K359" s="7">
        <v>1466.3214699999999</v>
      </c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x14ac:dyDescent="0.25" r="360" customHeight="1" ht="12.75">
      <c r="A360" s="5" t="s">
        <v>407</v>
      </c>
      <c r="B360" s="6">
        <v>0.37711</v>
      </c>
      <c r="C360" s="3"/>
      <c r="D360" s="5" t="s">
        <v>413</v>
      </c>
      <c r="E360" s="6">
        <v>5.8962921348314605</v>
      </c>
      <c r="F360" s="3"/>
      <c r="G360" s="5" t="s">
        <v>648</v>
      </c>
      <c r="H360" s="6">
        <v>213.66892145659165</v>
      </c>
      <c r="I360" s="3"/>
      <c r="J360" s="5" t="s">
        <v>649</v>
      </c>
      <c r="K360" s="7">
        <v>1454.773615992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x14ac:dyDescent="0.25" r="361" customHeight="1" ht="12.75">
      <c r="A361" s="5" t="s">
        <v>592</v>
      </c>
      <c r="B361" s="6">
        <v>0.37671496000000004</v>
      </c>
      <c r="C361" s="3"/>
      <c r="D361" s="5" t="s">
        <v>650</v>
      </c>
      <c r="E361" s="6">
        <v>5.89</v>
      </c>
      <c r="F361" s="3"/>
      <c r="G361" s="5" t="s">
        <v>443</v>
      </c>
      <c r="H361" s="6">
        <v>212.57611187877816</v>
      </c>
      <c r="I361" s="3"/>
      <c r="J361" s="5" t="s">
        <v>436</v>
      </c>
      <c r="K361" s="7">
        <v>1454.3418883451866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x14ac:dyDescent="0.25" r="362" customHeight="1" ht="12.75">
      <c r="A362" s="5" t="s">
        <v>651</v>
      </c>
      <c r="B362" s="6">
        <v>0.37099999999999994</v>
      </c>
      <c r="C362" s="3"/>
      <c r="D362" s="5" t="s">
        <v>652</v>
      </c>
      <c r="E362" s="6">
        <v>5.88</v>
      </c>
      <c r="F362" s="3"/>
      <c r="G362" s="5" t="s">
        <v>653</v>
      </c>
      <c r="H362" s="6">
        <v>212.1960101800643</v>
      </c>
      <c r="I362" s="3"/>
      <c r="J362" s="5" t="s">
        <v>483</v>
      </c>
      <c r="K362" s="7">
        <v>1448.8698231225724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x14ac:dyDescent="0.25" r="363" customHeight="1" ht="12.75">
      <c r="A363" s="5" t="s">
        <v>449</v>
      </c>
      <c r="B363" s="6">
        <v>0.3701</v>
      </c>
      <c r="C363" s="3"/>
      <c r="D363" s="5" t="s">
        <v>654</v>
      </c>
      <c r="E363" s="6">
        <v>5.878928571428572</v>
      </c>
      <c r="F363" s="3"/>
      <c r="G363" s="5" t="s">
        <v>278</v>
      </c>
      <c r="H363" s="6">
        <v>212.12381315529694</v>
      </c>
      <c r="I363" s="3"/>
      <c r="J363" s="5" t="s">
        <v>537</v>
      </c>
      <c r="K363" s="7">
        <v>1447.8698099380192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x14ac:dyDescent="0.25" r="364" customHeight="1" ht="12.75">
      <c r="A364" s="5" t="s">
        <v>655</v>
      </c>
      <c r="B364" s="6">
        <v>0.3696</v>
      </c>
      <c r="C364" s="3"/>
      <c r="D364" s="5" t="s">
        <v>401</v>
      </c>
      <c r="E364" s="6">
        <v>5.8781148981025995</v>
      </c>
      <c r="F364" s="3"/>
      <c r="G364" s="5" t="s">
        <v>588</v>
      </c>
      <c r="H364" s="6">
        <v>211.97337104501608</v>
      </c>
      <c r="I364" s="3"/>
      <c r="J364" s="5" t="s">
        <v>605</v>
      </c>
      <c r="K364" s="7">
        <v>1435.2270672623795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x14ac:dyDescent="0.25" r="365" customHeight="1" ht="12.75">
      <c r="A365" s="5" t="s">
        <v>353</v>
      </c>
      <c r="B365" s="6">
        <v>0.3663</v>
      </c>
      <c r="C365" s="3"/>
      <c r="D365" s="5" t="s">
        <v>11</v>
      </c>
      <c r="E365" s="6">
        <v>5.871823281907433</v>
      </c>
      <c r="F365" s="3"/>
      <c r="G365" s="5" t="s">
        <v>490</v>
      </c>
      <c r="H365" s="6">
        <v>211.84502335369774</v>
      </c>
      <c r="I365" s="3"/>
      <c r="J365" s="5" t="s">
        <v>280</v>
      </c>
      <c r="K365" s="7">
        <v>1428.9402211788583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x14ac:dyDescent="0.25" r="366" customHeight="1" ht="12.75">
      <c r="A366" s="5" t="s">
        <v>144</v>
      </c>
      <c r="B366" s="6">
        <v>0.366</v>
      </c>
      <c r="C366" s="3"/>
      <c r="D366" s="5" t="s">
        <v>608</v>
      </c>
      <c r="E366" s="6">
        <v>5.869999999999999</v>
      </c>
      <c r="F366" s="3"/>
      <c r="G366" s="5" t="s">
        <v>342</v>
      </c>
      <c r="H366" s="6">
        <v>211.3620143993724</v>
      </c>
      <c r="I366" s="3"/>
      <c r="J366" s="5" t="s">
        <v>606</v>
      </c>
      <c r="K366" s="7">
        <v>1428.8474932364052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x14ac:dyDescent="0.25" r="367" customHeight="1" ht="12.75">
      <c r="A367" s="5" t="s">
        <v>656</v>
      </c>
      <c r="B367" s="6">
        <v>0.36366</v>
      </c>
      <c r="C367" s="3"/>
      <c r="D367" s="5" t="s">
        <v>657</v>
      </c>
      <c r="E367" s="6">
        <v>5.852903225806451</v>
      </c>
      <c r="F367" s="3"/>
      <c r="G367" s="5" t="s">
        <v>410</v>
      </c>
      <c r="H367" s="6">
        <v>210.98004080627894</v>
      </c>
      <c r="I367" s="3"/>
      <c r="J367" s="5" t="s">
        <v>282</v>
      </c>
      <c r="K367" s="7">
        <v>1426.903600495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x14ac:dyDescent="0.25" r="368" customHeight="1" ht="12.75">
      <c r="A368" s="5" t="s">
        <v>658</v>
      </c>
      <c r="B368" s="6">
        <v>0.36144</v>
      </c>
      <c r="C368" s="3"/>
      <c r="D368" s="5" t="s">
        <v>239</v>
      </c>
      <c r="E368" s="6">
        <v>5.85</v>
      </c>
      <c r="F368" s="3"/>
      <c r="G368" s="5" t="s">
        <v>506</v>
      </c>
      <c r="H368" s="6">
        <v>210.51861220273668</v>
      </c>
      <c r="I368" s="3"/>
      <c r="J368" s="5" t="s">
        <v>512</v>
      </c>
      <c r="K368" s="7">
        <v>1423.6799742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x14ac:dyDescent="0.25" r="369" customHeight="1" ht="12.75">
      <c r="A369" s="5" t="s">
        <v>553</v>
      </c>
      <c r="B369" s="6">
        <v>0.35892279360000007</v>
      </c>
      <c r="C369" s="3"/>
      <c r="D369" s="5" t="s">
        <v>386</v>
      </c>
      <c r="E369" s="6">
        <v>5.84</v>
      </c>
      <c r="F369" s="3"/>
      <c r="G369" s="5" t="s">
        <v>639</v>
      </c>
      <c r="H369" s="6">
        <v>210.47239209704617</v>
      </c>
      <c r="I369" s="3"/>
      <c r="J369" s="5" t="s">
        <v>523</v>
      </c>
      <c r="K369" s="7">
        <v>1398.5915159699998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x14ac:dyDescent="0.25" r="370" customHeight="1" ht="12.75">
      <c r="A370" s="5" t="s">
        <v>659</v>
      </c>
      <c r="B370" s="6">
        <v>0.35720399999999997</v>
      </c>
      <c r="C370" s="3"/>
      <c r="D370" s="5" t="s">
        <v>584</v>
      </c>
      <c r="E370" s="6">
        <v>5.82</v>
      </c>
      <c r="F370" s="3"/>
      <c r="G370" s="5" t="s">
        <v>414</v>
      </c>
      <c r="H370" s="6">
        <v>210.24154423987136</v>
      </c>
      <c r="I370" s="3"/>
      <c r="J370" s="5" t="s">
        <v>553</v>
      </c>
      <c r="K370" s="7">
        <v>1393.4803467137826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x14ac:dyDescent="0.25" r="371" customHeight="1" ht="12.75">
      <c r="A371" s="5" t="s">
        <v>577</v>
      </c>
      <c r="B371" s="6">
        <v>0.3536</v>
      </c>
      <c r="C371" s="3"/>
      <c r="D371" s="5" t="s">
        <v>262</v>
      </c>
      <c r="E371" s="6">
        <v>5.80558734047177</v>
      </c>
      <c r="F371" s="3"/>
      <c r="G371" s="5" t="s">
        <v>359</v>
      </c>
      <c r="H371" s="6">
        <v>210.04210059859156</v>
      </c>
      <c r="I371" s="3"/>
      <c r="J371" s="5" t="s">
        <v>660</v>
      </c>
      <c r="K371" s="7">
        <v>1391.0941216117362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x14ac:dyDescent="0.25" r="372" customHeight="1" ht="12.75">
      <c r="A372" s="5" t="s">
        <v>661</v>
      </c>
      <c r="B372" s="6">
        <v>0.35359999999999997</v>
      </c>
      <c r="C372" s="3"/>
      <c r="D372" s="5" t="s">
        <v>20</v>
      </c>
      <c r="E372" s="6">
        <v>5.800000000000001</v>
      </c>
      <c r="F372" s="3"/>
      <c r="G372" s="5" t="s">
        <v>662</v>
      </c>
      <c r="H372" s="6">
        <v>209.6713775954984</v>
      </c>
      <c r="I372" s="3"/>
      <c r="J372" s="5" t="s">
        <v>115</v>
      </c>
      <c r="K372" s="7">
        <v>1380.1649401422508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x14ac:dyDescent="0.25" r="373" customHeight="1" ht="12.75">
      <c r="A373" s="5" t="s">
        <v>43</v>
      </c>
      <c r="B373" s="6">
        <v>0.352</v>
      </c>
      <c r="C373" s="3"/>
      <c r="D373" s="5" t="s">
        <v>490</v>
      </c>
      <c r="E373" s="6">
        <v>5.8</v>
      </c>
      <c r="F373" s="3"/>
      <c r="G373" s="5" t="s">
        <v>484</v>
      </c>
      <c r="H373" s="6">
        <v>209.44178195432514</v>
      </c>
      <c r="I373" s="3"/>
      <c r="J373" s="5" t="s">
        <v>504</v>
      </c>
      <c r="K373" s="7">
        <v>1374.796000345799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x14ac:dyDescent="0.25" r="374" customHeight="1" ht="12.75">
      <c r="A374" s="5" t="s">
        <v>663</v>
      </c>
      <c r="B374" s="6">
        <v>0.3488</v>
      </c>
      <c r="C374" s="3"/>
      <c r="D374" s="5" t="s">
        <v>653</v>
      </c>
      <c r="E374" s="6">
        <v>5.8</v>
      </c>
      <c r="F374" s="3"/>
      <c r="G374" s="5" t="s">
        <v>466</v>
      </c>
      <c r="H374" s="6">
        <v>209.3994943826491</v>
      </c>
      <c r="I374" s="3"/>
      <c r="J374" s="5" t="s">
        <v>601</v>
      </c>
      <c r="K374" s="7">
        <v>1374.7245372235539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x14ac:dyDescent="0.25" r="375" customHeight="1" ht="12.75">
      <c r="A375" s="5" t="s">
        <v>664</v>
      </c>
      <c r="B375" s="6">
        <v>0.345684</v>
      </c>
      <c r="C375" s="3"/>
      <c r="D375" s="5" t="s">
        <v>507</v>
      </c>
      <c r="E375" s="6">
        <v>5.8</v>
      </c>
      <c r="F375" s="3"/>
      <c r="G375" s="5" t="s">
        <v>439</v>
      </c>
      <c r="H375" s="6">
        <v>209.3952358971061</v>
      </c>
      <c r="I375" s="3"/>
      <c r="J375" s="5" t="s">
        <v>665</v>
      </c>
      <c r="K375" s="7">
        <v>1373.036240805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x14ac:dyDescent="0.25" r="376" customHeight="1" ht="12.75">
      <c r="A376" s="5" t="s">
        <v>583</v>
      </c>
      <c r="B376" s="6">
        <v>0.34409999999999996</v>
      </c>
      <c r="C376" s="3"/>
      <c r="D376" s="5" t="s">
        <v>216</v>
      </c>
      <c r="E376" s="6">
        <v>5.799999999999999</v>
      </c>
      <c r="F376" s="3"/>
      <c r="G376" s="5" t="s">
        <v>494</v>
      </c>
      <c r="H376" s="6">
        <v>208.9050494081169</v>
      </c>
      <c r="I376" s="3"/>
      <c r="J376" s="5" t="s">
        <v>666</v>
      </c>
      <c r="K376" s="7">
        <v>1369.9061692500322</v>
      </c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x14ac:dyDescent="0.25" r="377" customHeight="1" ht="12.75">
      <c r="A377" s="5" t="s">
        <v>486</v>
      </c>
      <c r="B377" s="6">
        <v>0.34397365384615386</v>
      </c>
      <c r="C377" s="3"/>
      <c r="D377" s="5" t="s">
        <v>587</v>
      </c>
      <c r="E377" s="6">
        <v>5.78</v>
      </c>
      <c r="F377" s="3"/>
      <c r="G377" s="5" t="s">
        <v>589</v>
      </c>
      <c r="H377" s="6">
        <v>208.6550848936669</v>
      </c>
      <c r="I377" s="3"/>
      <c r="J377" s="5" t="s">
        <v>270</v>
      </c>
      <c r="K377" s="7">
        <v>1368.9524820367665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x14ac:dyDescent="0.25" r="378" customHeight="1" ht="12.75">
      <c r="A378" s="5" t="s">
        <v>667</v>
      </c>
      <c r="B378" s="6">
        <v>0.33885624000000003</v>
      </c>
      <c r="C378" s="3"/>
      <c r="D378" s="5" t="s">
        <v>659</v>
      </c>
      <c r="E378" s="6">
        <v>5.779999999999999</v>
      </c>
      <c r="F378" s="3"/>
      <c r="G378" s="5" t="s">
        <v>356</v>
      </c>
      <c r="H378" s="6">
        <v>206.196238</v>
      </c>
      <c r="I378" s="3"/>
      <c r="J378" s="5" t="s">
        <v>668</v>
      </c>
      <c r="K378" s="7">
        <v>1359.85731812</v>
      </c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x14ac:dyDescent="0.25" r="379" customHeight="1" ht="12.75">
      <c r="A379" s="5" t="s">
        <v>79</v>
      </c>
      <c r="B379" s="6">
        <v>0.336</v>
      </c>
      <c r="C379" s="3"/>
      <c r="D379" s="5" t="s">
        <v>104</v>
      </c>
      <c r="E379" s="6">
        <v>5.762476773864217</v>
      </c>
      <c r="F379" s="3"/>
      <c r="G379" s="5" t="s">
        <v>352</v>
      </c>
      <c r="H379" s="6">
        <v>205.12560397248183</v>
      </c>
      <c r="I379" s="3"/>
      <c r="J379" s="5" t="s">
        <v>430</v>
      </c>
      <c r="K379" s="7">
        <v>1341.5385170418006</v>
      </c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x14ac:dyDescent="0.25" r="380" customHeight="1" ht="12.75">
      <c r="A380" s="5" t="s">
        <v>506</v>
      </c>
      <c r="B380" s="6">
        <v>0.3357925</v>
      </c>
      <c r="C380" s="3"/>
      <c r="D380" s="5" t="s">
        <v>134</v>
      </c>
      <c r="E380" s="6">
        <v>5.755685483870968</v>
      </c>
      <c r="F380" s="3"/>
      <c r="G380" s="5" t="s">
        <v>538</v>
      </c>
      <c r="H380" s="6">
        <v>203.59701898038585</v>
      </c>
      <c r="I380" s="3"/>
      <c r="J380" s="5" t="s">
        <v>391</v>
      </c>
      <c r="K380" s="7">
        <v>1341.05818</v>
      </c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x14ac:dyDescent="0.25" r="381" customHeight="1" ht="12.75">
      <c r="A381" s="5" t="s">
        <v>548</v>
      </c>
      <c r="B381" s="6">
        <v>0.33030000000000004</v>
      </c>
      <c r="C381" s="3"/>
      <c r="D381" s="5" t="s">
        <v>669</v>
      </c>
      <c r="E381" s="6">
        <v>5.754018789144052</v>
      </c>
      <c r="F381" s="3"/>
      <c r="G381" s="5" t="s">
        <v>670</v>
      </c>
      <c r="H381" s="6">
        <v>203.50332906720257</v>
      </c>
      <c r="I381" s="3"/>
      <c r="J381" s="5" t="s">
        <v>35</v>
      </c>
      <c r="K381" s="7">
        <v>1336.6508494713828</v>
      </c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x14ac:dyDescent="0.25" r="382" customHeight="1" ht="12.75">
      <c r="A382" s="5" t="s">
        <v>654</v>
      </c>
      <c r="B382" s="6">
        <v>0.32922000000000007</v>
      </c>
      <c r="C382" s="3"/>
      <c r="D382" s="5" t="s">
        <v>604</v>
      </c>
      <c r="E382" s="6">
        <v>5.704827586206896</v>
      </c>
      <c r="F382" s="3"/>
      <c r="G382" s="5" t="s">
        <v>383</v>
      </c>
      <c r="H382" s="6">
        <v>202.94305679062478</v>
      </c>
      <c r="I382" s="3"/>
      <c r="J382" s="5" t="s">
        <v>532</v>
      </c>
      <c r="K382" s="7">
        <v>1314.0496254</v>
      </c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x14ac:dyDescent="0.25" r="383" customHeight="1" ht="12.75">
      <c r="A383" s="5" t="s">
        <v>468</v>
      </c>
      <c r="B383" s="6">
        <v>0.32799999999999996</v>
      </c>
      <c r="C383" s="3"/>
      <c r="D383" s="5" t="s">
        <v>418</v>
      </c>
      <c r="E383" s="6">
        <v>5.7</v>
      </c>
      <c r="F383" s="3"/>
      <c r="G383" s="5" t="s">
        <v>489</v>
      </c>
      <c r="H383" s="6">
        <v>202.34404035497192</v>
      </c>
      <c r="I383" s="3"/>
      <c r="J383" s="5" t="s">
        <v>489</v>
      </c>
      <c r="K383" s="7">
        <v>1299.0487390789197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x14ac:dyDescent="0.25" r="384" customHeight="1" ht="12.75">
      <c r="A384" s="5" t="s">
        <v>597</v>
      </c>
      <c r="B384" s="6">
        <v>0.3227816858</v>
      </c>
      <c r="C384" s="3"/>
      <c r="D384" s="5" t="s">
        <v>623</v>
      </c>
      <c r="E384" s="6">
        <v>5.7</v>
      </c>
      <c r="F384" s="3"/>
      <c r="G384" s="5" t="s">
        <v>671</v>
      </c>
      <c r="H384" s="6">
        <v>201.80899848339328</v>
      </c>
      <c r="I384" s="3"/>
      <c r="J384" s="5" t="s">
        <v>672</v>
      </c>
      <c r="K384" s="7">
        <v>1298.0463652163344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x14ac:dyDescent="0.25" r="385" customHeight="1" ht="12.75">
      <c r="A385" s="5" t="s">
        <v>556</v>
      </c>
      <c r="B385" s="6">
        <v>0.32136</v>
      </c>
      <c r="C385" s="3"/>
      <c r="D385" s="5" t="s">
        <v>673</v>
      </c>
      <c r="E385" s="6">
        <v>5.7</v>
      </c>
      <c r="F385" s="3"/>
      <c r="G385" s="5" t="s">
        <v>584</v>
      </c>
      <c r="H385" s="6">
        <v>201.7958564</v>
      </c>
      <c r="I385" s="3"/>
      <c r="J385" s="5" t="s">
        <v>186</v>
      </c>
      <c r="K385" s="7">
        <v>1269.4915142809195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x14ac:dyDescent="0.25" r="386" customHeight="1" ht="12.75">
      <c r="A386" s="5" t="s">
        <v>375</v>
      </c>
      <c r="B386" s="6">
        <v>0.32</v>
      </c>
      <c r="C386" s="3"/>
      <c r="D386" s="5" t="s">
        <v>148</v>
      </c>
      <c r="E386" s="6">
        <v>5.699999999999999</v>
      </c>
      <c r="F386" s="3"/>
      <c r="G386" s="5" t="s">
        <v>541</v>
      </c>
      <c r="H386" s="6">
        <v>201.63866208038584</v>
      </c>
      <c r="I386" s="3"/>
      <c r="J386" s="5" t="s">
        <v>565</v>
      </c>
      <c r="K386" s="7">
        <v>1264.6957250232863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x14ac:dyDescent="0.25" r="387" customHeight="1" ht="12.75">
      <c r="A387" s="5" t="s">
        <v>186</v>
      </c>
      <c r="B387" s="6">
        <v>0.318665</v>
      </c>
      <c r="C387" s="3"/>
      <c r="D387" s="5" t="s">
        <v>448</v>
      </c>
      <c r="E387" s="6">
        <v>5.698773006134969</v>
      </c>
      <c r="F387" s="3"/>
      <c r="G387" s="5" t="s">
        <v>219</v>
      </c>
      <c r="H387" s="6">
        <v>201.335095</v>
      </c>
      <c r="I387" s="3"/>
      <c r="J387" s="5" t="s">
        <v>375</v>
      </c>
      <c r="K387" s="7">
        <v>1251.8967667309753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x14ac:dyDescent="0.25" r="388" customHeight="1" ht="12.75">
      <c r="A388" s="5" t="s">
        <v>102</v>
      </c>
      <c r="B388" s="6">
        <v>0.318428</v>
      </c>
      <c r="C388" s="3"/>
      <c r="D388" s="5" t="s">
        <v>618</v>
      </c>
      <c r="E388" s="6">
        <v>5.680736543909348</v>
      </c>
      <c r="F388" s="3"/>
      <c r="G388" s="5" t="s">
        <v>403</v>
      </c>
      <c r="H388" s="6">
        <v>200.50778604501608</v>
      </c>
      <c r="I388" s="3"/>
      <c r="J388" s="5" t="s">
        <v>560</v>
      </c>
      <c r="K388" s="7">
        <v>1240.6125960371999</v>
      </c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x14ac:dyDescent="0.25" r="389" customHeight="1" ht="12.75">
      <c r="A389" s="5" t="s">
        <v>653</v>
      </c>
      <c r="B389" s="6">
        <v>0.31592599999999993</v>
      </c>
      <c r="C389" s="3"/>
      <c r="D389" s="5" t="s">
        <v>670</v>
      </c>
      <c r="E389" s="6">
        <v>5.68</v>
      </c>
      <c r="F389" s="3"/>
      <c r="G389" s="5" t="s">
        <v>244</v>
      </c>
      <c r="H389" s="6">
        <v>200.39593539999998</v>
      </c>
      <c r="I389" s="3"/>
      <c r="J389" s="5" t="s">
        <v>572</v>
      </c>
      <c r="K389" s="7">
        <v>1234.4803173734151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x14ac:dyDescent="0.25" r="390" customHeight="1" ht="12.75">
      <c r="A390" s="5" t="s">
        <v>674</v>
      </c>
      <c r="B390" s="6">
        <v>0.314115</v>
      </c>
      <c r="C390" s="3"/>
      <c r="D390" s="5" t="s">
        <v>535</v>
      </c>
      <c r="E390" s="6">
        <v>5.671062500000001</v>
      </c>
      <c r="F390" s="3"/>
      <c r="G390" s="5" t="s">
        <v>601</v>
      </c>
      <c r="H390" s="6">
        <v>199.51533995860188</v>
      </c>
      <c r="I390" s="3"/>
      <c r="J390" s="5" t="s">
        <v>21</v>
      </c>
      <c r="K390" s="7">
        <v>1234.1320317880707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x14ac:dyDescent="0.25" r="391" customHeight="1" ht="12.75">
      <c r="A391" s="5" t="s">
        <v>640</v>
      </c>
      <c r="B391" s="6">
        <v>0.30959835390000007</v>
      </c>
      <c r="C391" s="3"/>
      <c r="D391" s="5" t="s">
        <v>290</v>
      </c>
      <c r="E391" s="6">
        <v>5.653628965517241</v>
      </c>
      <c r="F391" s="3"/>
      <c r="G391" s="5" t="s">
        <v>675</v>
      </c>
      <c r="H391" s="6">
        <v>198.55963081257437</v>
      </c>
      <c r="I391" s="3"/>
      <c r="J391" s="5" t="s">
        <v>676</v>
      </c>
      <c r="K391" s="7">
        <v>1225.9795858306813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x14ac:dyDescent="0.25" r="392" customHeight="1" ht="12.75">
      <c r="A392" s="5" t="s">
        <v>515</v>
      </c>
      <c r="B392" s="6">
        <v>0.3072563101604278</v>
      </c>
      <c r="C392" s="3"/>
      <c r="D392" s="5" t="s">
        <v>122</v>
      </c>
      <c r="E392" s="6">
        <v>5.6499999999999995</v>
      </c>
      <c r="F392" s="3"/>
      <c r="G392" s="5" t="s">
        <v>457</v>
      </c>
      <c r="H392" s="6">
        <v>198.06383624773912</v>
      </c>
      <c r="I392" s="3"/>
      <c r="J392" s="5" t="s">
        <v>655</v>
      </c>
      <c r="K392" s="7">
        <v>1222.3999942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x14ac:dyDescent="0.25" r="393" customHeight="1" ht="12.75">
      <c r="A393" s="5" t="s">
        <v>677</v>
      </c>
      <c r="B393" s="6">
        <v>0.30684244780000003</v>
      </c>
      <c r="C393" s="3"/>
      <c r="D393" s="5" t="s">
        <v>230</v>
      </c>
      <c r="E393" s="6">
        <v>5.633718756622719</v>
      </c>
      <c r="F393" s="3"/>
      <c r="G393" s="5" t="s">
        <v>604</v>
      </c>
      <c r="H393" s="6">
        <v>197.91041217642754</v>
      </c>
      <c r="I393" s="3"/>
      <c r="J393" s="5" t="s">
        <v>454</v>
      </c>
      <c r="K393" s="7">
        <v>1221.4365839999998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x14ac:dyDescent="0.25" r="394" customHeight="1" ht="12.75">
      <c r="A394" s="5" t="s">
        <v>528</v>
      </c>
      <c r="B394" s="6">
        <v>0.30528</v>
      </c>
      <c r="C394" s="3"/>
      <c r="D394" s="5" t="s">
        <v>419</v>
      </c>
      <c r="E394" s="6">
        <v>5.63</v>
      </c>
      <c r="F394" s="3"/>
      <c r="G394" s="5" t="s">
        <v>378</v>
      </c>
      <c r="H394" s="6">
        <v>197.234539</v>
      </c>
      <c r="I394" s="3"/>
      <c r="J394" s="5" t="s">
        <v>678</v>
      </c>
      <c r="K394" s="7">
        <v>1215.8662855655305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x14ac:dyDescent="0.25" r="395" customHeight="1" ht="12.75">
      <c r="A395" s="5" t="s">
        <v>73</v>
      </c>
      <c r="B395" s="6">
        <v>0.30400000000000005</v>
      </c>
      <c r="C395" s="3"/>
      <c r="D395" s="5" t="s">
        <v>679</v>
      </c>
      <c r="E395" s="6">
        <v>5.63</v>
      </c>
      <c r="F395" s="3"/>
      <c r="G395" s="5" t="s">
        <v>486</v>
      </c>
      <c r="H395" s="6">
        <v>197.06117566688104</v>
      </c>
      <c r="I395" s="3"/>
      <c r="J395" s="5" t="s">
        <v>408</v>
      </c>
      <c r="K395" s="7">
        <v>1212.5883303404826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x14ac:dyDescent="0.25" r="396" customHeight="1" ht="12.75">
      <c r="A396" s="5" t="s">
        <v>666</v>
      </c>
      <c r="B396" s="6">
        <v>0.30336</v>
      </c>
      <c r="C396" s="3"/>
      <c r="D396" s="5" t="s">
        <v>680</v>
      </c>
      <c r="E396" s="6">
        <v>5.63</v>
      </c>
      <c r="F396" s="3"/>
      <c r="G396" s="5" t="s">
        <v>374</v>
      </c>
      <c r="H396" s="6">
        <v>196.6569338</v>
      </c>
      <c r="I396" s="3"/>
      <c r="J396" s="5" t="s">
        <v>569</v>
      </c>
      <c r="K396" s="7">
        <v>1210.8456855999998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x14ac:dyDescent="0.25" r="397" customHeight="1" ht="12.75">
      <c r="A397" s="5" t="s">
        <v>681</v>
      </c>
      <c r="B397" s="6">
        <v>0.3016</v>
      </c>
      <c r="C397" s="3"/>
      <c r="D397" s="5" t="s">
        <v>315</v>
      </c>
      <c r="E397" s="6">
        <v>5.620330357142856</v>
      </c>
      <c r="F397" s="3"/>
      <c r="G397" s="5" t="s">
        <v>276</v>
      </c>
      <c r="H397" s="6">
        <v>196.27350351246244</v>
      </c>
      <c r="I397" s="3"/>
      <c r="J397" s="5" t="s">
        <v>156</v>
      </c>
      <c r="K397" s="7">
        <v>1187.04757975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x14ac:dyDescent="0.25" r="398" customHeight="1" ht="12.75">
      <c r="A398" s="5" t="s">
        <v>611</v>
      </c>
      <c r="B398" s="6">
        <v>0.298562</v>
      </c>
      <c r="C398" s="3"/>
      <c r="D398" s="5" t="s">
        <v>543</v>
      </c>
      <c r="E398" s="6">
        <v>5.6190494220805105</v>
      </c>
      <c r="F398" s="3"/>
      <c r="G398" s="5" t="s">
        <v>672</v>
      </c>
      <c r="H398" s="6">
        <v>196.07951136198406</v>
      </c>
      <c r="I398" s="3"/>
      <c r="J398" s="5" t="s">
        <v>667</v>
      </c>
      <c r="K398" s="7">
        <v>1186.3340728045298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x14ac:dyDescent="0.25" r="399" customHeight="1" ht="12.75">
      <c r="A399" s="5" t="s">
        <v>682</v>
      </c>
      <c r="B399" s="6">
        <v>0.29583288</v>
      </c>
      <c r="C399" s="3"/>
      <c r="D399" s="5" t="s">
        <v>405</v>
      </c>
      <c r="E399" s="6">
        <v>5.617181490384615</v>
      </c>
      <c r="F399" s="3"/>
      <c r="G399" s="5" t="s">
        <v>683</v>
      </c>
      <c r="H399" s="6">
        <v>196.05596845218682</v>
      </c>
      <c r="I399" s="3"/>
      <c r="J399" s="5" t="s">
        <v>563</v>
      </c>
      <c r="K399" s="7">
        <v>1166.73142478957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x14ac:dyDescent="0.25" r="400" customHeight="1" ht="12.75">
      <c r="A400" s="5" t="s">
        <v>684</v>
      </c>
      <c r="B400" s="6">
        <v>0.29385039</v>
      </c>
      <c r="C400" s="3"/>
      <c r="D400" s="5" t="s">
        <v>513</v>
      </c>
      <c r="E400" s="6">
        <v>5.6</v>
      </c>
      <c r="F400" s="3"/>
      <c r="G400" s="5" t="s">
        <v>685</v>
      </c>
      <c r="H400" s="6">
        <v>195.38307319935691</v>
      </c>
      <c r="I400" s="3"/>
      <c r="J400" s="5" t="s">
        <v>653</v>
      </c>
      <c r="K400" s="7">
        <v>1155.8316674508103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x14ac:dyDescent="0.25" r="401" customHeight="1" ht="12.75">
      <c r="A401" s="5" t="s">
        <v>177</v>
      </c>
      <c r="B401" s="6">
        <v>0.2930406</v>
      </c>
      <c r="C401" s="3"/>
      <c r="D401" s="5" t="s">
        <v>532</v>
      </c>
      <c r="E401" s="6">
        <v>5.6</v>
      </c>
      <c r="F401" s="3"/>
      <c r="G401" s="5" t="s">
        <v>499</v>
      </c>
      <c r="H401" s="6">
        <v>195.25055598713828</v>
      </c>
      <c r="I401" s="3"/>
      <c r="J401" s="5" t="s">
        <v>677</v>
      </c>
      <c r="K401" s="7">
        <v>1140.1790336484146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x14ac:dyDescent="0.25" r="402" customHeight="1" ht="12.75">
      <c r="A402" s="5" t="s">
        <v>408</v>
      </c>
      <c r="B402" s="6">
        <v>0.29054</v>
      </c>
      <c r="C402" s="3"/>
      <c r="D402" s="5" t="s">
        <v>421</v>
      </c>
      <c r="E402" s="6">
        <v>5.521584114234717</v>
      </c>
      <c r="F402" s="3"/>
      <c r="G402" s="5" t="s">
        <v>657</v>
      </c>
      <c r="H402" s="6">
        <v>195.0731784493517</v>
      </c>
      <c r="I402" s="3"/>
      <c r="J402" s="5" t="s">
        <v>499</v>
      </c>
      <c r="K402" s="7">
        <v>1132.453224725402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x14ac:dyDescent="0.25" r="403" customHeight="1" ht="12.75">
      <c r="A403" s="5" t="s">
        <v>634</v>
      </c>
      <c r="B403" s="6">
        <v>0.2857712</v>
      </c>
      <c r="C403" s="3"/>
      <c r="D403" s="5" t="s">
        <v>686</v>
      </c>
      <c r="E403" s="6">
        <v>5.518011173184358</v>
      </c>
      <c r="F403" s="3"/>
      <c r="G403" s="5" t="s">
        <v>678</v>
      </c>
      <c r="H403" s="6">
        <v>194.85036627652732</v>
      </c>
      <c r="I403" s="3"/>
      <c r="J403" s="5" t="s">
        <v>240</v>
      </c>
      <c r="K403" s="7">
        <v>1126.5311210821542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x14ac:dyDescent="0.25" r="404" customHeight="1" ht="12.75">
      <c r="A404" s="5" t="s">
        <v>176</v>
      </c>
      <c r="B404" s="6">
        <v>0.2847</v>
      </c>
      <c r="C404" s="3"/>
      <c r="D404" s="5" t="s">
        <v>656</v>
      </c>
      <c r="E404" s="6">
        <v>5.51</v>
      </c>
      <c r="F404" s="3"/>
      <c r="G404" s="5" t="s">
        <v>687</v>
      </c>
      <c r="H404" s="6">
        <v>194.68323330546625</v>
      </c>
      <c r="I404" s="3"/>
      <c r="J404" s="5" t="s">
        <v>688</v>
      </c>
      <c r="K404" s="7">
        <v>1118.2015542864583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x14ac:dyDescent="0.25" r="405" customHeight="1" ht="12.75">
      <c r="A405" s="5" t="s">
        <v>147</v>
      </c>
      <c r="B405" s="6">
        <v>0.2835</v>
      </c>
      <c r="C405" s="3"/>
      <c r="D405" s="5" t="s">
        <v>689</v>
      </c>
      <c r="E405" s="6">
        <v>5.5</v>
      </c>
      <c r="F405" s="3"/>
      <c r="G405" s="5" t="s">
        <v>690</v>
      </c>
      <c r="H405" s="6">
        <v>194.5161932874209</v>
      </c>
      <c r="I405" s="3"/>
      <c r="J405" s="5" t="s">
        <v>457</v>
      </c>
      <c r="K405" s="7">
        <v>1113.118759712294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x14ac:dyDescent="0.25" r="406" customHeight="1" ht="12.75">
      <c r="A406" s="5" t="s">
        <v>691</v>
      </c>
      <c r="B406" s="6">
        <v>0.28085</v>
      </c>
      <c r="C406" s="3"/>
      <c r="D406" s="5" t="s">
        <v>692</v>
      </c>
      <c r="E406" s="6">
        <v>5.5</v>
      </c>
      <c r="F406" s="3"/>
      <c r="G406" s="5" t="s">
        <v>693</v>
      </c>
      <c r="H406" s="6">
        <v>194.31454630000002</v>
      </c>
      <c r="I406" s="3"/>
      <c r="J406" s="5" t="s">
        <v>198</v>
      </c>
      <c r="K406" s="7">
        <v>1102.6228514591298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x14ac:dyDescent="0.25" r="407" customHeight="1" ht="12.75">
      <c r="A407" s="5" t="s">
        <v>551</v>
      </c>
      <c r="B407" s="6">
        <v>0.28</v>
      </c>
      <c r="C407" s="3"/>
      <c r="D407" s="5" t="s">
        <v>516</v>
      </c>
      <c r="E407" s="6">
        <v>5.5</v>
      </c>
      <c r="F407" s="3"/>
      <c r="G407" s="5" t="s">
        <v>146</v>
      </c>
      <c r="H407" s="6">
        <v>194.23844695322325</v>
      </c>
      <c r="I407" s="3"/>
      <c r="J407" s="5" t="s">
        <v>581</v>
      </c>
      <c r="K407" s="7">
        <v>1098.8502077486999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x14ac:dyDescent="0.25" r="408" customHeight="1" ht="12.75">
      <c r="A408" s="5" t="s">
        <v>694</v>
      </c>
      <c r="B408" s="6">
        <v>0.27921759999999995</v>
      </c>
      <c r="C408" s="3"/>
      <c r="D408" s="5" t="s">
        <v>332</v>
      </c>
      <c r="E408" s="6">
        <v>5.48</v>
      </c>
      <c r="F408" s="3"/>
      <c r="G408" s="5" t="s">
        <v>695</v>
      </c>
      <c r="H408" s="6">
        <v>193.68102249999998</v>
      </c>
      <c r="I408" s="3"/>
      <c r="J408" s="5" t="s">
        <v>175</v>
      </c>
      <c r="K408" s="7">
        <v>1096.1271199999999</v>
      </c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x14ac:dyDescent="0.25" r="409" customHeight="1" ht="12.75">
      <c r="A409" s="5" t="s">
        <v>299</v>
      </c>
      <c r="B409" s="6">
        <v>0.278823382</v>
      </c>
      <c r="C409" s="3"/>
      <c r="D409" s="5" t="s">
        <v>146</v>
      </c>
      <c r="E409" s="6">
        <v>5.472389434803819</v>
      </c>
      <c r="F409" s="3"/>
      <c r="G409" s="5" t="s">
        <v>417</v>
      </c>
      <c r="H409" s="6">
        <v>192.7786855340836</v>
      </c>
      <c r="I409" s="3"/>
      <c r="J409" s="5" t="s">
        <v>488</v>
      </c>
      <c r="K409" s="7">
        <v>1091.7543922276222</v>
      </c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x14ac:dyDescent="0.25" r="410" customHeight="1" ht="12.75">
      <c r="A410" s="5" t="s">
        <v>424</v>
      </c>
      <c r="B410" s="6">
        <v>0.27599999999999997</v>
      </c>
      <c r="C410" s="3"/>
      <c r="D410" s="5" t="s">
        <v>523</v>
      </c>
      <c r="E410" s="6">
        <v>5.47</v>
      </c>
      <c r="F410" s="3"/>
      <c r="G410" s="5" t="s">
        <v>350</v>
      </c>
      <c r="H410" s="6">
        <v>192.6952131577492</v>
      </c>
      <c r="I410" s="3"/>
      <c r="J410" s="5" t="s">
        <v>664</v>
      </c>
      <c r="K410" s="7">
        <v>1089.6018958374405</v>
      </c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x14ac:dyDescent="0.25" r="411" customHeight="1" ht="12.75">
      <c r="A411" s="5" t="s">
        <v>275</v>
      </c>
      <c r="B411" s="6">
        <v>0.27442338</v>
      </c>
      <c r="C411" s="3"/>
      <c r="D411" s="5" t="s">
        <v>696</v>
      </c>
      <c r="E411" s="6">
        <v>5.423036971830985</v>
      </c>
      <c r="F411" s="3"/>
      <c r="G411" s="5" t="s">
        <v>689</v>
      </c>
      <c r="H411" s="6">
        <v>192.12855063987138</v>
      </c>
      <c r="I411" s="3"/>
      <c r="J411" s="5" t="s">
        <v>697</v>
      </c>
      <c r="K411" s="7">
        <v>1080.0330683001273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x14ac:dyDescent="0.25" r="412" customHeight="1" ht="12.75">
      <c r="A412" s="5" t="s">
        <v>672</v>
      </c>
      <c r="B412" s="6">
        <v>0.26749999999999996</v>
      </c>
      <c r="C412" s="3"/>
      <c r="D412" s="5" t="s">
        <v>264</v>
      </c>
      <c r="E412" s="6">
        <v>5.4093554302225435</v>
      </c>
      <c r="F412" s="3"/>
      <c r="G412" s="5" t="s">
        <v>528</v>
      </c>
      <c r="H412" s="6">
        <v>191.67140772760956</v>
      </c>
      <c r="I412" s="3"/>
      <c r="J412" s="5" t="s">
        <v>682</v>
      </c>
      <c r="K412" s="7">
        <v>1074.66014231688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x14ac:dyDescent="0.25" r="413" customHeight="1" ht="12.75">
      <c r="A413" s="5" t="s">
        <v>665</v>
      </c>
      <c r="B413" s="6">
        <v>0.2638276</v>
      </c>
      <c r="C413" s="3"/>
      <c r="D413" s="5" t="s">
        <v>189</v>
      </c>
      <c r="E413" s="6">
        <v>5.40469517516519</v>
      </c>
      <c r="F413" s="3"/>
      <c r="G413" s="5" t="s">
        <v>391</v>
      </c>
      <c r="H413" s="6">
        <v>191.57974</v>
      </c>
      <c r="I413" s="3"/>
      <c r="J413" s="5" t="s">
        <v>498</v>
      </c>
      <c r="K413" s="7">
        <v>1071.1093192000003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x14ac:dyDescent="0.25" r="414" customHeight="1" ht="12.75">
      <c r="A414" s="5" t="s">
        <v>678</v>
      </c>
      <c r="B414" s="6">
        <v>0.26208000000000004</v>
      </c>
      <c r="C414" s="3"/>
      <c r="D414" s="5" t="s">
        <v>541</v>
      </c>
      <c r="E414" s="6">
        <v>5.4</v>
      </c>
      <c r="F414" s="3"/>
      <c r="G414" s="5" t="s">
        <v>460</v>
      </c>
      <c r="H414" s="6">
        <v>191.38681759740783</v>
      </c>
      <c r="I414" s="3"/>
      <c r="J414" s="5" t="s">
        <v>587</v>
      </c>
      <c r="K414" s="7">
        <v>1067.322543918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x14ac:dyDescent="0.25" r="415" customHeight="1" ht="12.75">
      <c r="A415" s="5" t="s">
        <v>397</v>
      </c>
      <c r="B415" s="6">
        <v>0.261711152343798</v>
      </c>
      <c r="C415" s="3"/>
      <c r="D415" s="5" t="s">
        <v>698</v>
      </c>
      <c r="E415" s="6">
        <v>5.4</v>
      </c>
      <c r="F415" s="3"/>
      <c r="G415" s="5" t="s">
        <v>393</v>
      </c>
      <c r="H415" s="6">
        <v>191.30416499999998</v>
      </c>
      <c r="I415" s="3"/>
      <c r="J415" s="5" t="s">
        <v>407</v>
      </c>
      <c r="K415" s="7">
        <v>1062.7161704771702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x14ac:dyDescent="0.25" r="416" customHeight="1" ht="12.75">
      <c r="A416" s="5" t="s">
        <v>699</v>
      </c>
      <c r="B416" s="6">
        <v>0.261</v>
      </c>
      <c r="C416" s="3"/>
      <c r="D416" s="5" t="s">
        <v>494</v>
      </c>
      <c r="E416" s="6">
        <v>5.397183426782203</v>
      </c>
      <c r="F416" s="3"/>
      <c r="G416" s="5" t="s">
        <v>650</v>
      </c>
      <c r="H416" s="6">
        <v>191.13297798424438</v>
      </c>
      <c r="I416" s="3"/>
      <c r="J416" s="5" t="s">
        <v>654</v>
      </c>
      <c r="K416" s="7">
        <v>1060.8223056584247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x14ac:dyDescent="0.25" r="417" customHeight="1" ht="12.75">
      <c r="A417" s="5" t="s">
        <v>700</v>
      </c>
      <c r="B417" s="6">
        <v>0.26085</v>
      </c>
      <c r="C417" s="3"/>
      <c r="D417" s="5" t="s">
        <v>295</v>
      </c>
      <c r="E417" s="6">
        <v>5.386694987255735</v>
      </c>
      <c r="F417" s="3"/>
      <c r="G417" s="5" t="s">
        <v>701</v>
      </c>
      <c r="H417" s="6">
        <v>191.0099123070931</v>
      </c>
      <c r="I417" s="3"/>
      <c r="J417" s="5" t="s">
        <v>367</v>
      </c>
      <c r="K417" s="7">
        <v>1052.7065053294423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x14ac:dyDescent="0.25" r="418" customHeight="1" ht="12.75">
      <c r="A418" s="5" t="s">
        <v>702</v>
      </c>
      <c r="B418" s="6">
        <v>0.26</v>
      </c>
      <c r="C418" s="3"/>
      <c r="D418" s="5" t="s">
        <v>511</v>
      </c>
      <c r="E418" s="6">
        <v>5.38</v>
      </c>
      <c r="F418" s="3"/>
      <c r="G418" s="5" t="s">
        <v>462</v>
      </c>
      <c r="H418" s="6">
        <v>190.45880048553053</v>
      </c>
      <c r="I418" s="3"/>
      <c r="J418" s="5" t="s">
        <v>195</v>
      </c>
      <c r="K418" s="7">
        <v>1043.6789651263023</v>
      </c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x14ac:dyDescent="0.25" r="419" customHeight="1" ht="12.75">
      <c r="A419" s="5" t="s">
        <v>660</v>
      </c>
      <c r="B419" s="6">
        <v>0.26</v>
      </c>
      <c r="C419" s="3"/>
      <c r="D419" s="5" t="s">
        <v>484</v>
      </c>
      <c r="E419" s="6">
        <v>5.346933797909408</v>
      </c>
      <c r="F419" s="3"/>
      <c r="G419" s="5" t="s">
        <v>451</v>
      </c>
      <c r="H419" s="6">
        <v>190.01983311750251</v>
      </c>
      <c r="I419" s="3"/>
      <c r="J419" s="5" t="s">
        <v>642</v>
      </c>
      <c r="K419" s="7">
        <v>1030.3422652680772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x14ac:dyDescent="0.25" r="420" customHeight="1" ht="12.75">
      <c r="A420" s="5" t="s">
        <v>703</v>
      </c>
      <c r="B420" s="6">
        <v>0.25970000000000004</v>
      </c>
      <c r="C420" s="3"/>
      <c r="D420" s="5" t="s">
        <v>536</v>
      </c>
      <c r="E420" s="6">
        <v>5.34</v>
      </c>
      <c r="F420" s="3"/>
      <c r="G420" s="5" t="s">
        <v>478</v>
      </c>
      <c r="H420" s="6">
        <v>189.99353029999997</v>
      </c>
      <c r="I420" s="3"/>
      <c r="J420" s="5" t="s">
        <v>623</v>
      </c>
      <c r="K420" s="7">
        <v>1025.1282492601285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x14ac:dyDescent="0.25" r="421" customHeight="1" ht="12.75">
      <c r="A421" s="5" t="s">
        <v>613</v>
      </c>
      <c r="B421" s="6">
        <v>0.2594614072</v>
      </c>
      <c r="C421" s="3"/>
      <c r="D421" s="5" t="s">
        <v>464</v>
      </c>
      <c r="E421" s="6">
        <v>5.327898140662894</v>
      </c>
      <c r="F421" s="3"/>
      <c r="G421" s="5" t="s">
        <v>563</v>
      </c>
      <c r="H421" s="6">
        <v>189.95952862090033</v>
      </c>
      <c r="I421" s="3"/>
      <c r="J421" s="5" t="s">
        <v>113</v>
      </c>
      <c r="K421" s="7">
        <v>1007.7379155431272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x14ac:dyDescent="0.25" r="422" customHeight="1" ht="12.75">
      <c r="A422" s="5" t="s">
        <v>567</v>
      </c>
      <c r="B422" s="6">
        <v>0.259403136</v>
      </c>
      <c r="C422" s="3"/>
      <c r="D422" s="5" t="s">
        <v>565</v>
      </c>
      <c r="E422" s="6">
        <v>5.315623614190686</v>
      </c>
      <c r="F422" s="3"/>
      <c r="G422" s="5" t="s">
        <v>704</v>
      </c>
      <c r="H422" s="6">
        <v>189.59717420427936</v>
      </c>
      <c r="I422" s="3"/>
      <c r="J422" s="5" t="s">
        <v>392</v>
      </c>
      <c r="K422" s="7">
        <v>994.4226033154185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x14ac:dyDescent="0.25" r="423" customHeight="1" ht="12.75">
      <c r="A423" s="5" t="s">
        <v>374</v>
      </c>
      <c r="B423" s="6">
        <v>0.25595999999999997</v>
      </c>
      <c r="C423" s="3"/>
      <c r="D423" s="5" t="s">
        <v>127</v>
      </c>
      <c r="E423" s="6">
        <v>5.3</v>
      </c>
      <c r="F423" s="3"/>
      <c r="G423" s="5" t="s">
        <v>654</v>
      </c>
      <c r="H423" s="6">
        <v>189.43255458186152</v>
      </c>
      <c r="I423" s="3"/>
      <c r="J423" s="5" t="s">
        <v>671</v>
      </c>
      <c r="K423" s="7">
        <v>982.2043956186751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x14ac:dyDescent="0.25" r="424" customHeight="1" ht="12.75">
      <c r="A424" s="5" t="s">
        <v>279</v>
      </c>
      <c r="B424" s="6">
        <v>0.25558400000000003</v>
      </c>
      <c r="C424" s="3"/>
      <c r="D424" s="5" t="s">
        <v>651</v>
      </c>
      <c r="E424" s="6">
        <v>5.3</v>
      </c>
      <c r="F424" s="3"/>
      <c r="G424" s="5" t="s">
        <v>472</v>
      </c>
      <c r="H424" s="6">
        <v>187.78283530546622</v>
      </c>
      <c r="I424" s="3"/>
      <c r="J424" s="5" t="s">
        <v>701</v>
      </c>
      <c r="K424" s="7">
        <v>960.5142787226065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x14ac:dyDescent="0.25" r="425" customHeight="1" ht="12.75">
      <c r="A425" s="5" t="s">
        <v>705</v>
      </c>
      <c r="B425" s="6">
        <v>0.2552</v>
      </c>
      <c r="C425" s="3"/>
      <c r="D425" s="5" t="s">
        <v>341</v>
      </c>
      <c r="E425" s="6">
        <v>5.283590733590733</v>
      </c>
      <c r="F425" s="3"/>
      <c r="G425" s="5" t="s">
        <v>372</v>
      </c>
      <c r="H425" s="6">
        <v>187.00519500000001</v>
      </c>
      <c r="I425" s="3"/>
      <c r="J425" s="5" t="s">
        <v>706</v>
      </c>
      <c r="K425" s="7">
        <v>958.8759032681673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x14ac:dyDescent="0.25" r="426" customHeight="1" ht="12.75">
      <c r="A426" s="5" t="s">
        <v>315</v>
      </c>
      <c r="B426" s="6">
        <v>0.2517908</v>
      </c>
      <c r="C426" s="3"/>
      <c r="D426" s="5" t="s">
        <v>318</v>
      </c>
      <c r="E426" s="6">
        <v>5.279675392670157</v>
      </c>
      <c r="F426" s="3"/>
      <c r="G426" s="5" t="s">
        <v>537</v>
      </c>
      <c r="H426" s="6">
        <v>186.5330855369775</v>
      </c>
      <c r="I426" s="3"/>
      <c r="J426" s="5" t="s">
        <v>41</v>
      </c>
      <c r="K426" s="7">
        <v>955.4736399999999</v>
      </c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x14ac:dyDescent="0.25" r="427" customHeight="1" ht="12.75">
      <c r="A427" s="5" t="s">
        <v>568</v>
      </c>
      <c r="B427" s="6">
        <v>0.2484</v>
      </c>
      <c r="C427" s="3"/>
      <c r="D427" s="5" t="s">
        <v>580</v>
      </c>
      <c r="E427" s="6">
        <v>5.25714245330202</v>
      </c>
      <c r="F427" s="3"/>
      <c r="G427" s="5" t="s">
        <v>548</v>
      </c>
      <c r="H427" s="6">
        <v>186.03147438113157</v>
      </c>
      <c r="I427" s="3"/>
      <c r="J427" s="5" t="s">
        <v>435</v>
      </c>
      <c r="K427" s="7">
        <v>937.418806656509</v>
      </c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x14ac:dyDescent="0.25" r="428" customHeight="1" ht="12.75">
      <c r="A428" s="5" t="s">
        <v>417</v>
      </c>
      <c r="B428" s="6">
        <v>0.24832210000000002</v>
      </c>
      <c r="C428" s="3"/>
      <c r="D428" s="5" t="s">
        <v>707</v>
      </c>
      <c r="E428" s="6">
        <v>5.25</v>
      </c>
      <c r="F428" s="3"/>
      <c r="G428" s="5" t="s">
        <v>483</v>
      </c>
      <c r="H428" s="6">
        <v>185.04084586495176</v>
      </c>
      <c r="I428" s="3"/>
      <c r="J428" s="5" t="s">
        <v>506</v>
      </c>
      <c r="K428" s="7">
        <v>936.8078243021782</v>
      </c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x14ac:dyDescent="0.25" r="429" customHeight="1" ht="12.75">
      <c r="A429" s="5" t="s">
        <v>77</v>
      </c>
      <c r="B429" s="6">
        <v>0.24688828</v>
      </c>
      <c r="C429" s="3"/>
      <c r="D429" s="5" t="s">
        <v>215</v>
      </c>
      <c r="E429" s="6">
        <v>5.2</v>
      </c>
      <c r="F429" s="3"/>
      <c r="G429" s="5" t="s">
        <v>688</v>
      </c>
      <c r="H429" s="6">
        <v>184.79615836827932</v>
      </c>
      <c r="I429" s="3"/>
      <c r="J429" s="5" t="s">
        <v>708</v>
      </c>
      <c r="K429" s="7">
        <v>923.0862801295382</v>
      </c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x14ac:dyDescent="0.25" r="430" customHeight="1" ht="12.75">
      <c r="A430" s="5" t="s">
        <v>183</v>
      </c>
      <c r="B430" s="6">
        <v>0.24479999999999996</v>
      </c>
      <c r="C430" s="3"/>
      <c r="D430" s="5" t="s">
        <v>459</v>
      </c>
      <c r="E430" s="6">
        <v>5.2</v>
      </c>
      <c r="F430" s="3"/>
      <c r="G430" s="5" t="s">
        <v>709</v>
      </c>
      <c r="H430" s="6">
        <v>183.8991844790997</v>
      </c>
      <c r="I430" s="3"/>
      <c r="J430" s="5" t="s">
        <v>710</v>
      </c>
      <c r="K430" s="7">
        <v>919.7616536661736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x14ac:dyDescent="0.25" r="431" customHeight="1" ht="12.75">
      <c r="A431" s="5" t="s">
        <v>390</v>
      </c>
      <c r="B431" s="6">
        <v>0.24390098700000007</v>
      </c>
      <c r="C431" s="3"/>
      <c r="D431" s="5" t="s">
        <v>633</v>
      </c>
      <c r="E431" s="6">
        <v>5.2</v>
      </c>
      <c r="F431" s="3"/>
      <c r="G431" s="5" t="s">
        <v>711</v>
      </c>
      <c r="H431" s="6">
        <v>183.65335110932477</v>
      </c>
      <c r="I431" s="3"/>
      <c r="J431" s="5" t="s">
        <v>712</v>
      </c>
      <c r="K431" s="7">
        <v>916.6518912104463</v>
      </c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x14ac:dyDescent="0.25" r="432" customHeight="1" ht="12.75">
      <c r="A432" s="5" t="s">
        <v>229</v>
      </c>
      <c r="B432" s="6">
        <v>0.2399935</v>
      </c>
      <c r="C432" s="3"/>
      <c r="D432" s="5" t="s">
        <v>713</v>
      </c>
      <c r="E432" s="6">
        <v>5.199999999999999</v>
      </c>
      <c r="F432" s="3"/>
      <c r="G432" s="5" t="s">
        <v>714</v>
      </c>
      <c r="H432" s="6">
        <v>182.77073622090035</v>
      </c>
      <c r="I432" s="3"/>
      <c r="J432" s="5" t="s">
        <v>468</v>
      </c>
      <c r="K432" s="7">
        <v>902.6620963440513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x14ac:dyDescent="0.25" r="433" customHeight="1" ht="12.75">
      <c r="A433" s="5" t="s">
        <v>715</v>
      </c>
      <c r="B433" s="6">
        <v>0.2394</v>
      </c>
      <c r="C433" s="3"/>
      <c r="D433" s="5" t="s">
        <v>285</v>
      </c>
      <c r="E433" s="6">
        <v>5.17</v>
      </c>
      <c r="F433" s="3"/>
      <c r="G433" s="5" t="s">
        <v>260</v>
      </c>
      <c r="H433" s="6">
        <v>182.6934836746043</v>
      </c>
      <c r="I433" s="3"/>
      <c r="J433" s="5" t="s">
        <v>397</v>
      </c>
      <c r="K433" s="7">
        <v>898.1533449402051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x14ac:dyDescent="0.25" r="434" customHeight="1" ht="12.75">
      <c r="A434" s="5" t="s">
        <v>550</v>
      </c>
      <c r="B434" s="6">
        <v>0.23828000000000002</v>
      </c>
      <c r="C434" s="3"/>
      <c r="D434" s="5" t="s">
        <v>594</v>
      </c>
      <c r="E434" s="6">
        <v>5.155421888053466</v>
      </c>
      <c r="F434" s="3"/>
      <c r="G434" s="5" t="s">
        <v>716</v>
      </c>
      <c r="H434" s="6">
        <v>182.32042</v>
      </c>
      <c r="I434" s="3"/>
      <c r="J434" s="5" t="s">
        <v>694</v>
      </c>
      <c r="K434" s="7">
        <v>893.0445585172503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x14ac:dyDescent="0.25" r="435" customHeight="1" ht="12.75">
      <c r="A435" s="5" t="s">
        <v>717</v>
      </c>
      <c r="B435" s="6">
        <v>0.23641</v>
      </c>
      <c r="C435" s="3"/>
      <c r="D435" s="5" t="s">
        <v>704</v>
      </c>
      <c r="E435" s="6">
        <v>5.154300791556729</v>
      </c>
      <c r="F435" s="3"/>
      <c r="G435" s="5" t="s">
        <v>586</v>
      </c>
      <c r="H435" s="6">
        <v>182.27065404788374</v>
      </c>
      <c r="I435" s="3"/>
      <c r="J435" s="5" t="s">
        <v>469</v>
      </c>
      <c r="K435" s="7">
        <v>891.0219104354982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x14ac:dyDescent="0.25" r="436" customHeight="1" ht="12.75">
      <c r="A436" s="5" t="s">
        <v>425</v>
      </c>
      <c r="B436" s="6">
        <v>0.235688</v>
      </c>
      <c r="C436" s="3"/>
      <c r="D436" s="5" t="s">
        <v>718</v>
      </c>
      <c r="E436" s="6">
        <v>5.15</v>
      </c>
      <c r="F436" s="3"/>
      <c r="G436" s="5" t="s">
        <v>626</v>
      </c>
      <c r="H436" s="6">
        <v>182.05586570739547</v>
      </c>
      <c r="I436" s="3"/>
      <c r="J436" s="5" t="s">
        <v>719</v>
      </c>
      <c r="K436" s="7">
        <v>888.3703473795498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x14ac:dyDescent="0.25" r="437" customHeight="1" ht="12.75">
      <c r="A437" s="5" t="s">
        <v>334</v>
      </c>
      <c r="B437" s="6">
        <v>0.23532499999999998</v>
      </c>
      <c r="C437" s="3"/>
      <c r="D437" s="5" t="s">
        <v>355</v>
      </c>
      <c r="E437" s="6">
        <v>5.14</v>
      </c>
      <c r="F437" s="3"/>
      <c r="G437" s="5" t="s">
        <v>303</v>
      </c>
      <c r="H437" s="6">
        <v>181.771694935269</v>
      </c>
      <c r="I437" s="3"/>
      <c r="J437" s="5" t="s">
        <v>61</v>
      </c>
      <c r="K437" s="7">
        <v>882.9422999999999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x14ac:dyDescent="0.25" r="438" customHeight="1" ht="12.75">
      <c r="A438" s="5" t="s">
        <v>443</v>
      </c>
      <c r="B438" s="6">
        <v>0.232407</v>
      </c>
      <c r="C438" s="3"/>
      <c r="D438" s="5" t="s">
        <v>321</v>
      </c>
      <c r="E438" s="6">
        <v>5.134003407155025</v>
      </c>
      <c r="F438" s="3"/>
      <c r="G438" s="5" t="s">
        <v>616</v>
      </c>
      <c r="H438" s="6">
        <v>181.55092251446945</v>
      </c>
      <c r="I438" s="3"/>
      <c r="J438" s="5" t="s">
        <v>720</v>
      </c>
      <c r="K438" s="7">
        <v>879.800735519327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x14ac:dyDescent="0.25" r="439" customHeight="1" ht="12.75">
      <c r="A439" s="5" t="s">
        <v>721</v>
      </c>
      <c r="B439" s="6">
        <v>0.22627310600000014</v>
      </c>
      <c r="C439" s="3"/>
      <c r="D439" s="5" t="s">
        <v>177</v>
      </c>
      <c r="E439" s="6">
        <v>5.123983213848574</v>
      </c>
      <c r="F439" s="3"/>
      <c r="G439" s="5" t="s">
        <v>722</v>
      </c>
      <c r="H439" s="6">
        <v>181.53999159999998</v>
      </c>
      <c r="I439" s="3"/>
      <c r="J439" s="5" t="s">
        <v>548</v>
      </c>
      <c r="K439" s="7">
        <v>874.3479295913185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x14ac:dyDescent="0.25" r="440" customHeight="1" ht="12.75">
      <c r="A440" s="5" t="s">
        <v>723</v>
      </c>
      <c r="B440" s="6">
        <v>0.22559999999999997</v>
      </c>
      <c r="C440" s="3"/>
      <c r="D440" s="5" t="s">
        <v>635</v>
      </c>
      <c r="E440" s="6">
        <v>5.12</v>
      </c>
      <c r="F440" s="3"/>
      <c r="G440" s="5" t="s">
        <v>324</v>
      </c>
      <c r="H440" s="6">
        <v>181.21812</v>
      </c>
      <c r="I440" s="3"/>
      <c r="J440" s="5" t="s">
        <v>102</v>
      </c>
      <c r="K440" s="7">
        <v>870.5611388932412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x14ac:dyDescent="0.25" r="441" customHeight="1" ht="12.75">
      <c r="A441" s="5" t="s">
        <v>64</v>
      </c>
      <c r="B441" s="6">
        <v>0.2233</v>
      </c>
      <c r="C441" s="3"/>
      <c r="D441" s="5" t="s">
        <v>520</v>
      </c>
      <c r="E441" s="6">
        <v>5.1</v>
      </c>
      <c r="F441" s="3"/>
      <c r="G441" s="5" t="s">
        <v>416</v>
      </c>
      <c r="H441" s="6">
        <v>180.39580420000001</v>
      </c>
      <c r="I441" s="3"/>
      <c r="J441" s="5" t="s">
        <v>615</v>
      </c>
      <c r="K441" s="7">
        <v>870.4300926999998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x14ac:dyDescent="0.25" r="442" customHeight="1" ht="12.75">
      <c r="A442" s="5" t="s">
        <v>517</v>
      </c>
      <c r="B442" s="6">
        <v>0.22233528000000002</v>
      </c>
      <c r="C442" s="3"/>
      <c r="D442" s="5" t="s">
        <v>35</v>
      </c>
      <c r="E442" s="6">
        <v>5.1</v>
      </c>
      <c r="F442" s="3"/>
      <c r="G442" s="5" t="s">
        <v>368</v>
      </c>
      <c r="H442" s="6">
        <v>180.35103552889916</v>
      </c>
      <c r="I442" s="3"/>
      <c r="J442" s="5" t="s">
        <v>625</v>
      </c>
      <c r="K442" s="7">
        <v>865.9456882824999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x14ac:dyDescent="0.25" r="443" customHeight="1" ht="12.75">
      <c r="A443" s="5" t="s">
        <v>628</v>
      </c>
      <c r="B443" s="6">
        <v>0.2223172</v>
      </c>
      <c r="C443" s="3"/>
      <c r="D443" s="5" t="s">
        <v>223</v>
      </c>
      <c r="E443" s="6">
        <v>5.09258064516129</v>
      </c>
      <c r="F443" s="3"/>
      <c r="G443" s="5" t="s">
        <v>558</v>
      </c>
      <c r="H443" s="6">
        <v>180.34713371673712</v>
      </c>
      <c r="I443" s="3"/>
      <c r="J443" s="5" t="s">
        <v>661</v>
      </c>
      <c r="K443" s="7">
        <v>863.7645616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x14ac:dyDescent="0.25" r="444" customHeight="1" ht="12.75">
      <c r="A444" s="5" t="s">
        <v>724</v>
      </c>
      <c r="B444" s="6">
        <v>0.22156260000000003</v>
      </c>
      <c r="C444" s="3"/>
      <c r="D444" s="5" t="s">
        <v>40</v>
      </c>
      <c r="E444" s="6">
        <v>5.09</v>
      </c>
      <c r="F444" s="3"/>
      <c r="G444" s="5" t="s">
        <v>228</v>
      </c>
      <c r="H444" s="6">
        <v>180.3256745378788</v>
      </c>
      <c r="I444" s="3"/>
      <c r="J444" s="5" t="s">
        <v>633</v>
      </c>
      <c r="K444" s="7">
        <v>859.2781236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x14ac:dyDescent="0.25" r="445" customHeight="1" ht="12.75">
      <c r="A445" s="5" t="s">
        <v>669</v>
      </c>
      <c r="B445" s="6">
        <v>0.22049400000000002</v>
      </c>
      <c r="C445" s="3"/>
      <c r="D445" s="5" t="s">
        <v>165</v>
      </c>
      <c r="E445" s="6">
        <v>5.09</v>
      </c>
      <c r="F445" s="3"/>
      <c r="G445" s="5" t="s">
        <v>491</v>
      </c>
      <c r="H445" s="6">
        <v>179.75580248038585</v>
      </c>
      <c r="I445" s="3"/>
      <c r="J445" s="5" t="s">
        <v>486</v>
      </c>
      <c r="K445" s="7">
        <v>859.1109331477295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x14ac:dyDescent="0.25" r="446" customHeight="1" ht="12.75">
      <c r="A446" s="5" t="s">
        <v>725</v>
      </c>
      <c r="B446" s="6">
        <v>0.2201</v>
      </c>
      <c r="C446" s="3"/>
      <c r="D446" s="5" t="s">
        <v>250</v>
      </c>
      <c r="E446" s="6">
        <v>5.04</v>
      </c>
      <c r="F446" s="3"/>
      <c r="G446" s="5" t="s">
        <v>413</v>
      </c>
      <c r="H446" s="6">
        <v>179.5183282450016</v>
      </c>
      <c r="I446" s="3"/>
      <c r="J446" s="5" t="s">
        <v>635</v>
      </c>
      <c r="K446" s="7">
        <v>855.1865034244244</v>
      </c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x14ac:dyDescent="0.25" r="447" customHeight="1" ht="12.75">
      <c r="A447" s="5" t="s">
        <v>15</v>
      </c>
      <c r="B447" s="6">
        <v>0.21930399999999997</v>
      </c>
      <c r="C447" s="3"/>
      <c r="D447" s="5" t="s">
        <v>717</v>
      </c>
      <c r="E447" s="6">
        <v>5.03</v>
      </c>
      <c r="F447" s="3"/>
      <c r="G447" s="5" t="s">
        <v>419</v>
      </c>
      <c r="H447" s="6">
        <v>179.24007840000002</v>
      </c>
      <c r="I447" s="3"/>
      <c r="J447" s="5" t="s">
        <v>636</v>
      </c>
      <c r="K447" s="7">
        <v>844.7386102319999</v>
      </c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x14ac:dyDescent="0.25" r="448" customHeight="1" ht="12.75">
      <c r="A448" s="5" t="s">
        <v>676</v>
      </c>
      <c r="B448" s="6">
        <v>0.218999368224</v>
      </c>
      <c r="C448" s="3"/>
      <c r="D448" s="5" t="s">
        <v>564</v>
      </c>
      <c r="E448" s="6">
        <v>5.02</v>
      </c>
      <c r="F448" s="3"/>
      <c r="G448" s="5" t="s">
        <v>434</v>
      </c>
      <c r="H448" s="6">
        <v>179.101704</v>
      </c>
      <c r="I448" s="3"/>
      <c r="J448" s="5" t="s">
        <v>651</v>
      </c>
      <c r="K448" s="7">
        <v>843.4722182829582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x14ac:dyDescent="0.25" r="449" customHeight="1" ht="12.75">
      <c r="A449" s="5" t="s">
        <v>469</v>
      </c>
      <c r="B449" s="6">
        <v>0.21896</v>
      </c>
      <c r="C449" s="3"/>
      <c r="D449" s="5" t="s">
        <v>203</v>
      </c>
      <c r="E449" s="6">
        <v>5</v>
      </c>
      <c r="F449" s="3"/>
      <c r="G449" s="5" t="s">
        <v>552</v>
      </c>
      <c r="H449" s="6">
        <v>179.0758713665595</v>
      </c>
      <c r="I449" s="3"/>
      <c r="J449" s="5" t="s">
        <v>723</v>
      </c>
      <c r="K449" s="7">
        <v>832.9035315819934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x14ac:dyDescent="0.25" r="450" customHeight="1" ht="12.75">
      <c r="A450" s="5" t="s">
        <v>113</v>
      </c>
      <c r="B450" s="6">
        <v>0.2177903</v>
      </c>
      <c r="C450" s="3"/>
      <c r="D450" s="5" t="s">
        <v>431</v>
      </c>
      <c r="E450" s="6">
        <v>5</v>
      </c>
      <c r="F450" s="3"/>
      <c r="G450" s="5" t="s">
        <v>726</v>
      </c>
      <c r="H450" s="6">
        <v>178.49391014469455</v>
      </c>
      <c r="I450" s="3"/>
      <c r="J450" s="5" t="s">
        <v>229</v>
      </c>
      <c r="K450" s="7">
        <v>828.1838484827524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x14ac:dyDescent="0.25" r="451" customHeight="1" ht="12.75">
      <c r="A451" s="5" t="s">
        <v>38</v>
      </c>
      <c r="B451" s="6">
        <v>0.21688</v>
      </c>
      <c r="C451" s="3"/>
      <c r="D451" s="5" t="s">
        <v>631</v>
      </c>
      <c r="E451" s="6">
        <v>5</v>
      </c>
      <c r="F451" s="3"/>
      <c r="G451" s="5" t="s">
        <v>727</v>
      </c>
      <c r="H451" s="6">
        <v>178.38716020221517</v>
      </c>
      <c r="I451" s="3"/>
      <c r="J451" s="5" t="s">
        <v>279</v>
      </c>
      <c r="K451" s="7">
        <v>828.080467939611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x14ac:dyDescent="0.25" r="452" customHeight="1" ht="12.75">
      <c r="A452" s="5" t="s">
        <v>308</v>
      </c>
      <c r="B452" s="6">
        <v>0.21230090000000001</v>
      </c>
      <c r="C452" s="3"/>
      <c r="D452" s="5" t="s">
        <v>585</v>
      </c>
      <c r="E452" s="6">
        <v>5</v>
      </c>
      <c r="F452" s="3"/>
      <c r="G452" s="5" t="s">
        <v>728</v>
      </c>
      <c r="H452" s="6">
        <v>178.26893298874597</v>
      </c>
      <c r="I452" s="3"/>
      <c r="J452" s="5" t="s">
        <v>729</v>
      </c>
      <c r="K452" s="7">
        <v>816.6423052128313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x14ac:dyDescent="0.25" r="453" customHeight="1" ht="12.75">
      <c r="A453" s="5" t="s">
        <v>730</v>
      </c>
      <c r="B453" s="6">
        <v>0.21187799999999998</v>
      </c>
      <c r="C453" s="3"/>
      <c r="D453" s="5" t="s">
        <v>152</v>
      </c>
      <c r="E453" s="6">
        <v>5</v>
      </c>
      <c r="F453" s="3"/>
      <c r="G453" s="5" t="s">
        <v>629</v>
      </c>
      <c r="H453" s="6">
        <v>178.13658018739278</v>
      </c>
      <c r="I453" s="3"/>
      <c r="J453" s="5" t="s">
        <v>658</v>
      </c>
      <c r="K453" s="7">
        <v>815.7816726528617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x14ac:dyDescent="0.25" r="454" customHeight="1" ht="12.75">
      <c r="A454" s="5" t="s">
        <v>638</v>
      </c>
      <c r="B454" s="6">
        <v>0.2075</v>
      </c>
      <c r="C454" s="3"/>
      <c r="D454" s="5" t="s">
        <v>731</v>
      </c>
      <c r="E454" s="6">
        <v>5</v>
      </c>
      <c r="F454" s="3"/>
      <c r="G454" s="5" t="s">
        <v>535</v>
      </c>
      <c r="H454" s="6">
        <v>177.92716314793697</v>
      </c>
      <c r="I454" s="3"/>
      <c r="J454" s="5" t="s">
        <v>353</v>
      </c>
      <c r="K454" s="7">
        <v>806.856095726045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x14ac:dyDescent="0.25" r="455" customHeight="1" ht="12.75">
      <c r="A455" s="5" t="s">
        <v>710</v>
      </c>
      <c r="B455" s="6">
        <v>0.205822</v>
      </c>
      <c r="C455" s="3"/>
      <c r="D455" s="5" t="s">
        <v>180</v>
      </c>
      <c r="E455" s="6">
        <v>5</v>
      </c>
      <c r="F455" s="3"/>
      <c r="G455" s="5" t="s">
        <v>55</v>
      </c>
      <c r="H455" s="6">
        <v>177.68728954951644</v>
      </c>
      <c r="I455" s="3"/>
      <c r="J455" s="5" t="s">
        <v>348</v>
      </c>
      <c r="K455" s="7">
        <v>799.5307964301735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x14ac:dyDescent="0.25" r="456" customHeight="1" ht="12.75">
      <c r="A456" s="5" t="s">
        <v>697</v>
      </c>
      <c r="B456" s="6">
        <v>0.20508559999999998</v>
      </c>
      <c r="C456" s="3"/>
      <c r="D456" s="5" t="s">
        <v>322</v>
      </c>
      <c r="E456" s="6">
        <v>4.984161814896607</v>
      </c>
      <c r="F456" s="3"/>
      <c r="G456" s="5" t="s">
        <v>406</v>
      </c>
      <c r="H456" s="6">
        <v>177.4163111688759</v>
      </c>
      <c r="I456" s="3"/>
      <c r="J456" s="5" t="s">
        <v>618</v>
      </c>
      <c r="K456" s="7">
        <v>790.8689217996784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x14ac:dyDescent="0.25" r="457" customHeight="1" ht="12.75">
      <c r="A457" s="5" t="s">
        <v>125</v>
      </c>
      <c r="B457" s="6">
        <v>0.204633</v>
      </c>
      <c r="C457" s="3"/>
      <c r="D457" s="5" t="s">
        <v>500</v>
      </c>
      <c r="E457" s="6">
        <v>4.98</v>
      </c>
      <c r="F457" s="3"/>
      <c r="G457" s="5" t="s">
        <v>628</v>
      </c>
      <c r="H457" s="6">
        <v>177.178628415605</v>
      </c>
      <c r="I457" s="3"/>
      <c r="J457" s="5" t="s">
        <v>656</v>
      </c>
      <c r="K457" s="7">
        <v>789.69896346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x14ac:dyDescent="0.25" r="458" customHeight="1" ht="12.75">
      <c r="A458" s="5" t="s">
        <v>732</v>
      </c>
      <c r="B458" s="6">
        <v>0.204</v>
      </c>
      <c r="C458" s="3"/>
      <c r="D458" s="5" t="s">
        <v>724</v>
      </c>
      <c r="E458" s="6">
        <v>4.970000000000001</v>
      </c>
      <c r="F458" s="3"/>
      <c r="G458" s="5" t="s">
        <v>465</v>
      </c>
      <c r="H458" s="6">
        <v>177.02097051446947</v>
      </c>
      <c r="I458" s="3"/>
      <c r="J458" s="5" t="s">
        <v>559</v>
      </c>
      <c r="K458" s="7">
        <v>783.6584349872348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x14ac:dyDescent="0.25" r="459" customHeight="1" ht="12.75">
      <c r="A459" s="5" t="s">
        <v>733</v>
      </c>
      <c r="B459" s="6">
        <v>0.20199999999999999</v>
      </c>
      <c r="C459" s="3"/>
      <c r="D459" s="5" t="s">
        <v>625</v>
      </c>
      <c r="E459" s="6">
        <v>4.944588793492995</v>
      </c>
      <c r="F459" s="3"/>
      <c r="G459" s="5" t="s">
        <v>269</v>
      </c>
      <c r="H459" s="6">
        <v>176.83554111086715</v>
      </c>
      <c r="I459" s="3"/>
      <c r="J459" s="5" t="s">
        <v>577</v>
      </c>
      <c r="K459" s="7">
        <v>782.6774150083602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x14ac:dyDescent="0.25" r="460" customHeight="1" ht="12.75">
      <c r="A460" s="5" t="s">
        <v>130</v>
      </c>
      <c r="B460" s="6">
        <v>0.20124</v>
      </c>
      <c r="C460" s="3"/>
      <c r="D460" s="5" t="s">
        <v>85</v>
      </c>
      <c r="E460" s="6">
        <v>4.915196606874613</v>
      </c>
      <c r="F460" s="3"/>
      <c r="G460" s="5" t="s">
        <v>265</v>
      </c>
      <c r="H460" s="6">
        <v>175.47464783843301</v>
      </c>
      <c r="I460" s="3"/>
      <c r="J460" s="5" t="s">
        <v>144</v>
      </c>
      <c r="K460" s="7">
        <v>773.935853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x14ac:dyDescent="0.25" r="461" customHeight="1" ht="12.75">
      <c r="A461" s="5" t="s">
        <v>383</v>
      </c>
      <c r="B461" s="6">
        <v>0.2011241528</v>
      </c>
      <c r="C461" s="3"/>
      <c r="D461" s="5" t="s">
        <v>205</v>
      </c>
      <c r="E461" s="6">
        <v>4.9</v>
      </c>
      <c r="F461" s="3"/>
      <c r="G461" s="5" t="s">
        <v>734</v>
      </c>
      <c r="H461" s="6">
        <v>175.34198590580718</v>
      </c>
      <c r="I461" s="3"/>
      <c r="J461" s="5" t="s">
        <v>724</v>
      </c>
      <c r="K461" s="7">
        <v>769.4548141294111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x14ac:dyDescent="0.25" r="462" customHeight="1" ht="12.75">
      <c r="A462" s="5" t="s">
        <v>618</v>
      </c>
      <c r="B462" s="6">
        <v>0.20053</v>
      </c>
      <c r="C462" s="3"/>
      <c r="D462" s="5" t="s">
        <v>703</v>
      </c>
      <c r="E462" s="6">
        <v>4.9</v>
      </c>
      <c r="F462" s="3"/>
      <c r="G462" s="5" t="s">
        <v>735</v>
      </c>
      <c r="H462" s="6">
        <v>175.19396576952226</v>
      </c>
      <c r="I462" s="3"/>
      <c r="J462" s="5" t="s">
        <v>659</v>
      </c>
      <c r="K462" s="7">
        <v>754.7320012739999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x14ac:dyDescent="0.25" r="463" customHeight="1" ht="12.75">
      <c r="A463" s="5" t="s">
        <v>637</v>
      </c>
      <c r="B463" s="6">
        <v>0.19833</v>
      </c>
      <c r="C463" s="3"/>
      <c r="D463" s="5" t="s">
        <v>736</v>
      </c>
      <c r="E463" s="6">
        <v>4.8999999999999995</v>
      </c>
      <c r="F463" s="3"/>
      <c r="G463" s="5" t="s">
        <v>621</v>
      </c>
      <c r="H463" s="6">
        <v>174.8760174051447</v>
      </c>
      <c r="I463" s="3"/>
      <c r="J463" s="5" t="s">
        <v>73</v>
      </c>
      <c r="K463" s="7">
        <v>752.5660970546625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x14ac:dyDescent="0.25" r="464" customHeight="1" ht="12.75">
      <c r="A464" s="5" t="s">
        <v>689</v>
      </c>
      <c r="B464" s="6">
        <v>0.198</v>
      </c>
      <c r="C464" s="3"/>
      <c r="D464" s="5" t="s">
        <v>267</v>
      </c>
      <c r="E464" s="6">
        <v>4.870194310700599</v>
      </c>
      <c r="F464" s="3"/>
      <c r="G464" s="5" t="s">
        <v>669</v>
      </c>
      <c r="H464" s="6">
        <v>174.79684223273804</v>
      </c>
      <c r="I464" s="3"/>
      <c r="J464" s="5" t="s">
        <v>43</v>
      </c>
      <c r="K464" s="7">
        <v>748.5057919999999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x14ac:dyDescent="0.25" r="465" customHeight="1" ht="12.75">
      <c r="A465" s="5" t="s">
        <v>392</v>
      </c>
      <c r="B465" s="6">
        <v>0.19738719999999998</v>
      </c>
      <c r="C465" s="3"/>
      <c r="D465" s="5" t="s">
        <v>674</v>
      </c>
      <c r="E465" s="6">
        <v>4.869999999999999</v>
      </c>
      <c r="F465" s="3"/>
      <c r="G465" s="5" t="s">
        <v>557</v>
      </c>
      <c r="H465" s="6">
        <v>174.66667136655948</v>
      </c>
      <c r="I465" s="3"/>
      <c r="J465" s="5" t="s">
        <v>737</v>
      </c>
      <c r="K465" s="7">
        <v>748.3405480280386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x14ac:dyDescent="0.25" r="466" customHeight="1" ht="12.75">
      <c r="A466" s="5" t="s">
        <v>729</v>
      </c>
      <c r="B466" s="6">
        <v>0.1968407</v>
      </c>
      <c r="C466" s="3"/>
      <c r="D466" s="5" t="s">
        <v>683</v>
      </c>
      <c r="E466" s="6">
        <v>4.868799110452187</v>
      </c>
      <c r="F466" s="3"/>
      <c r="G466" s="5" t="s">
        <v>291</v>
      </c>
      <c r="H466" s="6">
        <v>174.58521678906752</v>
      </c>
      <c r="I466" s="3"/>
      <c r="J466" s="5" t="s">
        <v>308</v>
      </c>
      <c r="K466" s="7">
        <v>741.8252652473445</v>
      </c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x14ac:dyDescent="0.25" r="467" customHeight="1" ht="12.75">
      <c r="A467" s="5" t="s">
        <v>504</v>
      </c>
      <c r="B467" s="6">
        <v>0.1964442</v>
      </c>
      <c r="C467" s="3"/>
      <c r="D467" s="5" t="s">
        <v>335</v>
      </c>
      <c r="E467" s="6">
        <v>4.859999999999999</v>
      </c>
      <c r="F467" s="3"/>
      <c r="G467" s="5" t="s">
        <v>718</v>
      </c>
      <c r="H467" s="6">
        <v>174.3832127935691</v>
      </c>
      <c r="I467" s="3"/>
      <c r="J467" s="5" t="s">
        <v>684</v>
      </c>
      <c r="K467" s="7">
        <v>725.1296839497612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x14ac:dyDescent="0.25" r="468" customHeight="1" ht="12.75">
      <c r="A468" s="5" t="s">
        <v>88</v>
      </c>
      <c r="B468" s="6">
        <v>0.1958</v>
      </c>
      <c r="C468" s="3"/>
      <c r="D468" s="5" t="s">
        <v>100</v>
      </c>
      <c r="E468" s="6">
        <v>4.8100000000000005</v>
      </c>
      <c r="F468" s="3"/>
      <c r="G468" s="5" t="s">
        <v>267</v>
      </c>
      <c r="H468" s="6">
        <v>174.2626751863988</v>
      </c>
      <c r="I468" s="3"/>
      <c r="J468" s="5" t="s">
        <v>704</v>
      </c>
      <c r="K468" s="7">
        <v>718.5732902342188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x14ac:dyDescent="0.25" r="469" customHeight="1" ht="12.75">
      <c r="A469" s="5" t="s">
        <v>704</v>
      </c>
      <c r="B469" s="6">
        <v>0.19534800000000002</v>
      </c>
      <c r="C469" s="3"/>
      <c r="D469" s="5" t="s">
        <v>738</v>
      </c>
      <c r="E469" s="6">
        <v>4.800000000000001</v>
      </c>
      <c r="F469" s="3"/>
      <c r="G469" s="5" t="s">
        <v>122</v>
      </c>
      <c r="H469" s="6">
        <v>173.95708919003215</v>
      </c>
      <c r="I469" s="3"/>
      <c r="J469" s="5" t="s">
        <v>715</v>
      </c>
      <c r="K469" s="7">
        <v>716.8576462987138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x14ac:dyDescent="0.25" r="470" customHeight="1" ht="12.75">
      <c r="A470" s="5" t="s">
        <v>598</v>
      </c>
      <c r="B470" s="6">
        <v>0.1945344</v>
      </c>
      <c r="C470" s="3"/>
      <c r="D470" s="5" t="s">
        <v>655</v>
      </c>
      <c r="E470" s="6">
        <v>4.8</v>
      </c>
      <c r="F470" s="3"/>
      <c r="G470" s="5" t="s">
        <v>475</v>
      </c>
      <c r="H470" s="6">
        <v>173.72248</v>
      </c>
      <c r="I470" s="3"/>
      <c r="J470" s="5" t="s">
        <v>663</v>
      </c>
      <c r="K470" s="7">
        <v>715.3772678</v>
      </c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x14ac:dyDescent="0.25" r="471" customHeight="1" ht="12.75">
      <c r="A471" s="5" t="s">
        <v>46</v>
      </c>
      <c r="B471" s="6">
        <v>0.1924956</v>
      </c>
      <c r="C471" s="3"/>
      <c r="D471" s="5" t="s">
        <v>343</v>
      </c>
      <c r="E471" s="6">
        <v>4.779292035398231</v>
      </c>
      <c r="F471" s="3"/>
      <c r="G471" s="5" t="s">
        <v>696</v>
      </c>
      <c r="H471" s="6">
        <v>173.6261007086358</v>
      </c>
      <c r="I471" s="3"/>
      <c r="J471" s="5" t="s">
        <v>167</v>
      </c>
      <c r="K471" s="7">
        <v>707.4648552218646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x14ac:dyDescent="0.25" r="472" customHeight="1" ht="12.75">
      <c r="A472" s="5" t="s">
        <v>720</v>
      </c>
      <c r="B472" s="6">
        <v>0.1924377</v>
      </c>
      <c r="C472" s="3"/>
      <c r="D472" s="5" t="s">
        <v>119</v>
      </c>
      <c r="E472" s="6">
        <v>4.772413793103449</v>
      </c>
      <c r="F472" s="3"/>
      <c r="G472" s="5" t="s">
        <v>116</v>
      </c>
      <c r="H472" s="6">
        <v>173.6162556959838</v>
      </c>
      <c r="I472" s="3"/>
      <c r="J472" s="5" t="s">
        <v>739</v>
      </c>
      <c r="K472" s="7">
        <v>703.559815322112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x14ac:dyDescent="0.25" r="473" customHeight="1" ht="12.75">
      <c r="A473" s="5" t="s">
        <v>493</v>
      </c>
      <c r="B473" s="6">
        <v>0.18947000000000003</v>
      </c>
      <c r="C473" s="3"/>
      <c r="D473" s="5" t="s">
        <v>280</v>
      </c>
      <c r="E473" s="6">
        <v>4.76</v>
      </c>
      <c r="F473" s="3"/>
      <c r="G473" s="5" t="s">
        <v>442</v>
      </c>
      <c r="H473" s="6">
        <v>173.52131025</v>
      </c>
      <c r="I473" s="3"/>
      <c r="J473" s="5" t="s">
        <v>402</v>
      </c>
      <c r="K473" s="7">
        <v>702.6080441390919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x14ac:dyDescent="0.25" r="474" customHeight="1" ht="12.75">
      <c r="A474" s="5" t="s">
        <v>195</v>
      </c>
      <c r="B474" s="6">
        <v>0.18675999999999998</v>
      </c>
      <c r="C474" s="3"/>
      <c r="D474" s="5" t="s">
        <v>740</v>
      </c>
      <c r="E474" s="6">
        <v>4.75</v>
      </c>
      <c r="F474" s="3"/>
      <c r="G474" s="5" t="s">
        <v>395</v>
      </c>
      <c r="H474" s="6">
        <v>173.39179</v>
      </c>
      <c r="I474" s="3"/>
      <c r="J474" s="5" t="s">
        <v>643</v>
      </c>
      <c r="K474" s="7">
        <v>696.8710985330895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x14ac:dyDescent="0.25" r="475" customHeight="1" ht="12.75">
      <c r="A475" s="5" t="s">
        <v>671</v>
      </c>
      <c r="B475" s="6">
        <v>0.18633600000000003</v>
      </c>
      <c r="C475" s="3"/>
      <c r="D475" s="5" t="s">
        <v>14</v>
      </c>
      <c r="E475" s="6">
        <v>4.732177263969171</v>
      </c>
      <c r="F475" s="3"/>
      <c r="G475" s="5" t="s">
        <v>503</v>
      </c>
      <c r="H475" s="6">
        <v>173.33786421607715</v>
      </c>
      <c r="I475" s="3"/>
      <c r="J475" s="5" t="s">
        <v>689</v>
      </c>
      <c r="K475" s="7">
        <v>691.662782303537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x14ac:dyDescent="0.25" r="476" customHeight="1" ht="12.75">
      <c r="A476" s="5" t="s">
        <v>741</v>
      </c>
      <c r="B476" s="6">
        <v>0.18602</v>
      </c>
      <c r="C476" s="3"/>
      <c r="D476" s="5" t="s">
        <v>700</v>
      </c>
      <c r="E476" s="6">
        <v>4.7</v>
      </c>
      <c r="F476" s="3"/>
      <c r="G476" s="5" t="s">
        <v>216</v>
      </c>
      <c r="H476" s="6">
        <v>173.3013698</v>
      </c>
      <c r="I476" s="3"/>
      <c r="J476" s="5" t="s">
        <v>674</v>
      </c>
      <c r="K476" s="7">
        <v>687.3683620951446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x14ac:dyDescent="0.25" r="477" customHeight="1" ht="12.75">
      <c r="A477" s="5" t="s">
        <v>639</v>
      </c>
      <c r="B477" s="6">
        <v>0.18554099999999998</v>
      </c>
      <c r="C477" s="3"/>
      <c r="D477" s="5" t="s">
        <v>742</v>
      </c>
      <c r="E477" s="6">
        <v>4.7</v>
      </c>
      <c r="F477" s="3"/>
      <c r="G477" s="5" t="s">
        <v>542</v>
      </c>
      <c r="H477" s="6">
        <v>173.27053700000002</v>
      </c>
      <c r="I477" s="3"/>
      <c r="J477" s="5" t="s">
        <v>57</v>
      </c>
      <c r="K477" s="7">
        <v>671.1848340514468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x14ac:dyDescent="0.25" r="478" customHeight="1" ht="12.75">
      <c r="A478" s="5" t="s">
        <v>206</v>
      </c>
      <c r="B478" s="6">
        <v>0.1845</v>
      </c>
      <c r="C478" s="3"/>
      <c r="D478" s="5" t="s">
        <v>399</v>
      </c>
      <c r="E478" s="6">
        <v>4.7</v>
      </c>
      <c r="F478" s="3"/>
      <c r="G478" s="5" t="s">
        <v>452</v>
      </c>
      <c r="H478" s="6">
        <v>173.14046559999997</v>
      </c>
      <c r="I478" s="3"/>
      <c r="J478" s="5" t="s">
        <v>669</v>
      </c>
      <c r="K478" s="7">
        <v>669.8214994358522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x14ac:dyDescent="0.25" r="479" customHeight="1" ht="12.75">
      <c r="A479" s="5" t="s">
        <v>737</v>
      </c>
      <c r="B479" s="6">
        <v>0.18391999999999997</v>
      </c>
      <c r="C479" s="3"/>
      <c r="D479" s="5" t="s">
        <v>331</v>
      </c>
      <c r="E479" s="6">
        <v>4.667924791086351</v>
      </c>
      <c r="F479" s="3"/>
      <c r="G479" s="5" t="s">
        <v>743</v>
      </c>
      <c r="H479" s="6">
        <v>172.86600094855302</v>
      </c>
      <c r="I479" s="3"/>
      <c r="J479" s="5" t="s">
        <v>336</v>
      </c>
      <c r="K479" s="7">
        <v>669.1266610149512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x14ac:dyDescent="0.25" r="480" customHeight="1" ht="12.75">
      <c r="A480" s="5" t="s">
        <v>524</v>
      </c>
      <c r="B480" s="6">
        <v>0.18373199999999998</v>
      </c>
      <c r="C480" s="3"/>
      <c r="D480" s="5" t="s">
        <v>744</v>
      </c>
      <c r="E480" s="6">
        <v>4.620095238095238</v>
      </c>
      <c r="F480" s="3"/>
      <c r="G480" s="5" t="s">
        <v>745</v>
      </c>
      <c r="H480" s="6">
        <v>172.785525</v>
      </c>
      <c r="I480" s="3"/>
      <c r="J480" s="5" t="s">
        <v>381</v>
      </c>
      <c r="K480" s="7">
        <v>664.4030249168128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x14ac:dyDescent="0.25" r="481" customHeight="1" ht="12.75">
      <c r="A481" s="5" t="s">
        <v>280</v>
      </c>
      <c r="B481" s="6">
        <v>0.182734972</v>
      </c>
      <c r="C481" s="3"/>
      <c r="D481" s="5" t="s">
        <v>746</v>
      </c>
      <c r="E481" s="6">
        <v>4.61</v>
      </c>
      <c r="F481" s="3"/>
      <c r="G481" s="5" t="s">
        <v>747</v>
      </c>
      <c r="H481" s="6">
        <v>172.6650320176849</v>
      </c>
      <c r="I481" s="3"/>
      <c r="J481" s="5" t="s">
        <v>681</v>
      </c>
      <c r="K481" s="7">
        <v>655.565519503537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x14ac:dyDescent="0.25" r="482" customHeight="1" ht="12.75">
      <c r="A482" s="5" t="s">
        <v>649</v>
      </c>
      <c r="B482" s="6">
        <v>0.18186400000000003</v>
      </c>
      <c r="C482" s="3"/>
      <c r="D482" s="5" t="s">
        <v>424</v>
      </c>
      <c r="E482" s="6">
        <v>4.6</v>
      </c>
      <c r="F482" s="3"/>
      <c r="G482" s="5" t="s">
        <v>724</v>
      </c>
      <c r="H482" s="6">
        <v>172.60090043279746</v>
      </c>
      <c r="I482" s="3"/>
      <c r="J482" s="5" t="s">
        <v>25</v>
      </c>
      <c r="K482" s="7">
        <v>655.0803889837242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x14ac:dyDescent="0.25" r="483" customHeight="1" ht="12.75">
      <c r="A483" s="5" t="s">
        <v>227</v>
      </c>
      <c r="B483" s="6">
        <v>0.1804</v>
      </c>
      <c r="C483" s="3"/>
      <c r="D483" s="5" t="s">
        <v>748</v>
      </c>
      <c r="E483" s="6">
        <v>4.6</v>
      </c>
      <c r="F483" s="3"/>
      <c r="G483" s="5" t="s">
        <v>501</v>
      </c>
      <c r="H483" s="6">
        <v>172.10503463665594</v>
      </c>
      <c r="I483" s="3"/>
      <c r="J483" s="5" t="s">
        <v>639</v>
      </c>
      <c r="K483" s="7">
        <v>654.5691394218136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x14ac:dyDescent="0.25" r="484" customHeight="1" ht="12.75">
      <c r="A484" s="5" t="s">
        <v>719</v>
      </c>
      <c r="B484" s="6">
        <v>0.178112</v>
      </c>
      <c r="C484" s="3"/>
      <c r="D484" s="5" t="s">
        <v>581</v>
      </c>
      <c r="E484" s="6">
        <v>4.598769310883527</v>
      </c>
      <c r="F484" s="3"/>
      <c r="G484" s="5" t="s">
        <v>749</v>
      </c>
      <c r="H484" s="6">
        <v>171.66531306752412</v>
      </c>
      <c r="I484" s="3"/>
      <c r="J484" s="5" t="s">
        <v>699</v>
      </c>
      <c r="K484" s="7">
        <v>644.7963196173633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x14ac:dyDescent="0.25" r="485" customHeight="1" ht="12.75">
      <c r="A485" s="5" t="s">
        <v>610</v>
      </c>
      <c r="B485" s="6">
        <v>0.17664</v>
      </c>
      <c r="C485" s="3"/>
      <c r="D485" s="5" t="s">
        <v>135</v>
      </c>
      <c r="E485" s="6">
        <v>4.595946843853821</v>
      </c>
      <c r="F485" s="3"/>
      <c r="G485" s="5" t="s">
        <v>524</v>
      </c>
      <c r="H485" s="6">
        <v>171.57705109069317</v>
      </c>
      <c r="I485" s="3"/>
      <c r="J485" s="5" t="s">
        <v>750</v>
      </c>
      <c r="K485" s="7">
        <v>642.5560967232637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x14ac:dyDescent="0.25" r="486" customHeight="1" ht="12.75">
      <c r="A486" s="5" t="s">
        <v>751</v>
      </c>
      <c r="B486" s="6">
        <v>0.176488</v>
      </c>
      <c r="C486" s="3"/>
      <c r="D486" s="5" t="s">
        <v>745</v>
      </c>
      <c r="E486" s="6">
        <v>4.55</v>
      </c>
      <c r="F486" s="3"/>
      <c r="G486" s="5" t="s">
        <v>455</v>
      </c>
      <c r="H486" s="6">
        <v>171.0339703</v>
      </c>
      <c r="I486" s="3"/>
      <c r="J486" s="5" t="s">
        <v>721</v>
      </c>
      <c r="K486" s="7">
        <v>640.4494143819423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x14ac:dyDescent="0.25" r="487" customHeight="1" ht="12.75">
      <c r="A487" s="5" t="s">
        <v>434</v>
      </c>
      <c r="B487" s="6">
        <v>0.1764</v>
      </c>
      <c r="C487" s="3"/>
      <c r="D487" s="5" t="s">
        <v>611</v>
      </c>
      <c r="E487" s="6">
        <v>4.51</v>
      </c>
      <c r="F487" s="3"/>
      <c r="G487" s="5" t="s">
        <v>162</v>
      </c>
      <c r="H487" s="6">
        <v>170.96673</v>
      </c>
      <c r="I487" s="3"/>
      <c r="J487" s="5" t="s">
        <v>717</v>
      </c>
      <c r="K487" s="7">
        <v>639.4522443755626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x14ac:dyDescent="0.25" r="488" customHeight="1" ht="12.75">
      <c r="A488" s="5" t="s">
        <v>97</v>
      </c>
      <c r="B488" s="6">
        <v>0.175</v>
      </c>
      <c r="C488" s="3"/>
      <c r="D488" s="5" t="s">
        <v>242</v>
      </c>
      <c r="E488" s="6">
        <v>4.5</v>
      </c>
      <c r="F488" s="3"/>
      <c r="G488" s="5" t="s">
        <v>326</v>
      </c>
      <c r="H488" s="6">
        <v>170.05529745659163</v>
      </c>
      <c r="I488" s="3"/>
      <c r="J488" s="5" t="s">
        <v>334</v>
      </c>
      <c r="K488" s="7">
        <v>636.9984979869774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x14ac:dyDescent="0.25" r="489" customHeight="1" ht="12.75">
      <c r="A489" s="5" t="s">
        <v>688</v>
      </c>
      <c r="B489" s="6">
        <v>0.1706377</v>
      </c>
      <c r="C489" s="3"/>
      <c r="D489" s="5" t="s">
        <v>403</v>
      </c>
      <c r="E489" s="6">
        <v>4.5</v>
      </c>
      <c r="F489" s="3"/>
      <c r="G489" s="5" t="s">
        <v>454</v>
      </c>
      <c r="H489" s="6">
        <v>169.64396999999997</v>
      </c>
      <c r="I489" s="3"/>
      <c r="J489" s="5" t="s">
        <v>333</v>
      </c>
      <c r="K489" s="7">
        <v>632.9849573333134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x14ac:dyDescent="0.25" r="490" customHeight="1" ht="12.75">
      <c r="A490" s="5" t="s">
        <v>508</v>
      </c>
      <c r="B490" s="6">
        <v>0.166992</v>
      </c>
      <c r="C490" s="3"/>
      <c r="D490" s="5" t="s">
        <v>699</v>
      </c>
      <c r="E490" s="6">
        <v>4.5</v>
      </c>
      <c r="F490" s="3"/>
      <c r="G490" s="5" t="s">
        <v>79</v>
      </c>
      <c r="H490" s="6">
        <v>169.31554126611832</v>
      </c>
      <c r="I490" s="3"/>
      <c r="J490" s="5" t="s">
        <v>299</v>
      </c>
      <c r="K490" s="7">
        <v>628.9630435839932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x14ac:dyDescent="0.25" r="491" customHeight="1" ht="12.75">
      <c r="A491" s="5" t="s">
        <v>348</v>
      </c>
      <c r="B491" s="6">
        <v>0.16619199999999998</v>
      </c>
      <c r="C491" s="3"/>
      <c r="D491" s="5" t="s">
        <v>752</v>
      </c>
      <c r="E491" s="6">
        <v>4.5</v>
      </c>
      <c r="F491" s="3"/>
      <c r="G491" s="5" t="s">
        <v>519</v>
      </c>
      <c r="H491" s="6">
        <v>169.07318612218648</v>
      </c>
      <c r="I491" s="3"/>
      <c r="J491" s="5" t="s">
        <v>157</v>
      </c>
      <c r="K491" s="7">
        <v>618.694077295685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x14ac:dyDescent="0.25" r="492" customHeight="1" ht="12.75">
      <c r="A492" s="5" t="s">
        <v>336</v>
      </c>
      <c r="B492" s="6">
        <v>0.16600000000000004</v>
      </c>
      <c r="C492" s="3"/>
      <c r="D492" s="5" t="s">
        <v>711</v>
      </c>
      <c r="E492" s="6">
        <v>4.5</v>
      </c>
      <c r="F492" s="3"/>
      <c r="G492" s="5" t="s">
        <v>379</v>
      </c>
      <c r="H492" s="6">
        <v>168.94979307415807</v>
      </c>
      <c r="I492" s="3"/>
      <c r="J492" s="5" t="s">
        <v>487</v>
      </c>
      <c r="K492" s="7">
        <v>610.0476765709645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x14ac:dyDescent="0.25" r="493" customHeight="1" ht="12.75">
      <c r="A493" s="5" t="s">
        <v>307</v>
      </c>
      <c r="B493" s="6">
        <v>0.165727</v>
      </c>
      <c r="C493" s="3"/>
      <c r="D493" s="5" t="s">
        <v>753</v>
      </c>
      <c r="E493" s="6">
        <v>4.5</v>
      </c>
      <c r="F493" s="3"/>
      <c r="G493" s="5" t="s">
        <v>530</v>
      </c>
      <c r="H493" s="6">
        <v>168.2454962733119</v>
      </c>
      <c r="I493" s="3"/>
      <c r="J493" s="5" t="s">
        <v>176</v>
      </c>
      <c r="K493" s="7">
        <v>602.5436351999999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x14ac:dyDescent="0.25" r="494" customHeight="1" ht="12.75">
      <c r="A494" s="5" t="s">
        <v>620</v>
      </c>
      <c r="B494" s="6">
        <v>0.16512</v>
      </c>
      <c r="C494" s="3"/>
      <c r="D494" s="5" t="s">
        <v>754</v>
      </c>
      <c r="E494" s="6">
        <v>4.5</v>
      </c>
      <c r="F494" s="3"/>
      <c r="G494" s="5" t="s">
        <v>755</v>
      </c>
      <c r="H494" s="6">
        <v>167.8367872170418</v>
      </c>
      <c r="I494" s="3"/>
      <c r="J494" s="5" t="s">
        <v>85</v>
      </c>
      <c r="K494" s="7">
        <v>599.2742460316157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x14ac:dyDescent="0.25" r="495" customHeight="1" ht="12.75">
      <c r="A495" s="5" t="s">
        <v>622</v>
      </c>
      <c r="B495" s="6">
        <v>0.16512</v>
      </c>
      <c r="C495" s="3"/>
      <c r="D495" s="5" t="s">
        <v>361</v>
      </c>
      <c r="E495" s="6">
        <v>4.495480477223428</v>
      </c>
      <c r="F495" s="3"/>
      <c r="G495" s="5" t="s">
        <v>566</v>
      </c>
      <c r="H495" s="6">
        <v>167.8214837897106</v>
      </c>
      <c r="I495" s="3"/>
      <c r="J495" s="5" t="s">
        <v>502</v>
      </c>
      <c r="K495" s="7">
        <v>597.7213728253023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x14ac:dyDescent="0.25" r="496" customHeight="1" ht="12.75">
      <c r="A496" s="5" t="s">
        <v>333</v>
      </c>
      <c r="B496" s="6">
        <v>0.1633506</v>
      </c>
      <c r="C496" s="3"/>
      <c r="D496" s="5" t="s">
        <v>586</v>
      </c>
      <c r="E496" s="6">
        <v>4.492449360341151</v>
      </c>
      <c r="F496" s="3"/>
      <c r="G496" s="5" t="s">
        <v>756</v>
      </c>
      <c r="H496" s="6">
        <v>167.6021285811423</v>
      </c>
      <c r="I496" s="3"/>
      <c r="J496" s="5" t="s">
        <v>275</v>
      </c>
      <c r="K496" s="7">
        <v>595.91887679478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x14ac:dyDescent="0.25" r="497" customHeight="1" ht="12.75">
      <c r="A497" s="5" t="s">
        <v>739</v>
      </c>
      <c r="B497" s="6">
        <v>0.16236702719999999</v>
      </c>
      <c r="C497" s="3"/>
      <c r="D497" s="5" t="s">
        <v>757</v>
      </c>
      <c r="E497" s="6">
        <v>4.49</v>
      </c>
      <c r="F497" s="3"/>
      <c r="G497" s="5" t="s">
        <v>750</v>
      </c>
      <c r="H497" s="6">
        <v>166.89768746058797</v>
      </c>
      <c r="I497" s="3"/>
      <c r="J497" s="5" t="s">
        <v>443</v>
      </c>
      <c r="K497" s="7">
        <v>593.087352141791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x14ac:dyDescent="0.25" r="498" customHeight="1" ht="12.75">
      <c r="A498" s="5" t="s">
        <v>411</v>
      </c>
      <c r="B498" s="6">
        <v>0.16187500000000002</v>
      </c>
      <c r="C498" s="3"/>
      <c r="D498" s="5" t="s">
        <v>758</v>
      </c>
      <c r="E498" s="6">
        <v>4.48</v>
      </c>
      <c r="F498" s="3"/>
      <c r="G498" s="5" t="s">
        <v>39</v>
      </c>
      <c r="H498" s="6">
        <v>166.84275934405144</v>
      </c>
      <c r="I498" s="3"/>
      <c r="J498" s="5" t="s">
        <v>691</v>
      </c>
      <c r="K498" s="7">
        <v>592.8852826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x14ac:dyDescent="0.25" r="499" customHeight="1" ht="12.75">
      <c r="A499" s="5" t="s">
        <v>378</v>
      </c>
      <c r="B499" s="6">
        <v>0.1598</v>
      </c>
      <c r="C499" s="3"/>
      <c r="D499" s="5" t="s">
        <v>730</v>
      </c>
      <c r="E499" s="6">
        <v>4.47</v>
      </c>
      <c r="F499" s="3"/>
      <c r="G499" s="5" t="s">
        <v>617</v>
      </c>
      <c r="H499" s="6">
        <v>166.54199672990353</v>
      </c>
      <c r="I499" s="3"/>
      <c r="J499" s="5" t="s">
        <v>759</v>
      </c>
      <c r="K499" s="7">
        <v>577.718575679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x14ac:dyDescent="0.25" r="500" customHeight="1" ht="12.75">
      <c r="A500" s="5" t="s">
        <v>99</v>
      </c>
      <c r="B500" s="6">
        <v>0.15750000000000003</v>
      </c>
      <c r="C500" s="3"/>
      <c r="D500" s="5" t="s">
        <v>682</v>
      </c>
      <c r="E500" s="6">
        <v>4.458</v>
      </c>
      <c r="F500" s="3"/>
      <c r="G500" s="5" t="s">
        <v>477</v>
      </c>
      <c r="H500" s="6">
        <v>166.37381333333332</v>
      </c>
      <c r="I500" s="3"/>
      <c r="J500" s="5" t="s">
        <v>551</v>
      </c>
      <c r="K500" s="7">
        <v>569.4481800000001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x14ac:dyDescent="0.25" r="501" customHeight="1" ht="12.75">
      <c r="A501" s="5" t="s">
        <v>458</v>
      </c>
      <c r="B501" s="6">
        <v>0.1553331</v>
      </c>
      <c r="C501" s="3"/>
      <c r="D501" s="5" t="s">
        <v>735</v>
      </c>
      <c r="E501" s="6">
        <v>4.422098214285715</v>
      </c>
      <c r="F501" s="3"/>
      <c r="G501" s="5" t="s">
        <v>597</v>
      </c>
      <c r="H501" s="6">
        <v>166.34126125468975</v>
      </c>
      <c r="I501" s="3"/>
      <c r="J501" s="5" t="s">
        <v>700</v>
      </c>
      <c r="K501" s="7">
        <v>566.4438613499999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x14ac:dyDescent="0.25" r="502" customHeight="1" ht="12.75">
      <c r="A502" s="5" t="s">
        <v>758</v>
      </c>
      <c r="B502" s="6">
        <v>0.1552271616</v>
      </c>
      <c r="C502" s="3"/>
      <c r="D502" s="5" t="s">
        <v>661</v>
      </c>
      <c r="E502" s="6">
        <v>4.42</v>
      </c>
      <c r="F502" s="3"/>
      <c r="G502" s="5" t="s">
        <v>546</v>
      </c>
      <c r="H502" s="6">
        <v>165.8531603</v>
      </c>
      <c r="I502" s="3"/>
      <c r="J502" s="5" t="s">
        <v>702</v>
      </c>
      <c r="K502" s="7">
        <v>564.5980599999999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x14ac:dyDescent="0.25" r="503" customHeight="1" ht="12.75">
      <c r="A503" s="5" t="s">
        <v>760</v>
      </c>
      <c r="B503" s="6">
        <v>0.15490997328</v>
      </c>
      <c r="C503" s="3"/>
      <c r="D503" s="5" t="s">
        <v>101</v>
      </c>
      <c r="E503" s="6">
        <v>4.4</v>
      </c>
      <c r="F503" s="3"/>
      <c r="G503" s="5" t="s">
        <v>761</v>
      </c>
      <c r="H503" s="6">
        <v>165.53436206147552</v>
      </c>
      <c r="I503" s="3"/>
      <c r="J503" s="5" t="s">
        <v>703</v>
      </c>
      <c r="K503" s="7">
        <v>563.9466007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x14ac:dyDescent="0.25" r="504" customHeight="1" ht="12.75">
      <c r="A504" s="5" t="s">
        <v>188</v>
      </c>
      <c r="B504" s="6">
        <v>0.15361820999999998</v>
      </c>
      <c r="C504" s="3"/>
      <c r="D504" s="5" t="s">
        <v>705</v>
      </c>
      <c r="E504" s="6">
        <v>4.4</v>
      </c>
      <c r="F504" s="3"/>
      <c r="G504" s="5" t="s">
        <v>762</v>
      </c>
      <c r="H504" s="6">
        <v>163.56973331575563</v>
      </c>
      <c r="I504" s="3"/>
      <c r="J504" s="5" t="s">
        <v>727</v>
      </c>
      <c r="K504" s="7">
        <v>563.7034262389999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x14ac:dyDescent="0.25" r="505" customHeight="1" ht="12.75">
      <c r="A505" s="5" t="s">
        <v>181</v>
      </c>
      <c r="B505" s="6">
        <v>0.1512634</v>
      </c>
      <c r="C505" s="3"/>
      <c r="D505" s="5" t="s">
        <v>763</v>
      </c>
      <c r="E505" s="6">
        <v>4.4</v>
      </c>
      <c r="F505" s="3"/>
      <c r="G505" s="5" t="s">
        <v>168</v>
      </c>
      <c r="H505" s="6">
        <v>163.21866329999997</v>
      </c>
      <c r="I505" s="3"/>
      <c r="J505" s="5" t="s">
        <v>526</v>
      </c>
      <c r="K505" s="7">
        <v>562.0486971741107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x14ac:dyDescent="0.25" r="506" customHeight="1" ht="12.75">
      <c r="A506" s="5" t="s">
        <v>338</v>
      </c>
      <c r="B506" s="6">
        <v>0.1490365</v>
      </c>
      <c r="C506" s="3"/>
      <c r="D506" s="5" t="s">
        <v>402</v>
      </c>
      <c r="E506" s="6">
        <v>4.352459643160577</v>
      </c>
      <c r="F506" s="3"/>
      <c r="G506" s="5" t="s">
        <v>686</v>
      </c>
      <c r="H506" s="6">
        <v>162.81010045672528</v>
      </c>
      <c r="I506" s="3"/>
      <c r="J506" s="5" t="s">
        <v>77</v>
      </c>
      <c r="K506" s="7">
        <v>561.2022801753085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x14ac:dyDescent="0.25" r="507" customHeight="1" ht="12.75">
      <c r="A507" s="5" t="s">
        <v>502</v>
      </c>
      <c r="B507" s="6">
        <v>0.14903400000000003</v>
      </c>
      <c r="C507" s="3"/>
      <c r="D507" s="5" t="s">
        <v>714</v>
      </c>
      <c r="E507" s="6">
        <v>4.35</v>
      </c>
      <c r="F507" s="3"/>
      <c r="G507" s="5" t="s">
        <v>498</v>
      </c>
      <c r="H507" s="6">
        <v>162.28929078787883</v>
      </c>
      <c r="I507" s="3"/>
      <c r="J507" s="5" t="s">
        <v>764</v>
      </c>
      <c r="K507" s="7">
        <v>555.6073045533827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x14ac:dyDescent="0.25" r="508" customHeight="1" ht="12.75">
      <c r="A508" s="5" t="s">
        <v>151</v>
      </c>
      <c r="B508" s="6">
        <v>0.147</v>
      </c>
      <c r="C508" s="3"/>
      <c r="D508" s="5" t="s">
        <v>252</v>
      </c>
      <c r="E508" s="6">
        <v>4.326</v>
      </c>
      <c r="F508" s="3"/>
      <c r="G508" s="5" t="s">
        <v>682</v>
      </c>
      <c r="H508" s="6">
        <v>161.94396358</v>
      </c>
      <c r="I508" s="3"/>
      <c r="J508" s="5" t="s">
        <v>125</v>
      </c>
      <c r="K508" s="7">
        <v>550.6992490519041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x14ac:dyDescent="0.25" r="509" customHeight="1" ht="12.75">
      <c r="A509" s="5" t="s">
        <v>736</v>
      </c>
      <c r="B509" s="6">
        <v>0.14699999999999996</v>
      </c>
      <c r="C509" s="3"/>
      <c r="D509" s="5" t="s">
        <v>247</v>
      </c>
      <c r="E509" s="6">
        <v>4.314677103718198</v>
      </c>
      <c r="F509" s="3"/>
      <c r="G509" s="5" t="s">
        <v>619</v>
      </c>
      <c r="H509" s="6">
        <v>160.81115077620578</v>
      </c>
      <c r="I509" s="3"/>
      <c r="J509" s="5" t="s">
        <v>705</v>
      </c>
      <c r="K509" s="7">
        <v>550.5776391324758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x14ac:dyDescent="0.25" r="510" customHeight="1" ht="12.75">
      <c r="A510" s="5" t="s">
        <v>575</v>
      </c>
      <c r="B510" s="6">
        <v>0.146772</v>
      </c>
      <c r="C510" s="3"/>
      <c r="D510" s="5" t="s">
        <v>765</v>
      </c>
      <c r="E510" s="6">
        <v>4.3</v>
      </c>
      <c r="F510" s="3"/>
      <c r="G510" s="5" t="s">
        <v>349</v>
      </c>
      <c r="H510" s="6">
        <v>159.899638</v>
      </c>
      <c r="I510" s="3"/>
      <c r="J510" s="5" t="s">
        <v>417</v>
      </c>
      <c r="K510" s="7">
        <v>549.6120324576723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x14ac:dyDescent="0.25" r="511" customHeight="1" ht="12.75">
      <c r="A511" s="5" t="s">
        <v>750</v>
      </c>
      <c r="B511" s="6">
        <v>0.146299</v>
      </c>
      <c r="C511" s="3"/>
      <c r="D511" s="5" t="s">
        <v>766</v>
      </c>
      <c r="E511" s="6">
        <v>4.3</v>
      </c>
      <c r="F511" s="3"/>
      <c r="G511" s="5" t="s">
        <v>446</v>
      </c>
      <c r="H511" s="6">
        <v>159.74753918196438</v>
      </c>
      <c r="I511" s="3"/>
      <c r="J511" s="5" t="s">
        <v>767</v>
      </c>
      <c r="K511" s="7">
        <v>548.4191898014824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x14ac:dyDescent="0.25" r="512" customHeight="1" ht="12.75">
      <c r="A512" s="5" t="s">
        <v>744</v>
      </c>
      <c r="B512" s="6">
        <v>0.145533</v>
      </c>
      <c r="C512" s="3"/>
      <c r="D512" s="5" t="s">
        <v>726</v>
      </c>
      <c r="E512" s="6">
        <v>4.3</v>
      </c>
      <c r="F512" s="3"/>
      <c r="G512" s="5" t="s">
        <v>309</v>
      </c>
      <c r="H512" s="6">
        <v>159.6800181905965</v>
      </c>
      <c r="I512" s="3"/>
      <c r="J512" s="5" t="s">
        <v>631</v>
      </c>
      <c r="K512" s="7">
        <v>547.3206240514469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x14ac:dyDescent="0.25" r="513" customHeight="1" ht="12.75">
      <c r="A513" s="5" t="s">
        <v>526</v>
      </c>
      <c r="B513" s="6">
        <v>0.14529609057599996</v>
      </c>
      <c r="C513" s="3"/>
      <c r="D513" s="5" t="s">
        <v>128</v>
      </c>
      <c r="E513" s="6">
        <v>4.286086956521739</v>
      </c>
      <c r="F513" s="3"/>
      <c r="G513" s="5" t="s">
        <v>599</v>
      </c>
      <c r="H513" s="6">
        <v>159.67917799999998</v>
      </c>
      <c r="I513" s="3"/>
      <c r="J513" s="5" t="s">
        <v>690</v>
      </c>
      <c r="K513" s="7">
        <v>546.5905031376527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x14ac:dyDescent="0.25" r="514" customHeight="1" ht="12.75">
      <c r="A514" s="5" t="s">
        <v>768</v>
      </c>
      <c r="B514" s="6">
        <v>0.14500000000000002</v>
      </c>
      <c r="C514" s="3"/>
      <c r="D514" s="5" t="s">
        <v>606</v>
      </c>
      <c r="E514" s="6">
        <v>4.282253393665159</v>
      </c>
      <c r="F514" s="3"/>
      <c r="G514" s="5" t="s">
        <v>655</v>
      </c>
      <c r="H514" s="6">
        <v>158.753246</v>
      </c>
      <c r="I514" s="3"/>
      <c r="J514" s="5" t="s">
        <v>769</v>
      </c>
      <c r="K514" s="7">
        <v>535.7216709708166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x14ac:dyDescent="0.25" r="515" customHeight="1" ht="12.75">
      <c r="A515" s="5" t="s">
        <v>708</v>
      </c>
      <c r="B515" s="6">
        <v>0.14487088</v>
      </c>
      <c r="C515" s="3"/>
      <c r="D515" s="5" t="s">
        <v>770</v>
      </c>
      <c r="E515" s="6">
        <v>4.28</v>
      </c>
      <c r="F515" s="3"/>
      <c r="G515" s="5" t="s">
        <v>437</v>
      </c>
      <c r="H515" s="6">
        <v>158.04470537813506</v>
      </c>
      <c r="I515" s="3"/>
      <c r="J515" s="5" t="s">
        <v>369</v>
      </c>
      <c r="K515" s="7">
        <v>534.9759521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x14ac:dyDescent="0.25" r="516" customHeight="1" ht="12.75">
      <c r="A516" s="5" t="s">
        <v>329</v>
      </c>
      <c r="B516" s="6">
        <v>0.14400000000000002</v>
      </c>
      <c r="C516" s="3"/>
      <c r="D516" s="5" t="s">
        <v>105</v>
      </c>
      <c r="E516" s="6">
        <v>4.274953230680673</v>
      </c>
      <c r="F516" s="3"/>
      <c r="G516" s="5" t="s">
        <v>479</v>
      </c>
      <c r="H516" s="6">
        <v>157.8146692674797</v>
      </c>
      <c r="I516" s="3"/>
      <c r="J516" s="5" t="s">
        <v>290</v>
      </c>
      <c r="K516" s="7">
        <v>534.140987398636</v>
      </c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x14ac:dyDescent="0.25" r="517" customHeight="1" ht="12.75">
      <c r="A517" s="5" t="s">
        <v>590</v>
      </c>
      <c r="B517" s="6">
        <v>0.14091000000000004</v>
      </c>
      <c r="C517" s="3"/>
      <c r="D517" s="5" t="s">
        <v>571</v>
      </c>
      <c r="E517" s="6">
        <v>4.272017067155547</v>
      </c>
      <c r="F517" s="3"/>
      <c r="G517" s="5" t="s">
        <v>312</v>
      </c>
      <c r="H517" s="6">
        <v>156.8837452</v>
      </c>
      <c r="I517" s="3"/>
      <c r="J517" s="5" t="s">
        <v>771</v>
      </c>
      <c r="K517" s="7">
        <v>533.6228537476842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x14ac:dyDescent="0.25" r="518" customHeight="1" ht="12.75">
      <c r="A518" s="5" t="s">
        <v>25</v>
      </c>
      <c r="B518" s="6">
        <v>0.1400977</v>
      </c>
      <c r="C518" s="3"/>
      <c r="D518" s="5" t="s">
        <v>582</v>
      </c>
      <c r="E518" s="6">
        <v>4.256591972691735</v>
      </c>
      <c r="F518" s="3"/>
      <c r="G518" s="5" t="s">
        <v>772</v>
      </c>
      <c r="H518" s="6">
        <v>155.96678809577134</v>
      </c>
      <c r="I518" s="3"/>
      <c r="J518" s="5" t="s">
        <v>374</v>
      </c>
      <c r="K518" s="7">
        <v>530.97372126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x14ac:dyDescent="0.25" r="519" customHeight="1" ht="12.75">
      <c r="A519" s="5" t="s">
        <v>647</v>
      </c>
      <c r="B519" s="6">
        <v>0.14</v>
      </c>
      <c r="C519" s="3"/>
      <c r="D519" s="5" t="s">
        <v>559</v>
      </c>
      <c r="E519" s="6">
        <v>4.25</v>
      </c>
      <c r="F519" s="3"/>
      <c r="G519" s="5" t="s">
        <v>448</v>
      </c>
      <c r="H519" s="6">
        <v>155.0413412349634</v>
      </c>
      <c r="I519" s="3"/>
      <c r="J519" s="5" t="s">
        <v>730</v>
      </c>
      <c r="K519" s="7">
        <v>526.534274148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x14ac:dyDescent="0.25" r="520" customHeight="1" ht="12.75">
      <c r="A520" s="5" t="s">
        <v>773</v>
      </c>
      <c r="B520" s="6">
        <v>0.13951</v>
      </c>
      <c r="C520" s="3"/>
      <c r="D520" s="5" t="s">
        <v>690</v>
      </c>
      <c r="E520" s="6">
        <v>4.2359430604982204</v>
      </c>
      <c r="F520" s="3"/>
      <c r="G520" s="5" t="s">
        <v>133</v>
      </c>
      <c r="H520" s="6">
        <v>154.84830781479099</v>
      </c>
      <c r="I520" s="3"/>
      <c r="J520" s="5" t="s">
        <v>568</v>
      </c>
      <c r="K520" s="7">
        <v>516.5906904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x14ac:dyDescent="0.25" r="521" customHeight="1" ht="12.75">
      <c r="A521" s="5" t="s">
        <v>243</v>
      </c>
      <c r="B521" s="6">
        <v>0.1392</v>
      </c>
      <c r="C521" s="3"/>
      <c r="D521" s="5" t="s">
        <v>678</v>
      </c>
      <c r="E521" s="6">
        <v>4.2</v>
      </c>
      <c r="F521" s="3"/>
      <c r="G521" s="5" t="s">
        <v>707</v>
      </c>
      <c r="H521" s="6">
        <v>154.30313287299035</v>
      </c>
      <c r="I521" s="3"/>
      <c r="J521" s="5" t="s">
        <v>774</v>
      </c>
      <c r="K521" s="7">
        <v>512.69948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x14ac:dyDescent="0.25" r="522" customHeight="1" ht="12.75">
      <c r="A522" s="5" t="s">
        <v>135</v>
      </c>
      <c r="B522" s="6">
        <v>0.13833800000000002</v>
      </c>
      <c r="C522" s="3"/>
      <c r="D522" s="5" t="s">
        <v>775</v>
      </c>
      <c r="E522" s="6">
        <v>4.2</v>
      </c>
      <c r="F522" s="3"/>
      <c r="G522" s="5" t="s">
        <v>522</v>
      </c>
      <c r="H522" s="6">
        <v>154.12581809454696</v>
      </c>
      <c r="I522" s="3"/>
      <c r="J522" s="5" t="s">
        <v>329</v>
      </c>
      <c r="K522" s="7">
        <v>512.1598129099677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x14ac:dyDescent="0.25" r="523" customHeight="1" ht="12.75">
      <c r="A523" s="5" t="s">
        <v>759</v>
      </c>
      <c r="B523" s="6">
        <v>0.1378005</v>
      </c>
      <c r="C523" s="3"/>
      <c r="D523" s="5" t="s">
        <v>776</v>
      </c>
      <c r="E523" s="6">
        <v>4.2</v>
      </c>
      <c r="F523" s="3"/>
      <c r="G523" s="5" t="s">
        <v>738</v>
      </c>
      <c r="H523" s="6">
        <v>153.70471200000003</v>
      </c>
      <c r="I523" s="3"/>
      <c r="J523" s="5" t="s">
        <v>777</v>
      </c>
      <c r="K523" s="7">
        <v>512.0018155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x14ac:dyDescent="0.25" r="524" customHeight="1" ht="12.75">
      <c r="A524" s="5" t="s">
        <v>488</v>
      </c>
      <c r="B524" s="6">
        <v>0.136505</v>
      </c>
      <c r="C524" s="3"/>
      <c r="D524" s="5" t="s">
        <v>778</v>
      </c>
      <c r="E524" s="6">
        <v>4.199999999999999</v>
      </c>
      <c r="F524" s="3"/>
      <c r="G524" s="5" t="s">
        <v>17</v>
      </c>
      <c r="H524" s="6">
        <v>153.638574</v>
      </c>
      <c r="I524" s="3"/>
      <c r="J524" s="5" t="s">
        <v>741</v>
      </c>
      <c r="K524" s="7">
        <v>509.1184191599999</v>
      </c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x14ac:dyDescent="0.25" r="525" customHeight="1" ht="12.75">
      <c r="A525" s="5" t="s">
        <v>752</v>
      </c>
      <c r="B525" s="6">
        <v>0.135</v>
      </c>
      <c r="C525" s="3"/>
      <c r="D525" s="5" t="s">
        <v>379</v>
      </c>
      <c r="E525" s="6">
        <v>4.149823460180462</v>
      </c>
      <c r="F525" s="3"/>
      <c r="G525" s="5" t="s">
        <v>226</v>
      </c>
      <c r="H525" s="6">
        <v>153.44190914660751</v>
      </c>
      <c r="I525" s="3"/>
      <c r="J525" s="5" t="s">
        <v>74</v>
      </c>
      <c r="K525" s="7">
        <v>506.1101400747267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x14ac:dyDescent="0.25" r="526" customHeight="1" ht="12.75">
      <c r="A526" s="5" t="s">
        <v>559</v>
      </c>
      <c r="B526" s="6">
        <v>0.1349375</v>
      </c>
      <c r="C526" s="3"/>
      <c r="D526" s="5" t="s">
        <v>602</v>
      </c>
      <c r="E526" s="6">
        <v>4.138540772532189</v>
      </c>
      <c r="F526" s="3"/>
      <c r="G526" s="5" t="s">
        <v>386</v>
      </c>
      <c r="H526" s="6">
        <v>153.36754834212218</v>
      </c>
      <c r="I526" s="3"/>
      <c r="J526" s="5" t="s">
        <v>188</v>
      </c>
      <c r="K526" s="7">
        <v>504.08769906211535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x14ac:dyDescent="0.25" r="527" customHeight="1" ht="12.75">
      <c r="A527" s="5" t="s">
        <v>707</v>
      </c>
      <c r="B527" s="6">
        <v>0.13361507250000002</v>
      </c>
      <c r="C527" s="3"/>
      <c r="D527" s="5" t="s">
        <v>226</v>
      </c>
      <c r="E527" s="6">
        <v>4.130091743119267</v>
      </c>
      <c r="F527" s="3"/>
      <c r="G527" s="5" t="s">
        <v>36</v>
      </c>
      <c r="H527" s="6">
        <v>153.19528274335042</v>
      </c>
      <c r="I527" s="3"/>
      <c r="J527" s="5" t="s">
        <v>779</v>
      </c>
      <c r="K527" s="7">
        <v>501.269008877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x14ac:dyDescent="0.25" r="528" customHeight="1" ht="12.75">
      <c r="A528" s="5" t="s">
        <v>179</v>
      </c>
      <c r="B528" s="6">
        <v>0.13</v>
      </c>
      <c r="C528" s="3"/>
      <c r="D528" s="5" t="s">
        <v>491</v>
      </c>
      <c r="E528" s="6">
        <v>4.13</v>
      </c>
      <c r="F528" s="3"/>
      <c r="G528" s="5" t="s">
        <v>433</v>
      </c>
      <c r="H528" s="6">
        <v>153.02042908950824</v>
      </c>
      <c r="I528" s="3"/>
      <c r="J528" s="5" t="s">
        <v>780</v>
      </c>
      <c r="K528" s="7">
        <v>499.5239141495177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x14ac:dyDescent="0.25" r="529" customHeight="1" ht="12.75">
      <c r="A529" s="5" t="s">
        <v>706</v>
      </c>
      <c r="B529" s="6">
        <v>0.12980000000000003</v>
      </c>
      <c r="C529" s="3"/>
      <c r="D529" s="5" t="s">
        <v>368</v>
      </c>
      <c r="E529" s="6">
        <v>4.102542144302091</v>
      </c>
      <c r="F529" s="3"/>
      <c r="G529" s="5" t="s">
        <v>11</v>
      </c>
      <c r="H529" s="6">
        <v>152.24235156729156</v>
      </c>
      <c r="I529" s="3"/>
      <c r="J529" s="5" t="s">
        <v>405</v>
      </c>
      <c r="K529" s="7">
        <v>496.27776951495593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x14ac:dyDescent="0.25" r="530" customHeight="1" ht="12.75">
      <c r="A530" s="5" t="s">
        <v>106</v>
      </c>
      <c r="B530" s="6">
        <v>0.1292</v>
      </c>
      <c r="C530" s="3"/>
      <c r="D530" s="5" t="s">
        <v>501</v>
      </c>
      <c r="E530" s="6">
        <v>4.1000000000000005</v>
      </c>
      <c r="F530" s="3"/>
      <c r="G530" s="5" t="s">
        <v>72</v>
      </c>
      <c r="H530" s="6">
        <v>151.6795935026293</v>
      </c>
      <c r="I530" s="3"/>
      <c r="J530" s="5" t="s">
        <v>781</v>
      </c>
      <c r="K530" s="7">
        <v>494.27752196765266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x14ac:dyDescent="0.25" r="531" customHeight="1" ht="12.75">
      <c r="A531" s="5" t="s">
        <v>782</v>
      </c>
      <c r="B531" s="6">
        <v>0.128478</v>
      </c>
      <c r="C531" s="3"/>
      <c r="D531" s="5" t="s">
        <v>691</v>
      </c>
      <c r="E531" s="6">
        <v>4.1000000000000005</v>
      </c>
      <c r="F531" s="3"/>
      <c r="G531" s="5" t="s">
        <v>184</v>
      </c>
      <c r="H531" s="6">
        <v>150.73305320153844</v>
      </c>
      <c r="I531" s="3"/>
      <c r="J531" s="5" t="s">
        <v>783</v>
      </c>
      <c r="K531" s="7">
        <v>494.1760263078261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x14ac:dyDescent="0.25" r="532" customHeight="1" ht="12.75">
      <c r="A532" s="5" t="s">
        <v>369</v>
      </c>
      <c r="B532" s="6">
        <v>0.12824</v>
      </c>
      <c r="C532" s="3"/>
      <c r="D532" s="5" t="s">
        <v>685</v>
      </c>
      <c r="E532" s="6">
        <v>4.1</v>
      </c>
      <c r="F532" s="3"/>
      <c r="G532" s="5" t="s">
        <v>577</v>
      </c>
      <c r="H532" s="6">
        <v>150.51488750160772</v>
      </c>
      <c r="I532" s="3"/>
      <c r="J532" s="5" t="s">
        <v>773</v>
      </c>
      <c r="K532" s="7">
        <v>491.965663236045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x14ac:dyDescent="0.25" r="533" customHeight="1" ht="12.75">
      <c r="A533" s="5" t="s">
        <v>668</v>
      </c>
      <c r="B533" s="6">
        <v>0.1281</v>
      </c>
      <c r="C533" s="3"/>
      <c r="D533" s="5" t="s">
        <v>547</v>
      </c>
      <c r="E533" s="6">
        <v>4.07</v>
      </c>
      <c r="F533" s="3"/>
      <c r="G533" s="5" t="s">
        <v>404</v>
      </c>
      <c r="H533" s="6">
        <v>149.98550102324367</v>
      </c>
      <c r="I533" s="3"/>
      <c r="J533" s="5" t="s">
        <v>732</v>
      </c>
      <c r="K533" s="7">
        <v>490.7975320385852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x14ac:dyDescent="0.25" r="534" customHeight="1" ht="12.75">
      <c r="A534" s="5" t="s">
        <v>328</v>
      </c>
      <c r="B534" s="6">
        <v>0.12625</v>
      </c>
      <c r="C534" s="3"/>
      <c r="D534" s="5" t="s">
        <v>589</v>
      </c>
      <c r="E534" s="6">
        <v>4.06135534205259</v>
      </c>
      <c r="F534" s="3"/>
      <c r="G534" s="5" t="s">
        <v>560</v>
      </c>
      <c r="H534" s="6">
        <v>149.47139711291564</v>
      </c>
      <c r="I534" s="3"/>
      <c r="J534" s="5" t="s">
        <v>755</v>
      </c>
      <c r="K534" s="7">
        <v>486.7266829294212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x14ac:dyDescent="0.25" r="535" customHeight="1" ht="12.75">
      <c r="A535" s="5" t="s">
        <v>631</v>
      </c>
      <c r="B535" s="6">
        <v>0.125</v>
      </c>
      <c r="C535" s="3"/>
      <c r="D535" s="5" t="s">
        <v>672</v>
      </c>
      <c r="E535" s="6">
        <v>4.040785498489426</v>
      </c>
      <c r="F535" s="3"/>
      <c r="G535" s="5" t="s">
        <v>388</v>
      </c>
      <c r="H535" s="6">
        <v>149.21724869999997</v>
      </c>
      <c r="I535" s="3"/>
      <c r="J535" s="5" t="s">
        <v>784</v>
      </c>
      <c r="K535" s="7">
        <v>486.1123534315113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x14ac:dyDescent="0.25" r="536" customHeight="1" ht="12.75">
      <c r="A536" s="5" t="s">
        <v>767</v>
      </c>
      <c r="B536" s="6">
        <v>0.124389</v>
      </c>
      <c r="C536" s="3"/>
      <c r="D536" s="5" t="s">
        <v>510</v>
      </c>
      <c r="E536" s="6">
        <v>4.04</v>
      </c>
      <c r="F536" s="3"/>
      <c r="G536" s="5" t="s">
        <v>120</v>
      </c>
      <c r="H536" s="6">
        <v>148.25051181</v>
      </c>
      <c r="I536" s="3"/>
      <c r="J536" s="5" t="s">
        <v>64</v>
      </c>
      <c r="K536" s="7">
        <v>485.7040828988746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x14ac:dyDescent="0.25" r="537" customHeight="1" ht="12.75">
      <c r="A537" s="5" t="s">
        <v>609</v>
      </c>
      <c r="B537" s="6">
        <v>0.12390000000000001</v>
      </c>
      <c r="C537" s="3"/>
      <c r="D537" s="5" t="s">
        <v>722</v>
      </c>
      <c r="E537" s="6">
        <v>4.03</v>
      </c>
      <c r="F537" s="3"/>
      <c r="G537" s="5" t="s">
        <v>554</v>
      </c>
      <c r="H537" s="6">
        <v>148.14911999999998</v>
      </c>
      <c r="I537" s="3"/>
      <c r="J537" s="5" t="s">
        <v>785</v>
      </c>
      <c r="K537" s="7">
        <v>477.86232882469943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x14ac:dyDescent="0.25" r="538" customHeight="1" ht="12.75">
      <c r="A538" s="5" t="s">
        <v>652</v>
      </c>
      <c r="B538" s="6">
        <v>0.12348</v>
      </c>
      <c r="C538" s="3"/>
      <c r="D538" s="5" t="s">
        <v>373</v>
      </c>
      <c r="E538" s="6">
        <v>4.0148987854251015</v>
      </c>
      <c r="F538" s="3"/>
      <c r="G538" s="5" t="s">
        <v>713</v>
      </c>
      <c r="H538" s="6">
        <v>148.01265916720257</v>
      </c>
      <c r="I538" s="3"/>
      <c r="J538" s="5" t="s">
        <v>786</v>
      </c>
      <c r="K538" s="7">
        <v>475.15396769832785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x14ac:dyDescent="0.25" r="539" customHeight="1" ht="12.75">
      <c r="A539" s="5" t="s">
        <v>533</v>
      </c>
      <c r="B539" s="6">
        <v>0.12342</v>
      </c>
      <c r="C539" s="3"/>
      <c r="D539" s="5" t="s">
        <v>702</v>
      </c>
      <c r="E539" s="6">
        <v>4</v>
      </c>
      <c r="F539" s="3"/>
      <c r="G539" s="5" t="s">
        <v>508</v>
      </c>
      <c r="H539" s="6">
        <v>147.98094920586158</v>
      </c>
      <c r="I539" s="3"/>
      <c r="J539" s="5" t="s">
        <v>15</v>
      </c>
      <c r="K539" s="7">
        <v>473.5479477239999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x14ac:dyDescent="0.25" r="540" customHeight="1" ht="12.75">
      <c r="A540" s="5" t="s">
        <v>696</v>
      </c>
      <c r="B540" s="6">
        <v>0.1232114</v>
      </c>
      <c r="C540" s="3"/>
      <c r="D540" s="5" t="s">
        <v>716</v>
      </c>
      <c r="E540" s="6">
        <v>4</v>
      </c>
      <c r="F540" s="3"/>
      <c r="G540" s="5" t="s">
        <v>471</v>
      </c>
      <c r="H540" s="6">
        <v>147.67342780553122</v>
      </c>
      <c r="I540" s="3"/>
      <c r="J540" s="5" t="s">
        <v>787</v>
      </c>
      <c r="K540" s="7">
        <v>473.3681211070034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x14ac:dyDescent="0.25" r="541" customHeight="1" ht="12.75">
      <c r="A541" s="5" t="s">
        <v>788</v>
      </c>
      <c r="B541" s="6">
        <v>0.123088</v>
      </c>
      <c r="C541" s="3"/>
      <c r="D541" s="5" t="s">
        <v>789</v>
      </c>
      <c r="E541" s="6">
        <v>3.99</v>
      </c>
      <c r="F541" s="3"/>
      <c r="G541" s="5" t="s">
        <v>569</v>
      </c>
      <c r="H541" s="6">
        <v>147.664108</v>
      </c>
      <c r="I541" s="3"/>
      <c r="J541" s="5" t="s">
        <v>304</v>
      </c>
      <c r="K541" s="7">
        <v>465.1274629203859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x14ac:dyDescent="0.25" r="542" customHeight="1" ht="12.75">
      <c r="A542" s="5" t="s">
        <v>616</v>
      </c>
      <c r="B542" s="6">
        <v>0.12159</v>
      </c>
      <c r="C542" s="3"/>
      <c r="D542" s="5" t="s">
        <v>337</v>
      </c>
      <c r="E542" s="6">
        <v>3.9899999999999998</v>
      </c>
      <c r="F542" s="3"/>
      <c r="G542" s="5" t="s">
        <v>474</v>
      </c>
      <c r="H542" s="6">
        <v>146.82094141379713</v>
      </c>
      <c r="I542" s="3"/>
      <c r="J542" s="5" t="s">
        <v>790</v>
      </c>
      <c r="K542" s="7">
        <v>464.2380642649519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x14ac:dyDescent="0.25" r="543" customHeight="1" ht="12.75">
      <c r="A543" s="5" t="s">
        <v>679</v>
      </c>
      <c r="B543" s="6">
        <v>0.12076569569999998</v>
      </c>
      <c r="C543" s="3"/>
      <c r="D543" s="5" t="s">
        <v>366</v>
      </c>
      <c r="E543" s="6">
        <v>3.9235424247303174</v>
      </c>
      <c r="F543" s="3"/>
      <c r="G543" s="5" t="s">
        <v>63</v>
      </c>
      <c r="H543" s="6">
        <v>146.74853888031151</v>
      </c>
      <c r="I543" s="3"/>
      <c r="J543" s="5" t="s">
        <v>227</v>
      </c>
      <c r="K543" s="7">
        <v>463.1741448196142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x14ac:dyDescent="0.25" r="544" customHeight="1" ht="12.75">
      <c r="A544" s="5" t="s">
        <v>588</v>
      </c>
      <c r="B544" s="6">
        <v>0.1206</v>
      </c>
      <c r="C544" s="3"/>
      <c r="D544" s="5" t="s">
        <v>788</v>
      </c>
      <c r="E544" s="6">
        <v>3.92</v>
      </c>
      <c r="F544" s="3"/>
      <c r="G544" s="5" t="s">
        <v>598</v>
      </c>
      <c r="H544" s="6">
        <v>146.55986927163988</v>
      </c>
      <c r="I544" s="3"/>
      <c r="J544" s="5" t="s">
        <v>762</v>
      </c>
      <c r="K544" s="7">
        <v>462.419323861107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x14ac:dyDescent="0.25" r="545" customHeight="1" ht="12.75">
      <c r="A545" s="5" t="s">
        <v>764</v>
      </c>
      <c r="B545" s="6">
        <v>0.11924290000000001</v>
      </c>
      <c r="C545" s="3"/>
      <c r="D545" s="5" t="s">
        <v>52</v>
      </c>
      <c r="E545" s="6">
        <v>3.853284671532847</v>
      </c>
      <c r="F545" s="3"/>
      <c r="G545" s="5" t="s">
        <v>777</v>
      </c>
      <c r="H545" s="6">
        <v>146.286233</v>
      </c>
      <c r="I545" s="3"/>
      <c r="J545" s="5" t="s">
        <v>791</v>
      </c>
      <c r="K545" s="7">
        <v>457.132046950164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x14ac:dyDescent="0.25" r="546" customHeight="1" ht="12.75">
      <c r="A546" s="5" t="s">
        <v>690</v>
      </c>
      <c r="B546" s="6">
        <v>0.11903000000000001</v>
      </c>
      <c r="C546" s="3"/>
      <c r="D546" s="5" t="s">
        <v>377</v>
      </c>
      <c r="E546" s="6">
        <v>3.8385924232527757</v>
      </c>
      <c r="F546" s="3"/>
      <c r="G546" s="5" t="s">
        <v>792</v>
      </c>
      <c r="H546" s="6">
        <v>144.555622</v>
      </c>
      <c r="I546" s="3"/>
      <c r="J546" s="5" t="s">
        <v>725</v>
      </c>
      <c r="K546" s="7">
        <v>454.4749830999999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x14ac:dyDescent="0.25" r="547" customHeight="1" ht="12.75">
      <c r="A547" s="5" t="s">
        <v>793</v>
      </c>
      <c r="B547" s="6">
        <v>0.11881800000000001</v>
      </c>
      <c r="C547" s="3"/>
      <c r="D547" s="5" t="s">
        <v>756</v>
      </c>
      <c r="E547" s="6">
        <v>3.8385057471264368</v>
      </c>
      <c r="F547" s="3"/>
      <c r="G547" s="5" t="s">
        <v>512</v>
      </c>
      <c r="H547" s="6">
        <v>143.806058</v>
      </c>
      <c r="I547" s="3"/>
      <c r="J547" s="5" t="s">
        <v>760</v>
      </c>
      <c r="K547" s="7">
        <v>451.9682273632761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x14ac:dyDescent="0.25" r="548" customHeight="1" ht="12.75">
      <c r="A548" s="5" t="s">
        <v>645</v>
      </c>
      <c r="B548" s="6">
        <v>0.1188</v>
      </c>
      <c r="C548" s="3"/>
      <c r="D548" s="5" t="s">
        <v>671</v>
      </c>
      <c r="E548" s="6">
        <v>3.828559687692624</v>
      </c>
      <c r="F548" s="3"/>
      <c r="G548" s="5" t="s">
        <v>570</v>
      </c>
      <c r="H548" s="6">
        <v>143.772989</v>
      </c>
      <c r="I548" s="3"/>
      <c r="J548" s="5" t="s">
        <v>440</v>
      </c>
      <c r="K548" s="7">
        <v>451.4000267718971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x14ac:dyDescent="0.25" r="549" customHeight="1" ht="12.75">
      <c r="A549" s="5" t="s">
        <v>485</v>
      </c>
      <c r="B549" s="6">
        <v>0.11850000000000001</v>
      </c>
      <c r="C549" s="3"/>
      <c r="D549" s="5" t="s">
        <v>504</v>
      </c>
      <c r="E549" s="6">
        <v>3.824848130841122</v>
      </c>
      <c r="F549" s="3"/>
      <c r="G549" s="5" t="s">
        <v>20</v>
      </c>
      <c r="H549" s="6">
        <v>143.5678938199357</v>
      </c>
      <c r="I549" s="3"/>
      <c r="J549" s="5" t="s">
        <v>46</v>
      </c>
      <c r="K549" s="7">
        <v>451.31253071923504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x14ac:dyDescent="0.25" r="550" customHeight="1" ht="12.75">
      <c r="A550" s="5" t="s">
        <v>159</v>
      </c>
      <c r="B550" s="6">
        <v>0.1172397</v>
      </c>
      <c r="C550" s="3"/>
      <c r="D550" s="5" t="s">
        <v>72</v>
      </c>
      <c r="E550" s="6">
        <v>3.8231283573858805</v>
      </c>
      <c r="F550" s="3"/>
      <c r="G550" s="5" t="s">
        <v>568</v>
      </c>
      <c r="H550" s="6">
        <v>143.497414</v>
      </c>
      <c r="I550" s="3"/>
      <c r="J550" s="5" t="s">
        <v>130</v>
      </c>
      <c r="K550" s="7">
        <v>450.84581511443724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x14ac:dyDescent="0.25" r="551" customHeight="1" ht="12.75">
      <c r="A551" s="5" t="s">
        <v>794</v>
      </c>
      <c r="B551" s="6">
        <v>0.11682000000000001</v>
      </c>
      <c r="C551" s="3"/>
      <c r="D551" s="5" t="s">
        <v>471</v>
      </c>
      <c r="E551" s="6">
        <v>3.814075344119778</v>
      </c>
      <c r="F551" s="3"/>
      <c r="G551" s="5" t="s">
        <v>540</v>
      </c>
      <c r="H551" s="6">
        <v>142.56717186779548</v>
      </c>
      <c r="I551" s="3"/>
      <c r="J551" s="5" t="s">
        <v>98</v>
      </c>
      <c r="K551" s="7">
        <v>447.90959747827463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x14ac:dyDescent="0.25" r="552" customHeight="1" ht="12.75">
      <c r="A552" s="5" t="s">
        <v>795</v>
      </c>
      <c r="B552" s="6">
        <v>0.11550000000000002</v>
      </c>
      <c r="C552" s="3"/>
      <c r="D552" s="5" t="s">
        <v>396</v>
      </c>
      <c r="E552" s="6">
        <v>3.8</v>
      </c>
      <c r="F552" s="3"/>
      <c r="G552" s="5" t="s">
        <v>739</v>
      </c>
      <c r="H552" s="6">
        <v>142.56045899999998</v>
      </c>
      <c r="I552" s="3"/>
      <c r="J552" s="5" t="s">
        <v>796</v>
      </c>
      <c r="K552" s="7">
        <v>445.69083522135054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x14ac:dyDescent="0.25" r="553" customHeight="1" ht="12.75">
      <c r="A553" s="5" t="s">
        <v>271</v>
      </c>
      <c r="B553" s="6">
        <v>0.11133299999999999</v>
      </c>
      <c r="C553" s="3"/>
      <c r="D553" s="5" t="s">
        <v>715</v>
      </c>
      <c r="E553" s="6">
        <v>3.8</v>
      </c>
      <c r="F553" s="3"/>
      <c r="G553" s="5" t="s">
        <v>632</v>
      </c>
      <c r="H553" s="6">
        <v>142.5406176</v>
      </c>
      <c r="I553" s="3"/>
      <c r="J553" s="5" t="s">
        <v>782</v>
      </c>
      <c r="K553" s="7">
        <v>442.855966018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x14ac:dyDescent="0.25" r="554" customHeight="1" ht="12.75">
      <c r="A554" s="5" t="s">
        <v>775</v>
      </c>
      <c r="B554" s="6">
        <v>0.11049695999999999</v>
      </c>
      <c r="C554" s="3"/>
      <c r="D554" s="5" t="s">
        <v>750</v>
      </c>
      <c r="E554" s="6">
        <v>3.7999740259740262</v>
      </c>
      <c r="F554" s="3"/>
      <c r="G554" s="5" t="s">
        <v>551</v>
      </c>
      <c r="H554" s="6">
        <v>142.36204500000002</v>
      </c>
      <c r="I554" s="3"/>
      <c r="J554" s="5" t="s">
        <v>383</v>
      </c>
      <c r="K554" s="7">
        <v>441.134481342986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x14ac:dyDescent="0.25" r="555" customHeight="1" ht="12.75">
      <c r="A555" s="5" t="s">
        <v>301</v>
      </c>
      <c r="B555" s="6">
        <v>0.110159</v>
      </c>
      <c r="C555" s="3"/>
      <c r="D555" s="5" t="s">
        <v>797</v>
      </c>
      <c r="E555" s="6">
        <v>3.79</v>
      </c>
      <c r="F555" s="3"/>
      <c r="G555" s="5" t="s">
        <v>602</v>
      </c>
      <c r="H555" s="6">
        <v>141.71247350750315</v>
      </c>
      <c r="I555" s="3"/>
      <c r="J555" s="5" t="s">
        <v>756</v>
      </c>
      <c r="K555" s="7">
        <v>437.4415555967814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x14ac:dyDescent="0.25" r="556" customHeight="1" ht="12.75">
      <c r="A556" s="5" t="s">
        <v>798</v>
      </c>
      <c r="B556" s="6">
        <v>0.11006855999999998</v>
      </c>
      <c r="C556" s="3"/>
      <c r="D556" s="5" t="s">
        <v>140</v>
      </c>
      <c r="E556" s="6">
        <v>3.769626168224299</v>
      </c>
      <c r="F556" s="3"/>
      <c r="G556" s="5" t="s">
        <v>136</v>
      </c>
      <c r="H556" s="6">
        <v>141.5963622110775</v>
      </c>
      <c r="I556" s="3"/>
      <c r="J556" s="5" t="s">
        <v>598</v>
      </c>
      <c r="K556" s="7">
        <v>436.74841042948685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x14ac:dyDescent="0.25" r="557" customHeight="1" ht="12.75">
      <c r="A557" s="5" t="s">
        <v>799</v>
      </c>
      <c r="B557" s="6">
        <v>0.10961236840000001</v>
      </c>
      <c r="C557" s="3"/>
      <c r="D557" s="5" t="s">
        <v>728</v>
      </c>
      <c r="E557" s="6">
        <v>3.76</v>
      </c>
      <c r="F557" s="3"/>
      <c r="G557" s="5" t="s">
        <v>800</v>
      </c>
      <c r="H557" s="6">
        <v>141.1172754652733</v>
      </c>
      <c r="I557" s="3"/>
      <c r="J557" s="5" t="s">
        <v>266</v>
      </c>
      <c r="K557" s="7">
        <v>434.6816960851568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x14ac:dyDescent="0.25" r="558" customHeight="1" ht="12.75">
      <c r="A558" s="5" t="s">
        <v>167</v>
      </c>
      <c r="B558" s="6">
        <v>0.10769389999999998</v>
      </c>
      <c r="C558" s="3"/>
      <c r="D558" s="5" t="s">
        <v>142</v>
      </c>
      <c r="E558" s="6">
        <v>3.7585582338364496</v>
      </c>
      <c r="F558" s="3"/>
      <c r="G558" s="5" t="s">
        <v>708</v>
      </c>
      <c r="H558" s="6">
        <v>140.17929733601287</v>
      </c>
      <c r="I558" s="3"/>
      <c r="J558" s="5" t="s">
        <v>792</v>
      </c>
      <c r="K558" s="7">
        <v>433.666866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x14ac:dyDescent="0.25" r="559" customHeight="1" ht="12.75">
      <c r="A559" s="5" t="s">
        <v>245</v>
      </c>
      <c r="B559" s="6">
        <v>0.1070307525</v>
      </c>
      <c r="C559" s="3"/>
      <c r="D559" s="5" t="s">
        <v>549</v>
      </c>
      <c r="E559" s="6">
        <v>3.71</v>
      </c>
      <c r="F559" s="3"/>
      <c r="G559" s="5" t="s">
        <v>432</v>
      </c>
      <c r="H559" s="6">
        <v>139.53428400643088</v>
      </c>
      <c r="I559" s="3"/>
      <c r="J559" s="5" t="s">
        <v>582</v>
      </c>
      <c r="K559" s="7">
        <v>432.32598483039527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x14ac:dyDescent="0.25" r="560" customHeight="1" ht="12.75">
      <c r="A560" s="5" t="s">
        <v>91</v>
      </c>
      <c r="B560" s="6">
        <v>0.1068</v>
      </c>
      <c r="C560" s="3"/>
      <c r="D560" s="5" t="s">
        <v>514</v>
      </c>
      <c r="E560" s="6">
        <v>3.7</v>
      </c>
      <c r="F560" s="3"/>
      <c r="G560" s="5" t="s">
        <v>513</v>
      </c>
      <c r="H560" s="6">
        <v>139.09891156270098</v>
      </c>
      <c r="I560" s="3"/>
      <c r="J560" s="5" t="s">
        <v>524</v>
      </c>
      <c r="K560" s="7">
        <v>430.65839823763986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x14ac:dyDescent="0.25" r="561" customHeight="1" ht="12.75">
      <c r="A561" s="5" t="s">
        <v>801</v>
      </c>
      <c r="B561" s="6">
        <v>0.10531249999999999</v>
      </c>
      <c r="C561" s="3"/>
      <c r="D561" s="5" t="s">
        <v>583</v>
      </c>
      <c r="E561" s="6">
        <v>3.6999999999999997</v>
      </c>
      <c r="F561" s="3"/>
      <c r="G561" s="5" t="s">
        <v>679</v>
      </c>
      <c r="H561" s="6">
        <v>138.9042156697749</v>
      </c>
      <c r="I561" s="3"/>
      <c r="J561" s="5" t="s">
        <v>733</v>
      </c>
      <c r="K561" s="7">
        <v>427.51603199999994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x14ac:dyDescent="0.25" r="562" customHeight="1" ht="12.75">
      <c r="A562" s="5" t="s">
        <v>646</v>
      </c>
      <c r="B562" s="6">
        <v>0.10504659999999999</v>
      </c>
      <c r="C562" s="3"/>
      <c r="D562" s="5" t="s">
        <v>492</v>
      </c>
      <c r="E562" s="6">
        <v>3.696761194029851</v>
      </c>
      <c r="F562" s="3"/>
      <c r="G562" s="5" t="s">
        <v>680</v>
      </c>
      <c r="H562" s="6">
        <v>138.9042156697749</v>
      </c>
      <c r="I562" s="3"/>
      <c r="J562" s="5" t="s">
        <v>533</v>
      </c>
      <c r="K562" s="7">
        <v>426.56150427045014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x14ac:dyDescent="0.25" r="563" customHeight="1" ht="12.75">
      <c r="A563" s="5" t="s">
        <v>777</v>
      </c>
      <c r="B563" s="6">
        <v>0.10500000000000001</v>
      </c>
      <c r="C563" s="3"/>
      <c r="D563" s="5" t="s">
        <v>273</v>
      </c>
      <c r="E563" s="6">
        <v>3.69</v>
      </c>
      <c r="F563" s="3"/>
      <c r="G563" s="5" t="s">
        <v>90</v>
      </c>
      <c r="H563" s="6">
        <v>138.7492264921013</v>
      </c>
      <c r="I563" s="3"/>
      <c r="J563" s="5" t="s">
        <v>802</v>
      </c>
      <c r="K563" s="7">
        <v>424.22589064886296</v>
      </c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x14ac:dyDescent="0.25" r="564" customHeight="1" ht="12.75">
      <c r="A564" s="5" t="s">
        <v>552</v>
      </c>
      <c r="B564" s="6">
        <v>0.105</v>
      </c>
      <c r="C564" s="3"/>
      <c r="D564" s="5" t="s">
        <v>566</v>
      </c>
      <c r="E564" s="6">
        <v>3.67</v>
      </c>
      <c r="F564" s="3"/>
      <c r="G564" s="5" t="s">
        <v>335</v>
      </c>
      <c r="H564" s="6">
        <v>138.739715485209</v>
      </c>
      <c r="I564" s="3"/>
      <c r="J564" s="5" t="s">
        <v>88</v>
      </c>
      <c r="K564" s="7">
        <v>416.6980598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x14ac:dyDescent="0.25" r="565" customHeight="1" ht="12.75">
      <c r="A565" s="5" t="s">
        <v>803</v>
      </c>
      <c r="B565" s="6">
        <v>0.10450099999999998</v>
      </c>
      <c r="C565" s="3"/>
      <c r="D565" s="5" t="s">
        <v>804</v>
      </c>
      <c r="E565" s="6">
        <v>3.66</v>
      </c>
      <c r="F565" s="3"/>
      <c r="G565" s="5" t="s">
        <v>652</v>
      </c>
      <c r="H565" s="6">
        <v>138.01095103151127</v>
      </c>
      <c r="I565" s="3"/>
      <c r="J565" s="5" t="s">
        <v>211</v>
      </c>
      <c r="K565" s="7">
        <v>413.97489075023344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x14ac:dyDescent="0.25" r="566" customHeight="1" ht="12.75">
      <c r="A566" s="5" t="s">
        <v>440</v>
      </c>
      <c r="B566" s="6">
        <v>0.103964</v>
      </c>
      <c r="C566" s="3"/>
      <c r="D566" s="5" t="s">
        <v>444</v>
      </c>
      <c r="E566" s="6">
        <v>3.6407079646017704</v>
      </c>
      <c r="F566" s="3"/>
      <c r="G566" s="5" t="s">
        <v>360</v>
      </c>
      <c r="H566" s="6">
        <v>137.84023632774654</v>
      </c>
      <c r="I566" s="3"/>
      <c r="J566" s="5" t="s">
        <v>798</v>
      </c>
      <c r="K566" s="7">
        <v>412.22459978288015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x14ac:dyDescent="0.25" r="567" customHeight="1" ht="12.75">
      <c r="A567" s="5" t="s">
        <v>304</v>
      </c>
      <c r="B567" s="6">
        <v>0.10348</v>
      </c>
      <c r="C567" s="3"/>
      <c r="D567" s="5" t="s">
        <v>269</v>
      </c>
      <c r="E567" s="6">
        <v>3.634928906424477</v>
      </c>
      <c r="F567" s="3"/>
      <c r="G567" s="5" t="s">
        <v>805</v>
      </c>
      <c r="H567" s="6">
        <v>137.76102875176852</v>
      </c>
      <c r="I567" s="3"/>
      <c r="J567" s="5" t="s">
        <v>321</v>
      </c>
      <c r="K567" s="7">
        <v>403.9632836378972</v>
      </c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x14ac:dyDescent="0.25" r="568" customHeight="1" ht="12.75">
      <c r="A568" s="5" t="s">
        <v>402</v>
      </c>
      <c r="B568" s="6">
        <v>0.10245689999999999</v>
      </c>
      <c r="C568" s="3"/>
      <c r="D568" s="5" t="s">
        <v>169</v>
      </c>
      <c r="E568" s="6">
        <v>3.61</v>
      </c>
      <c r="F568" s="3"/>
      <c r="G568" s="5" t="s">
        <v>337</v>
      </c>
      <c r="H568" s="6">
        <v>137.32252007717042</v>
      </c>
      <c r="I568" s="3"/>
      <c r="J568" s="5" t="s">
        <v>151</v>
      </c>
      <c r="K568" s="7">
        <v>399.793187</v>
      </c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x14ac:dyDescent="0.25" r="569" customHeight="1" ht="12.75">
      <c r="A569" s="5" t="s">
        <v>806</v>
      </c>
      <c r="B569" s="6">
        <v>0.10200000000000001</v>
      </c>
      <c r="C569" s="3"/>
      <c r="D569" s="5" t="s">
        <v>168</v>
      </c>
      <c r="E569" s="6">
        <v>3.61</v>
      </c>
      <c r="F569" s="3"/>
      <c r="G569" s="5" t="s">
        <v>425</v>
      </c>
      <c r="H569" s="6">
        <v>136.95144870825882</v>
      </c>
      <c r="I569" s="3"/>
      <c r="J569" s="5" t="s">
        <v>411</v>
      </c>
      <c r="K569" s="7">
        <v>395.34889961856913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x14ac:dyDescent="0.25" r="570" customHeight="1" ht="12.75">
      <c r="A570" s="5" t="s">
        <v>756</v>
      </c>
      <c r="B570" s="6">
        <v>0.10018500000000001</v>
      </c>
      <c r="C570" s="3"/>
      <c r="D570" s="5" t="s">
        <v>687</v>
      </c>
      <c r="E570" s="6">
        <v>3.6</v>
      </c>
      <c r="F570" s="3"/>
      <c r="G570" s="5" t="s">
        <v>137</v>
      </c>
      <c r="H570" s="6">
        <v>136.85951851424903</v>
      </c>
      <c r="I570" s="3"/>
      <c r="J570" s="5" t="s">
        <v>206</v>
      </c>
      <c r="K570" s="7">
        <v>395.27375699999993</v>
      </c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x14ac:dyDescent="0.25" r="571" customHeight="1" ht="12.75">
      <c r="A571" s="5" t="s">
        <v>804</v>
      </c>
      <c r="B571" s="6">
        <v>0.09959958000000001</v>
      </c>
      <c r="C571" s="3"/>
      <c r="D571" s="5" t="s">
        <v>799</v>
      </c>
      <c r="E571" s="6">
        <v>3.58</v>
      </c>
      <c r="F571" s="3"/>
      <c r="G571" s="5" t="s">
        <v>746</v>
      </c>
      <c r="H571" s="6">
        <v>136.69964002025725</v>
      </c>
      <c r="I571" s="3"/>
      <c r="J571" s="5" t="s">
        <v>696</v>
      </c>
      <c r="K571" s="7">
        <v>394.47850081002053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x14ac:dyDescent="0.25" r="572" customHeight="1" ht="12.75">
      <c r="A572" s="5" t="s">
        <v>735</v>
      </c>
      <c r="B572" s="6">
        <v>0.09905500000000002</v>
      </c>
      <c r="C572" s="3"/>
      <c r="D572" s="5" t="s">
        <v>453</v>
      </c>
      <c r="E572" s="6">
        <v>3.5600000000000005</v>
      </c>
      <c r="F572" s="3"/>
      <c r="G572" s="5" t="s">
        <v>287</v>
      </c>
      <c r="H572" s="6">
        <v>136.5959137</v>
      </c>
      <c r="I572" s="3"/>
      <c r="J572" s="5" t="s">
        <v>637</v>
      </c>
      <c r="K572" s="7">
        <v>393.1216264799999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x14ac:dyDescent="0.25" r="573" customHeight="1" ht="12.75">
      <c r="A573" s="5" t="s">
        <v>429</v>
      </c>
      <c r="B573" s="6">
        <v>0.09867000000000001</v>
      </c>
      <c r="C573" s="3"/>
      <c r="D573" s="5" t="s">
        <v>807</v>
      </c>
      <c r="E573" s="6">
        <v>3.5349999999999997</v>
      </c>
      <c r="F573" s="3"/>
      <c r="G573" s="5" t="s">
        <v>717</v>
      </c>
      <c r="H573" s="6">
        <v>136.05366901607715</v>
      </c>
      <c r="I573" s="3"/>
      <c r="J573" s="5" t="s">
        <v>707</v>
      </c>
      <c r="K573" s="7">
        <v>392.70903401527124</v>
      </c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x14ac:dyDescent="0.25" r="574" customHeight="1" ht="12.75">
      <c r="A574" s="5" t="s">
        <v>288</v>
      </c>
      <c r="B574" s="6">
        <v>0.0981</v>
      </c>
      <c r="C574" s="3"/>
      <c r="D574" s="5" t="s">
        <v>451</v>
      </c>
      <c r="E574" s="6">
        <v>3.5193498055982735</v>
      </c>
      <c r="F574" s="3"/>
      <c r="G574" s="5" t="s">
        <v>797</v>
      </c>
      <c r="H574" s="6">
        <v>135.3171312237942</v>
      </c>
      <c r="I574" s="3"/>
      <c r="J574" s="5" t="s">
        <v>735</v>
      </c>
      <c r="K574" s="7">
        <v>392.4344833237299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x14ac:dyDescent="0.25" r="575" customHeight="1" ht="12.75">
      <c r="A575" s="5" t="s">
        <v>792</v>
      </c>
      <c r="B575" s="6">
        <v>0.0975</v>
      </c>
      <c r="C575" s="3"/>
      <c r="D575" s="5" t="s">
        <v>603</v>
      </c>
      <c r="E575" s="6">
        <v>3.5114333034914953</v>
      </c>
      <c r="F575" s="3"/>
      <c r="G575" s="5" t="s">
        <v>808</v>
      </c>
      <c r="H575" s="6">
        <v>135.03146094401214</v>
      </c>
      <c r="I575" s="3"/>
      <c r="J575" s="5" t="s">
        <v>772</v>
      </c>
      <c r="K575" s="7">
        <v>389.17441236130435</v>
      </c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x14ac:dyDescent="0.25" r="576" customHeight="1" ht="12.75">
      <c r="A576" s="5" t="s">
        <v>442</v>
      </c>
      <c r="B576" s="6">
        <v>0.096744</v>
      </c>
      <c r="C576" s="3"/>
      <c r="D576" s="5" t="s">
        <v>809</v>
      </c>
      <c r="E576" s="6">
        <v>3.510483870967742</v>
      </c>
      <c r="F576" s="3"/>
      <c r="G576" s="5" t="s">
        <v>536</v>
      </c>
      <c r="H576" s="6">
        <v>134.28855202057878</v>
      </c>
      <c r="I576" s="3"/>
      <c r="J576" s="5" t="s">
        <v>600</v>
      </c>
      <c r="K576" s="7">
        <v>386.2271812115884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x14ac:dyDescent="0.25" r="577" customHeight="1" ht="12.75">
      <c r="A577" s="5" t="s">
        <v>282</v>
      </c>
      <c r="B577" s="6">
        <v>0.0935675</v>
      </c>
      <c r="C577" s="3"/>
      <c r="D577" s="5" t="s">
        <v>695</v>
      </c>
      <c r="E577" s="6">
        <v>3.5</v>
      </c>
      <c r="F577" s="3"/>
      <c r="G577" s="5" t="s">
        <v>710</v>
      </c>
      <c r="H577" s="6">
        <v>133.6474358712836</v>
      </c>
      <c r="I577" s="3"/>
      <c r="J577" s="5" t="s">
        <v>588</v>
      </c>
      <c r="K577" s="7">
        <v>381.55206788102896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x14ac:dyDescent="0.25" r="578" customHeight="1" ht="12.75">
      <c r="A578" s="5" t="s">
        <v>405</v>
      </c>
      <c r="B578" s="6">
        <v>0.0934699</v>
      </c>
      <c r="C578" s="3"/>
      <c r="D578" s="5" t="s">
        <v>810</v>
      </c>
      <c r="E578" s="6">
        <v>3.5</v>
      </c>
      <c r="F578" s="3"/>
      <c r="G578" s="5" t="s">
        <v>623</v>
      </c>
      <c r="H578" s="6">
        <v>133.13353886495176</v>
      </c>
      <c r="I578" s="3"/>
      <c r="J578" s="5" t="s">
        <v>429</v>
      </c>
      <c r="K578" s="7">
        <v>380.26411084701937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x14ac:dyDescent="0.25" r="579" customHeight="1" ht="12.75">
      <c r="A579" s="5" t="s">
        <v>320</v>
      </c>
      <c r="B579" s="6">
        <v>0.0930351744</v>
      </c>
      <c r="C579" s="3"/>
      <c r="D579" s="5" t="s">
        <v>811</v>
      </c>
      <c r="E579" s="6">
        <v>3.48</v>
      </c>
      <c r="F579" s="3"/>
      <c r="G579" s="5" t="s">
        <v>127</v>
      </c>
      <c r="H579" s="6">
        <v>132.59792459163987</v>
      </c>
      <c r="I579" s="3"/>
      <c r="J579" s="5" t="s">
        <v>434</v>
      </c>
      <c r="K579" s="7">
        <v>376.11357840000005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x14ac:dyDescent="0.25" r="580" customHeight="1" ht="12.75">
      <c r="A580" s="5" t="s">
        <v>317</v>
      </c>
      <c r="B580" s="6">
        <v>0.09303232800000001</v>
      </c>
      <c r="C580" s="3"/>
      <c r="D580" s="5" t="s">
        <v>613</v>
      </c>
      <c r="E580" s="6">
        <v>3.4548195803294455</v>
      </c>
      <c r="F580" s="3"/>
      <c r="G580" s="5" t="s">
        <v>459</v>
      </c>
      <c r="H580" s="6">
        <v>132.33738651768488</v>
      </c>
      <c r="I580" s="3"/>
      <c r="J580" s="5" t="s">
        <v>271</v>
      </c>
      <c r="K580" s="7">
        <v>375.9058438743343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x14ac:dyDescent="0.25" r="581" customHeight="1" ht="12.75">
      <c r="A581" s="5" t="s">
        <v>621</v>
      </c>
      <c r="B581" s="6">
        <v>0.09300000000000001</v>
      </c>
      <c r="C581" s="3"/>
      <c r="D581" s="5" t="s">
        <v>456</v>
      </c>
      <c r="E581" s="6">
        <v>3.451685259909803</v>
      </c>
      <c r="F581" s="3"/>
      <c r="G581" s="5" t="s">
        <v>607</v>
      </c>
      <c r="H581" s="6">
        <v>132.11285959999998</v>
      </c>
      <c r="I581" s="3"/>
      <c r="J581" s="5" t="s">
        <v>159</v>
      </c>
      <c r="K581" s="7">
        <v>370.3547698259171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x14ac:dyDescent="0.25" r="582" customHeight="1" ht="12.75">
      <c r="A582" s="5" t="s">
        <v>222</v>
      </c>
      <c r="B582" s="6">
        <v>0.0918972</v>
      </c>
      <c r="C582" s="3"/>
      <c r="D582" s="5" t="s">
        <v>488</v>
      </c>
      <c r="E582" s="6">
        <v>3.4186075632356627</v>
      </c>
      <c r="F582" s="3"/>
      <c r="G582" s="5" t="s">
        <v>242</v>
      </c>
      <c r="H582" s="6">
        <v>131.658942266881</v>
      </c>
      <c r="I582" s="3"/>
      <c r="J582" s="5" t="s">
        <v>485</v>
      </c>
      <c r="K582" s="7">
        <v>367.4679025996785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x14ac:dyDescent="0.25" r="583" customHeight="1" ht="12.75">
      <c r="A583" s="5" t="s">
        <v>657</v>
      </c>
      <c r="B583" s="6">
        <v>0.09072</v>
      </c>
      <c r="C583" s="3"/>
      <c r="D583" s="5" t="s">
        <v>339</v>
      </c>
      <c r="E583" s="6">
        <v>3.4003134707709677</v>
      </c>
      <c r="F583" s="3"/>
      <c r="G583" s="5" t="s">
        <v>646</v>
      </c>
      <c r="H583" s="6">
        <v>131.5193305362137</v>
      </c>
      <c r="I583" s="3"/>
      <c r="J583" s="5" t="s">
        <v>711</v>
      </c>
      <c r="K583" s="7">
        <v>367.30670221864955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x14ac:dyDescent="0.25" r="584" customHeight="1" ht="12.75">
      <c r="A584" s="5" t="s">
        <v>740</v>
      </c>
      <c r="B584" s="6">
        <v>0.09025</v>
      </c>
      <c r="C584" s="3"/>
      <c r="D584" s="5" t="s">
        <v>709</v>
      </c>
      <c r="E584" s="6">
        <v>3.4000000000000004</v>
      </c>
      <c r="F584" s="3"/>
      <c r="G584" s="5" t="s">
        <v>165</v>
      </c>
      <c r="H584" s="6">
        <v>130.2528658</v>
      </c>
      <c r="I584" s="3"/>
      <c r="J584" s="5" t="s">
        <v>97</v>
      </c>
      <c r="K584" s="7">
        <v>362.10555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x14ac:dyDescent="0.25" r="585" customHeight="1" ht="12.75">
      <c r="A585" s="5" t="s">
        <v>286</v>
      </c>
      <c r="B585" s="6">
        <v>0.09018100000000001</v>
      </c>
      <c r="C585" s="3"/>
      <c r="D585" s="5" t="s">
        <v>289</v>
      </c>
      <c r="E585" s="6">
        <v>3.4</v>
      </c>
      <c r="F585" s="3"/>
      <c r="G585" s="5" t="s">
        <v>409</v>
      </c>
      <c r="H585" s="6">
        <v>130.2456175311702</v>
      </c>
      <c r="I585" s="3"/>
      <c r="J585" s="5" t="s">
        <v>751</v>
      </c>
      <c r="K585" s="7">
        <v>361.69837140299995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x14ac:dyDescent="0.25" r="586" customHeight="1" ht="12.75">
      <c r="A586" s="5" t="s">
        <v>711</v>
      </c>
      <c r="B586" s="6">
        <v>0.09</v>
      </c>
      <c r="C586" s="3"/>
      <c r="D586" s="5" t="s">
        <v>314</v>
      </c>
      <c r="E586" s="6">
        <v>3.3899999999999997</v>
      </c>
      <c r="F586" s="3"/>
      <c r="G586" s="5" t="s">
        <v>610</v>
      </c>
      <c r="H586" s="6">
        <v>129.884009</v>
      </c>
      <c r="I586" s="3"/>
      <c r="J586" s="5" t="s">
        <v>307</v>
      </c>
      <c r="K586" s="7">
        <v>359.881318037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x14ac:dyDescent="0.25" r="587" customHeight="1" ht="12.75">
      <c r="A587" s="5" t="s">
        <v>742</v>
      </c>
      <c r="B587" s="6">
        <v>0.08929999999999999</v>
      </c>
      <c r="C587" s="3"/>
      <c r="D587" s="5" t="s">
        <v>316</v>
      </c>
      <c r="E587" s="6">
        <v>3.3899999999999997</v>
      </c>
      <c r="F587" s="3"/>
      <c r="G587" s="5" t="s">
        <v>810</v>
      </c>
      <c r="H587" s="6">
        <v>129.68279380688514</v>
      </c>
      <c r="I587" s="3"/>
      <c r="J587" s="5" t="s">
        <v>610</v>
      </c>
      <c r="K587" s="7">
        <v>358.47986483999995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x14ac:dyDescent="0.25" r="588" customHeight="1" ht="12.75">
      <c r="A588" s="5" t="s">
        <v>712</v>
      </c>
      <c r="B588" s="6">
        <v>0.0877068</v>
      </c>
      <c r="C588" s="3"/>
      <c r="D588" s="5" t="s">
        <v>612</v>
      </c>
      <c r="E588" s="6">
        <v>3.34</v>
      </c>
      <c r="F588" s="3"/>
      <c r="G588" s="5" t="s">
        <v>606</v>
      </c>
      <c r="H588" s="6">
        <v>129.3074654512584</v>
      </c>
      <c r="I588" s="3"/>
      <c r="J588" s="5" t="s">
        <v>576</v>
      </c>
      <c r="K588" s="7">
        <v>358.4254802659164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x14ac:dyDescent="0.25" r="589" customHeight="1" ht="12.75">
      <c r="A589" s="5" t="s">
        <v>362</v>
      </c>
      <c r="B589" s="6">
        <v>0.08701885119999998</v>
      </c>
      <c r="C589" s="3"/>
      <c r="D589" s="5" t="s">
        <v>751</v>
      </c>
      <c r="E589" s="6">
        <v>3.3174436090225563</v>
      </c>
      <c r="F589" s="3"/>
      <c r="G589" s="5" t="s">
        <v>574</v>
      </c>
      <c r="H589" s="6">
        <v>129.11460359999998</v>
      </c>
      <c r="I589" s="3"/>
      <c r="J589" s="5" t="s">
        <v>518</v>
      </c>
      <c r="K589" s="7">
        <v>356.835365184309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x14ac:dyDescent="0.25" r="590" customHeight="1" ht="12.75">
      <c r="A590" s="5" t="s">
        <v>98</v>
      </c>
      <c r="B590" s="6">
        <v>0.08686599</v>
      </c>
      <c r="C590" s="3"/>
      <c r="D590" s="5" t="s">
        <v>390</v>
      </c>
      <c r="E590" s="6">
        <v>3.3000000000000003</v>
      </c>
      <c r="F590" s="3"/>
      <c r="G590" s="5" t="s">
        <v>729</v>
      </c>
      <c r="H590" s="6">
        <v>128.61116355305467</v>
      </c>
      <c r="I590" s="3"/>
      <c r="J590" s="5" t="s">
        <v>812</v>
      </c>
      <c r="K590" s="7">
        <v>354.24811200447044</v>
      </c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x14ac:dyDescent="0.25" r="591" customHeight="1" ht="12.75">
      <c r="A591" s="5" t="s">
        <v>259</v>
      </c>
      <c r="B591" s="6">
        <v>0.08620000000000001</v>
      </c>
      <c r="C591" s="3"/>
      <c r="D591" s="5" t="s">
        <v>795</v>
      </c>
      <c r="E591" s="6">
        <v>3.3000000000000003</v>
      </c>
      <c r="F591" s="3"/>
      <c r="G591" s="5" t="s">
        <v>169</v>
      </c>
      <c r="H591" s="6">
        <v>128.4239941</v>
      </c>
      <c r="I591" s="3"/>
      <c r="J591" s="5" t="s">
        <v>806</v>
      </c>
      <c r="K591" s="7">
        <v>354.07097669886167</v>
      </c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x14ac:dyDescent="0.25" r="592" customHeight="1" ht="12.75">
      <c r="A592" s="5" t="s">
        <v>673</v>
      </c>
      <c r="B592" s="6">
        <v>0.0855</v>
      </c>
      <c r="C592" s="3"/>
      <c r="D592" s="5" t="s">
        <v>739</v>
      </c>
      <c r="E592" s="6">
        <v>3.29</v>
      </c>
      <c r="F592" s="3"/>
      <c r="G592" s="5" t="s">
        <v>774</v>
      </c>
      <c r="H592" s="6">
        <v>128.17487</v>
      </c>
      <c r="I592" s="3"/>
      <c r="J592" s="5" t="s">
        <v>616</v>
      </c>
      <c r="K592" s="7">
        <v>350.39328045292604</v>
      </c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x14ac:dyDescent="0.25" r="593" customHeight="1" ht="12.75">
      <c r="A593" s="5" t="s">
        <v>619</v>
      </c>
      <c r="B593" s="6">
        <v>0.0851666</v>
      </c>
      <c r="C593" s="3"/>
      <c r="D593" s="5" t="s">
        <v>808</v>
      </c>
      <c r="E593" s="6">
        <v>3.2748091603053435</v>
      </c>
      <c r="F593" s="3"/>
      <c r="G593" s="5" t="s">
        <v>627</v>
      </c>
      <c r="H593" s="6">
        <v>127.26273959999999</v>
      </c>
      <c r="I593" s="3"/>
      <c r="J593" s="5" t="s">
        <v>510</v>
      </c>
      <c r="K593" s="7">
        <v>349.83433438800006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x14ac:dyDescent="0.25" r="594" customHeight="1" ht="12.75">
      <c r="A594" s="5" t="s">
        <v>554</v>
      </c>
      <c r="B594" s="6">
        <v>0.08399999999999999</v>
      </c>
      <c r="C594" s="3"/>
      <c r="D594" s="5" t="s">
        <v>684</v>
      </c>
      <c r="E594" s="6">
        <v>3.2579093307907225</v>
      </c>
      <c r="F594" s="3"/>
      <c r="G594" s="5" t="s">
        <v>624</v>
      </c>
      <c r="H594" s="6">
        <v>127.19439700000001</v>
      </c>
      <c r="I594" s="3"/>
      <c r="J594" s="5" t="s">
        <v>241</v>
      </c>
      <c r="K594" s="7">
        <v>348.1221774815455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x14ac:dyDescent="0.25" r="595" customHeight="1" ht="12.75">
      <c r="A595" s="5" t="s">
        <v>266</v>
      </c>
      <c r="B595" s="6">
        <v>0.08294625</v>
      </c>
      <c r="C595" s="3"/>
      <c r="D595" s="5" t="s">
        <v>327</v>
      </c>
      <c r="E595" s="6">
        <v>3.2559130434782606</v>
      </c>
      <c r="F595" s="3"/>
      <c r="G595" s="5" t="s">
        <v>154</v>
      </c>
      <c r="H595" s="6">
        <v>126.81356406443753</v>
      </c>
      <c r="I595" s="3"/>
      <c r="J595" s="5" t="s">
        <v>301</v>
      </c>
      <c r="K595" s="7">
        <v>345.4585143388122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x14ac:dyDescent="0.25" r="596" customHeight="1" ht="12.75">
      <c r="A596" s="5" t="s">
        <v>342</v>
      </c>
      <c r="B596" s="6">
        <v>0.08276</v>
      </c>
      <c r="C596" s="3"/>
      <c r="D596" s="5" t="s">
        <v>792</v>
      </c>
      <c r="E596" s="6">
        <v>3.25</v>
      </c>
      <c r="F596" s="3"/>
      <c r="G596" s="5" t="s">
        <v>769</v>
      </c>
      <c r="H596" s="6">
        <v>126.05215787548629</v>
      </c>
      <c r="I596" s="3"/>
      <c r="J596" s="5" t="s">
        <v>813</v>
      </c>
      <c r="K596" s="7">
        <v>343.8192921610059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x14ac:dyDescent="0.25" r="597" customHeight="1" ht="12.75">
      <c r="A597" s="5" t="s">
        <v>713</v>
      </c>
      <c r="B597" s="6">
        <v>0.08268</v>
      </c>
      <c r="C597" s="3"/>
      <c r="D597" s="5" t="s">
        <v>793</v>
      </c>
      <c r="E597" s="6">
        <v>3.22</v>
      </c>
      <c r="F597" s="3"/>
      <c r="G597" s="5" t="s">
        <v>164</v>
      </c>
      <c r="H597" s="6">
        <v>125.88266</v>
      </c>
      <c r="I597" s="3"/>
      <c r="J597" s="5" t="s">
        <v>438</v>
      </c>
      <c r="K597" s="7">
        <v>343.1390541067524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x14ac:dyDescent="0.25" r="598" customHeight="1" ht="12.75">
      <c r="A598" s="5" t="s">
        <v>74</v>
      </c>
      <c r="B598" s="6">
        <v>0.08263999999999999</v>
      </c>
      <c r="C598" s="3"/>
      <c r="D598" s="5" t="s">
        <v>449</v>
      </c>
      <c r="E598" s="6">
        <v>3.218260869565217</v>
      </c>
      <c r="F598" s="3"/>
      <c r="G598" s="5" t="s">
        <v>520</v>
      </c>
      <c r="H598" s="6">
        <v>125.25004241479098</v>
      </c>
      <c r="I598" s="3"/>
      <c r="J598" s="5" t="s">
        <v>814</v>
      </c>
      <c r="K598" s="7">
        <v>343.04260698612086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x14ac:dyDescent="0.25" r="599" customHeight="1" ht="12.75">
      <c r="A599" s="5" t="s">
        <v>423</v>
      </c>
      <c r="B599" s="6">
        <v>0.08260418880000002</v>
      </c>
      <c r="C599" s="3"/>
      <c r="D599" s="5" t="s">
        <v>540</v>
      </c>
      <c r="E599" s="6">
        <v>3.2040462427745666</v>
      </c>
      <c r="F599" s="3"/>
      <c r="G599" s="5" t="s">
        <v>764</v>
      </c>
      <c r="H599" s="6">
        <v>124.99601902213334</v>
      </c>
      <c r="I599" s="3"/>
      <c r="J599" s="5" t="s">
        <v>815</v>
      </c>
      <c r="K599" s="7">
        <v>337.26634662</v>
      </c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x14ac:dyDescent="0.25" r="600" customHeight="1" ht="12.75">
      <c r="A600" s="5" t="s">
        <v>561</v>
      </c>
      <c r="B600" s="6">
        <v>0.08255</v>
      </c>
      <c r="C600" s="3"/>
      <c r="D600" s="5" t="s">
        <v>349</v>
      </c>
      <c r="E600" s="6">
        <v>3.2</v>
      </c>
      <c r="F600" s="3"/>
      <c r="G600" s="5" t="s">
        <v>720</v>
      </c>
      <c r="H600" s="6">
        <v>124.81213441897106</v>
      </c>
      <c r="I600" s="3"/>
      <c r="J600" s="5" t="s">
        <v>286</v>
      </c>
      <c r="K600" s="7">
        <v>336.66340398600005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x14ac:dyDescent="0.25" r="601" customHeight="1" ht="12.75">
      <c r="A601" s="5" t="s">
        <v>435</v>
      </c>
      <c r="B601" s="6">
        <v>0.08199636480000001</v>
      </c>
      <c r="C601" s="3"/>
      <c r="D601" s="5" t="s">
        <v>529</v>
      </c>
      <c r="E601" s="6">
        <v>3.2</v>
      </c>
      <c r="F601" s="3"/>
      <c r="G601" s="5" t="s">
        <v>665</v>
      </c>
      <c r="H601" s="6">
        <v>124.73076315452397</v>
      </c>
      <c r="I601" s="3"/>
      <c r="J601" s="5" t="s">
        <v>378</v>
      </c>
      <c r="K601" s="7">
        <v>335.2987163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x14ac:dyDescent="0.25" r="602" customHeight="1" ht="12.75">
      <c r="A602" s="5" t="s">
        <v>290</v>
      </c>
      <c r="B602" s="6">
        <v>0.08197761999999999</v>
      </c>
      <c r="C602" s="3"/>
      <c r="D602" s="5" t="s">
        <v>531</v>
      </c>
      <c r="E602" s="6">
        <v>3.2</v>
      </c>
      <c r="F602" s="3"/>
      <c r="G602" s="5" t="s">
        <v>615</v>
      </c>
      <c r="H602" s="6">
        <v>124.34715609999998</v>
      </c>
      <c r="I602" s="3"/>
      <c r="J602" s="5" t="s">
        <v>108</v>
      </c>
      <c r="K602" s="7">
        <v>335.0858039240707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x14ac:dyDescent="0.25" r="603" customHeight="1" ht="12.75">
      <c r="A603" s="5" t="s">
        <v>35</v>
      </c>
      <c r="B603" s="6">
        <v>0.0816</v>
      </c>
      <c r="C603" s="3"/>
      <c r="D603" s="5" t="s">
        <v>663</v>
      </c>
      <c r="E603" s="6">
        <v>3.2</v>
      </c>
      <c r="F603" s="3"/>
      <c r="G603" s="5" t="s">
        <v>673</v>
      </c>
      <c r="H603" s="6">
        <v>123.777267</v>
      </c>
      <c r="I603" s="3"/>
      <c r="J603" s="5" t="s">
        <v>736</v>
      </c>
      <c r="K603" s="7">
        <v>334.4473115016077</v>
      </c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x14ac:dyDescent="0.25" r="604" customHeight="1" ht="12.75">
      <c r="A604" s="5" t="s">
        <v>393</v>
      </c>
      <c r="B604" s="6">
        <v>0.081</v>
      </c>
      <c r="C604" s="3"/>
      <c r="D604" s="5" t="s">
        <v>75</v>
      </c>
      <c r="E604" s="6">
        <v>3.1951094890510947</v>
      </c>
      <c r="F604" s="3"/>
      <c r="G604" s="5" t="s">
        <v>692</v>
      </c>
      <c r="H604" s="6">
        <v>122.48926448553055</v>
      </c>
      <c r="I604" s="3"/>
      <c r="J604" s="5" t="s">
        <v>139</v>
      </c>
      <c r="K604" s="7">
        <v>330.7406515241158</v>
      </c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x14ac:dyDescent="0.25" r="605" customHeight="1" ht="12.75">
      <c r="A605" s="5" t="s">
        <v>816</v>
      </c>
      <c r="B605" s="6">
        <v>0.0809056</v>
      </c>
      <c r="C605" s="3"/>
      <c r="D605" s="5" t="s">
        <v>817</v>
      </c>
      <c r="E605" s="6">
        <v>3.18</v>
      </c>
      <c r="F605" s="3"/>
      <c r="G605" s="5" t="s">
        <v>659</v>
      </c>
      <c r="H605" s="6">
        <v>122.12491929999999</v>
      </c>
      <c r="I605" s="3"/>
      <c r="J605" s="5" t="s">
        <v>207</v>
      </c>
      <c r="K605" s="7">
        <v>329.60970470890265</v>
      </c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x14ac:dyDescent="0.25" r="606" customHeight="1" ht="12.75">
      <c r="A606" s="5" t="s">
        <v>701</v>
      </c>
      <c r="B606" s="6">
        <v>0.08085601440000001</v>
      </c>
      <c r="C606" s="3"/>
      <c r="D606" s="5" t="s">
        <v>761</v>
      </c>
      <c r="E606" s="6">
        <v>3.1738526107385736</v>
      </c>
      <c r="F606" s="3"/>
      <c r="G606" s="5" t="s">
        <v>698</v>
      </c>
      <c r="H606" s="6">
        <v>122.03193059163986</v>
      </c>
      <c r="I606" s="3"/>
      <c r="J606" s="5" t="s">
        <v>758</v>
      </c>
      <c r="K606" s="7">
        <v>328.8689899854696</v>
      </c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x14ac:dyDescent="0.25" r="607" customHeight="1" ht="12.75">
      <c r="A607" s="5" t="s">
        <v>438</v>
      </c>
      <c r="B607" s="6">
        <v>0.08076</v>
      </c>
      <c r="C607" s="3"/>
      <c r="D607" s="5" t="s">
        <v>800</v>
      </c>
      <c r="E607" s="6">
        <v>3.17</v>
      </c>
      <c r="F607" s="3"/>
      <c r="G607" s="5" t="s">
        <v>818</v>
      </c>
      <c r="H607" s="6">
        <v>121.90904644656085</v>
      </c>
      <c r="I607" s="3"/>
      <c r="J607" s="5" t="s">
        <v>99</v>
      </c>
      <c r="K607" s="7">
        <v>328.6231875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x14ac:dyDescent="0.25" r="608" customHeight="1" ht="12.75">
      <c r="A608" s="5" t="s">
        <v>472</v>
      </c>
      <c r="B608" s="6">
        <v>0.08</v>
      </c>
      <c r="C608" s="3"/>
      <c r="D608" s="5" t="s">
        <v>694</v>
      </c>
      <c r="E608" s="6">
        <v>3.16</v>
      </c>
      <c r="F608" s="3"/>
      <c r="G608" s="5" t="s">
        <v>104</v>
      </c>
      <c r="H608" s="6">
        <v>121.39871426928026</v>
      </c>
      <c r="I608" s="3"/>
      <c r="J608" s="5" t="s">
        <v>338</v>
      </c>
      <c r="K608" s="7">
        <v>325.63905245289624</v>
      </c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x14ac:dyDescent="0.25" r="609" customHeight="1" ht="12.75">
      <c r="A609" s="5" t="s">
        <v>774</v>
      </c>
      <c r="B609" s="6">
        <v>0.08</v>
      </c>
      <c r="C609" s="3"/>
      <c r="D609" s="5" t="s">
        <v>734</v>
      </c>
      <c r="E609" s="6">
        <v>3.1127710843373495</v>
      </c>
      <c r="F609" s="3"/>
      <c r="G609" s="5" t="s">
        <v>547</v>
      </c>
      <c r="H609" s="6">
        <v>120.9839192096463</v>
      </c>
      <c r="I609" s="3"/>
      <c r="J609" s="5" t="s">
        <v>644</v>
      </c>
      <c r="K609" s="7">
        <v>321.843106943209</v>
      </c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x14ac:dyDescent="0.25" r="610" customHeight="1" ht="12.75">
      <c r="A610" s="5" t="s">
        <v>786</v>
      </c>
      <c r="B610" s="6">
        <v>0.07927999999999999</v>
      </c>
      <c r="C610" s="3"/>
      <c r="D610" s="5" t="s">
        <v>412</v>
      </c>
      <c r="E610" s="6">
        <v>3.1100000000000003</v>
      </c>
      <c r="F610" s="3"/>
      <c r="G610" s="5" t="s">
        <v>148</v>
      </c>
      <c r="H610" s="6">
        <v>120.74594199999999</v>
      </c>
      <c r="I610" s="3"/>
      <c r="J610" s="5" t="s">
        <v>444</v>
      </c>
      <c r="K610" s="7">
        <v>321.49865677787784</v>
      </c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x14ac:dyDescent="0.25" r="611" customHeight="1" ht="12.75">
      <c r="A611" s="5" t="s">
        <v>763</v>
      </c>
      <c r="B611" s="6">
        <v>0.0792</v>
      </c>
      <c r="C611" s="3"/>
      <c r="D611" s="5" t="s">
        <v>721</v>
      </c>
      <c r="E611" s="6">
        <v>3.108147060439562</v>
      </c>
      <c r="F611" s="3"/>
      <c r="G611" s="5" t="s">
        <v>239</v>
      </c>
      <c r="H611" s="6">
        <v>120.613666</v>
      </c>
      <c r="I611" s="3"/>
      <c r="J611" s="5" t="s">
        <v>561</v>
      </c>
      <c r="K611" s="7">
        <v>320.574314641865</v>
      </c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x14ac:dyDescent="0.25" r="612" customHeight="1" ht="12.75">
      <c r="A612" s="5" t="s">
        <v>607</v>
      </c>
      <c r="B612" s="6">
        <v>0.078202</v>
      </c>
      <c r="C612" s="3"/>
      <c r="D612" s="5" t="s">
        <v>729</v>
      </c>
      <c r="E612" s="6">
        <v>3.1</v>
      </c>
      <c r="F612" s="3"/>
      <c r="G612" s="5" t="s">
        <v>651</v>
      </c>
      <c r="H612" s="6">
        <v>120.49603118327974</v>
      </c>
      <c r="I612" s="3"/>
      <c r="J612" s="5" t="s">
        <v>805</v>
      </c>
      <c r="K612" s="7">
        <v>316.8503661290676</v>
      </c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x14ac:dyDescent="0.25" r="613" customHeight="1" ht="12.75">
      <c r="A613" s="5" t="s">
        <v>599</v>
      </c>
      <c r="B613" s="6">
        <v>0.07800000000000001</v>
      </c>
      <c r="C613" s="3"/>
      <c r="D613" s="5" t="s">
        <v>725</v>
      </c>
      <c r="E613" s="6">
        <v>3.0999999999999996</v>
      </c>
      <c r="F613" s="3"/>
      <c r="G613" s="5" t="s">
        <v>656</v>
      </c>
      <c r="H613" s="6">
        <v>119.6513581</v>
      </c>
      <c r="I613" s="3"/>
      <c r="J613" s="5" t="s">
        <v>728</v>
      </c>
      <c r="K613" s="7">
        <v>311.97063273030545</v>
      </c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x14ac:dyDescent="0.25" r="614" customHeight="1" ht="12.75">
      <c r="A614" s="5" t="s">
        <v>582</v>
      </c>
      <c r="B614" s="6">
        <v>0.07731247999999999</v>
      </c>
      <c r="C614" s="3"/>
      <c r="D614" s="5" t="s">
        <v>693</v>
      </c>
      <c r="E614" s="6">
        <v>3.09</v>
      </c>
      <c r="F614" s="3"/>
      <c r="G614" s="5" t="s">
        <v>203</v>
      </c>
      <c r="H614" s="6">
        <v>119.27368424437299</v>
      </c>
      <c r="I614" s="3"/>
      <c r="J614" s="5" t="s">
        <v>818</v>
      </c>
      <c r="K614" s="7">
        <v>310.4426546302502</v>
      </c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x14ac:dyDescent="0.25" r="615" customHeight="1" ht="12.75">
      <c r="A615" s="5" t="s">
        <v>80</v>
      </c>
      <c r="B615" s="6">
        <v>0.076925</v>
      </c>
      <c r="C615" s="3"/>
      <c r="D615" s="5" t="s">
        <v>819</v>
      </c>
      <c r="E615" s="6">
        <v>3.05</v>
      </c>
      <c r="F615" s="3"/>
      <c r="G615" s="5" t="s">
        <v>637</v>
      </c>
      <c r="H615" s="6">
        <v>119.12776559999999</v>
      </c>
      <c r="I615" s="3"/>
      <c r="J615" s="5" t="s">
        <v>744</v>
      </c>
      <c r="K615" s="7">
        <v>306.46669294799995</v>
      </c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x14ac:dyDescent="0.25" r="616" customHeight="1" ht="12.75">
      <c r="A616" s="5" t="s">
        <v>157</v>
      </c>
      <c r="B616" s="6">
        <v>0.07589646</v>
      </c>
      <c r="C616" s="3"/>
      <c r="D616" s="5" t="s">
        <v>677</v>
      </c>
      <c r="E616" s="6">
        <v>3.0299014025969613</v>
      </c>
      <c r="F616" s="3"/>
      <c r="G616" s="5" t="s">
        <v>767</v>
      </c>
      <c r="H616" s="6">
        <v>119.04041454340836</v>
      </c>
      <c r="I616" s="3"/>
      <c r="J616" s="5" t="s">
        <v>799</v>
      </c>
      <c r="K616" s="7">
        <v>305.9269951442637</v>
      </c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x14ac:dyDescent="0.25" r="617" customHeight="1" ht="12.75">
      <c r="A617" s="5" t="s">
        <v>139</v>
      </c>
      <c r="B617" s="6">
        <v>0.07475000000000001</v>
      </c>
      <c r="C617" s="3"/>
      <c r="D617" s="5" t="s">
        <v>437</v>
      </c>
      <c r="E617" s="6">
        <v>3.02</v>
      </c>
      <c r="F617" s="3"/>
      <c r="G617" s="5" t="s">
        <v>587</v>
      </c>
      <c r="H617" s="6">
        <v>118.4597718</v>
      </c>
      <c r="I617" s="3"/>
      <c r="J617" s="5" t="s">
        <v>768</v>
      </c>
      <c r="K617" s="7">
        <v>304.59726871382634</v>
      </c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x14ac:dyDescent="0.25" r="618" customHeight="1" ht="12.75">
      <c r="A618" s="5" t="s">
        <v>461</v>
      </c>
      <c r="B618" s="6">
        <v>0.07427700000000001</v>
      </c>
      <c r="C618" s="3"/>
      <c r="D618" s="5" t="s">
        <v>806</v>
      </c>
      <c r="E618" s="6">
        <v>3.0000000000000004</v>
      </c>
      <c r="F618" s="3"/>
      <c r="G618" s="5" t="s">
        <v>14</v>
      </c>
      <c r="H618" s="6">
        <v>118.10974586894163</v>
      </c>
      <c r="I618" s="3"/>
      <c r="J618" s="5" t="s">
        <v>685</v>
      </c>
      <c r="K618" s="7">
        <v>303.62529575180065</v>
      </c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x14ac:dyDescent="0.25" r="619" customHeight="1" ht="12.75">
      <c r="A619" s="5" t="s">
        <v>791</v>
      </c>
      <c r="B619" s="6">
        <v>0.073497</v>
      </c>
      <c r="C619" s="3"/>
      <c r="D619" s="5" t="s">
        <v>371</v>
      </c>
      <c r="E619" s="6">
        <v>3</v>
      </c>
      <c r="F619" s="3"/>
      <c r="G619" s="5" t="s">
        <v>565</v>
      </c>
      <c r="H619" s="6">
        <v>116.84180755943146</v>
      </c>
      <c r="I619" s="3"/>
      <c r="J619" s="5" t="s">
        <v>50</v>
      </c>
      <c r="K619" s="7">
        <v>302.9132124261076</v>
      </c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x14ac:dyDescent="0.25" r="620" customHeight="1" ht="12.75">
      <c r="A620" s="5" t="s">
        <v>608</v>
      </c>
      <c r="B620" s="6">
        <v>0.073375</v>
      </c>
      <c r="C620" s="3"/>
      <c r="D620" s="5" t="s">
        <v>777</v>
      </c>
      <c r="E620" s="6">
        <v>3</v>
      </c>
      <c r="F620" s="3"/>
      <c r="G620" s="5" t="s">
        <v>820</v>
      </c>
      <c r="H620" s="6">
        <v>116.7731881109325</v>
      </c>
      <c r="I620" s="3"/>
      <c r="J620" s="5" t="s">
        <v>657</v>
      </c>
      <c r="K620" s="7">
        <v>302.3634265964952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x14ac:dyDescent="0.25" r="621" customHeight="1" ht="12.75">
      <c r="A621" s="5" t="s">
        <v>785</v>
      </c>
      <c r="B621" s="6">
        <v>0.07266921523089097</v>
      </c>
      <c r="C621" s="3"/>
      <c r="D621" s="5" t="s">
        <v>710</v>
      </c>
      <c r="E621" s="6">
        <v>2.990729439116536</v>
      </c>
      <c r="F621" s="3"/>
      <c r="G621" s="5" t="s">
        <v>807</v>
      </c>
      <c r="H621" s="6">
        <v>115.96496079951768</v>
      </c>
      <c r="I621" s="3"/>
      <c r="J621" s="5" t="s">
        <v>679</v>
      </c>
      <c r="K621" s="7">
        <v>297.95495987607825</v>
      </c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x14ac:dyDescent="0.25" r="622" customHeight="1" ht="12.75">
      <c r="A622" s="5" t="s">
        <v>211</v>
      </c>
      <c r="B622" s="6">
        <v>0.07202159999999999</v>
      </c>
      <c r="C622" s="3"/>
      <c r="D622" s="5" t="s">
        <v>340</v>
      </c>
      <c r="E622" s="6">
        <v>2.98</v>
      </c>
      <c r="F622" s="3"/>
      <c r="G622" s="5" t="s">
        <v>523</v>
      </c>
      <c r="H622" s="6">
        <v>115.58607569999998</v>
      </c>
      <c r="I622" s="3"/>
      <c r="J622" s="5" t="s">
        <v>470</v>
      </c>
      <c r="K622" s="7">
        <v>296.07464106790485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x14ac:dyDescent="0.25" r="623" customHeight="1" ht="12.75">
      <c r="A623" s="5" t="s">
        <v>769</v>
      </c>
      <c r="B623" s="6">
        <v>0.07122999999999999</v>
      </c>
      <c r="C623" s="3"/>
      <c r="D623" s="5" t="s">
        <v>579</v>
      </c>
      <c r="E623" s="6">
        <v>2.95</v>
      </c>
      <c r="F623" s="3"/>
      <c r="G623" s="5" t="s">
        <v>771</v>
      </c>
      <c r="H623" s="6">
        <v>115.57693155255542</v>
      </c>
      <c r="I623" s="3"/>
      <c r="J623" s="5" t="s">
        <v>138</v>
      </c>
      <c r="K623" s="7">
        <v>295.9792928074017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x14ac:dyDescent="0.25" r="624" customHeight="1" ht="12.75">
      <c r="A624" s="5" t="s">
        <v>542</v>
      </c>
      <c r="B624" s="6">
        <v>0.07100000000000001</v>
      </c>
      <c r="C624" s="3"/>
      <c r="D624" s="5" t="s">
        <v>143</v>
      </c>
      <c r="E624" s="6">
        <v>2.94</v>
      </c>
      <c r="F624" s="3"/>
      <c r="G624" s="5" t="s">
        <v>532</v>
      </c>
      <c r="H624" s="6">
        <v>115.26751099999998</v>
      </c>
      <c r="I624" s="3"/>
      <c r="J624" s="5" t="s">
        <v>752</v>
      </c>
      <c r="K624" s="7">
        <v>293.156685</v>
      </c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x14ac:dyDescent="0.25" r="625" customHeight="1" ht="12.75">
      <c r="A625" s="5" t="s">
        <v>745</v>
      </c>
      <c r="B625" s="6">
        <v>0.07017192000000001</v>
      </c>
      <c r="C625" s="3"/>
      <c r="D625" s="5" t="s">
        <v>597</v>
      </c>
      <c r="E625" s="6">
        <v>2.938297849795851</v>
      </c>
      <c r="F625" s="3"/>
      <c r="G625" s="5" t="s">
        <v>765</v>
      </c>
      <c r="H625" s="6">
        <v>115.2101575948553</v>
      </c>
      <c r="I625" s="3"/>
      <c r="J625" s="5" t="s">
        <v>320</v>
      </c>
      <c r="K625" s="7">
        <v>291.97730338868644</v>
      </c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x14ac:dyDescent="0.25" r="626" customHeight="1" ht="12.75">
      <c r="A626" s="5" t="s">
        <v>643</v>
      </c>
      <c r="B626" s="6">
        <v>0.06911780000000001</v>
      </c>
      <c r="C626" s="3"/>
      <c r="D626" s="5" t="s">
        <v>522</v>
      </c>
      <c r="E626" s="6">
        <v>2.936910902696366</v>
      </c>
      <c r="F626" s="3"/>
      <c r="G626" s="5" t="s">
        <v>233</v>
      </c>
      <c r="H626" s="6">
        <v>114.93983236391097</v>
      </c>
      <c r="I626" s="3"/>
      <c r="J626" s="5" t="s">
        <v>734</v>
      </c>
      <c r="K626" s="7">
        <v>291.0676966036399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x14ac:dyDescent="0.25" r="627" customHeight="1" ht="12.75">
      <c r="A627" s="5" t="s">
        <v>420</v>
      </c>
      <c r="B627" s="6">
        <v>0.068809</v>
      </c>
      <c r="C627" s="3"/>
      <c r="D627" s="5" t="s">
        <v>821</v>
      </c>
      <c r="E627" s="6">
        <v>2.9299999999999997</v>
      </c>
      <c r="F627" s="3"/>
      <c r="G627" s="5" t="s">
        <v>753</v>
      </c>
      <c r="H627" s="6">
        <v>114.5749916977492</v>
      </c>
      <c r="I627" s="3"/>
      <c r="J627" s="5" t="s">
        <v>652</v>
      </c>
      <c r="K627" s="7">
        <v>289.82299716617365</v>
      </c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x14ac:dyDescent="0.25" r="628" customHeight="1" ht="12.75">
      <c r="A628" s="5" t="s">
        <v>784</v>
      </c>
      <c r="B628" s="6">
        <v>0.06849</v>
      </c>
      <c r="C628" s="3"/>
      <c r="D628" s="5" t="s">
        <v>822</v>
      </c>
      <c r="E628" s="6">
        <v>2.9299999999999997</v>
      </c>
      <c r="F628" s="3"/>
      <c r="G628" s="5" t="s">
        <v>252</v>
      </c>
      <c r="H628" s="6">
        <v>114.54748864000001</v>
      </c>
      <c r="I628" s="3"/>
      <c r="J628" s="5" t="s">
        <v>608</v>
      </c>
      <c r="K628" s="7">
        <v>287.9125087363344</v>
      </c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x14ac:dyDescent="0.25" r="629" customHeight="1" ht="12.75">
      <c r="A629" s="5" t="s">
        <v>823</v>
      </c>
      <c r="B629" s="6">
        <v>0.0682</v>
      </c>
      <c r="C629" s="3"/>
      <c r="D629" s="5" t="s">
        <v>681</v>
      </c>
      <c r="E629" s="6">
        <v>2.9000000000000004</v>
      </c>
      <c r="F629" s="3"/>
      <c r="G629" s="5" t="s">
        <v>218</v>
      </c>
      <c r="H629" s="6">
        <v>114.50063722175986</v>
      </c>
      <c r="I629" s="3"/>
      <c r="J629" s="5" t="s">
        <v>243</v>
      </c>
      <c r="K629" s="7">
        <v>283.75847519999996</v>
      </c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x14ac:dyDescent="0.25" r="630" customHeight="1" ht="12.75">
      <c r="A630" s="5" t="s">
        <v>813</v>
      </c>
      <c r="B630" s="6">
        <v>0.0671112684</v>
      </c>
      <c r="C630" s="3"/>
      <c r="D630" s="5" t="s">
        <v>768</v>
      </c>
      <c r="E630" s="6">
        <v>2.9</v>
      </c>
      <c r="F630" s="3"/>
      <c r="G630" s="5" t="s">
        <v>332</v>
      </c>
      <c r="H630" s="6">
        <v>114.3426813</v>
      </c>
      <c r="I630" s="3"/>
      <c r="J630" s="5" t="s">
        <v>179</v>
      </c>
      <c r="K630" s="7">
        <v>282.29903</v>
      </c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x14ac:dyDescent="0.25" r="631" customHeight="1" ht="12.75">
      <c r="A631" s="5" t="s">
        <v>779</v>
      </c>
      <c r="B631" s="6">
        <v>0.066542</v>
      </c>
      <c r="C631" s="3"/>
      <c r="D631" s="5" t="s">
        <v>432</v>
      </c>
      <c r="E631" s="6">
        <v>2.89</v>
      </c>
      <c r="F631" s="3"/>
      <c r="G631" s="5" t="s">
        <v>715</v>
      </c>
      <c r="H631" s="6">
        <v>113.78692798392282</v>
      </c>
      <c r="I631" s="3"/>
      <c r="J631" s="5" t="s">
        <v>357</v>
      </c>
      <c r="K631" s="7">
        <v>282.04686400135915</v>
      </c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x14ac:dyDescent="0.25" r="632" customHeight="1" ht="12.75">
      <c r="A632" s="5" t="s">
        <v>757</v>
      </c>
      <c r="B632" s="6">
        <v>0.06600299999999999</v>
      </c>
      <c r="C632" s="3"/>
      <c r="D632" s="5" t="s">
        <v>546</v>
      </c>
      <c r="E632" s="6">
        <v>2.89</v>
      </c>
      <c r="F632" s="3"/>
      <c r="G632" s="5" t="s">
        <v>812</v>
      </c>
      <c r="H632" s="6">
        <v>113.16381256090527</v>
      </c>
      <c r="I632" s="3"/>
      <c r="J632" s="5" t="s">
        <v>423</v>
      </c>
      <c r="K632" s="7">
        <v>280.9121001864157</v>
      </c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x14ac:dyDescent="0.25" r="633" customHeight="1" ht="12.75">
      <c r="A633" s="5" t="s">
        <v>57</v>
      </c>
      <c r="B633" s="6">
        <v>0.066</v>
      </c>
      <c r="C633" s="3"/>
      <c r="D633" s="5" t="s">
        <v>309</v>
      </c>
      <c r="E633" s="6">
        <v>2.8844602272727267</v>
      </c>
      <c r="F633" s="3"/>
      <c r="G633" s="5" t="s">
        <v>822</v>
      </c>
      <c r="H633" s="6">
        <v>113.11764733665595</v>
      </c>
      <c r="I633" s="3"/>
      <c r="J633" s="5" t="s">
        <v>259</v>
      </c>
      <c r="K633" s="7">
        <v>280.38680292498395</v>
      </c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x14ac:dyDescent="0.25" r="634" customHeight="1" ht="12.75">
      <c r="A634" s="5" t="s">
        <v>728</v>
      </c>
      <c r="B634" s="6">
        <v>0.0658</v>
      </c>
      <c r="C634" s="3"/>
      <c r="D634" s="5" t="s">
        <v>824</v>
      </c>
      <c r="E634" s="6">
        <v>2.88</v>
      </c>
      <c r="F634" s="3"/>
      <c r="G634" s="5" t="s">
        <v>809</v>
      </c>
      <c r="H634" s="6">
        <v>113.01066908354943</v>
      </c>
      <c r="I634" s="3"/>
      <c r="J634" s="5" t="s">
        <v>594</v>
      </c>
      <c r="K634" s="7">
        <v>279.2017635334305</v>
      </c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x14ac:dyDescent="0.25" r="635" customHeight="1" ht="12.75">
      <c r="A635" s="5" t="s">
        <v>683</v>
      </c>
      <c r="B635" s="6">
        <v>0.06568010000000002</v>
      </c>
      <c r="C635" s="3"/>
      <c r="D635" s="5" t="s">
        <v>493</v>
      </c>
      <c r="E635" s="6">
        <v>2.870757575757576</v>
      </c>
      <c r="F635" s="3"/>
      <c r="G635" s="5" t="s">
        <v>825</v>
      </c>
      <c r="H635" s="6">
        <v>112.84410140803858</v>
      </c>
      <c r="I635" s="3"/>
      <c r="J635" s="5" t="s">
        <v>714</v>
      </c>
      <c r="K635" s="7">
        <v>275.29641095463273</v>
      </c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x14ac:dyDescent="0.25" r="636" customHeight="1" ht="12.75">
      <c r="A636" s="5" t="s">
        <v>826</v>
      </c>
      <c r="B636" s="6">
        <v>0.06561</v>
      </c>
      <c r="C636" s="3"/>
      <c r="D636" s="5" t="s">
        <v>827</v>
      </c>
      <c r="E636" s="6">
        <v>2.85</v>
      </c>
      <c r="F636" s="3"/>
      <c r="G636" s="5" t="s">
        <v>748</v>
      </c>
      <c r="H636" s="6">
        <v>112.73459943215434</v>
      </c>
      <c r="I636" s="3"/>
      <c r="J636" s="5" t="s">
        <v>245</v>
      </c>
      <c r="K636" s="7">
        <v>273.5843172707925</v>
      </c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x14ac:dyDescent="0.25" r="637" customHeight="1" ht="12.75">
      <c r="A637" s="5" t="s">
        <v>714</v>
      </c>
      <c r="B637" s="6">
        <v>0.06552139650000001</v>
      </c>
      <c r="C637" s="3"/>
      <c r="D637" s="5" t="s">
        <v>798</v>
      </c>
      <c r="E637" s="6">
        <v>2.8473986976867396</v>
      </c>
      <c r="F637" s="3"/>
      <c r="G637" s="5" t="s">
        <v>645</v>
      </c>
      <c r="H637" s="6">
        <v>112.6197864</v>
      </c>
      <c r="I637" s="3"/>
      <c r="J637" s="5" t="s">
        <v>743</v>
      </c>
      <c r="K637" s="7">
        <v>273.51377268082905</v>
      </c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x14ac:dyDescent="0.25" r="638" customHeight="1" ht="12.75">
      <c r="A638" s="5" t="s">
        <v>781</v>
      </c>
      <c r="B638" s="6">
        <v>0.06534</v>
      </c>
      <c r="C638" s="3"/>
      <c r="D638" s="5" t="s">
        <v>688</v>
      </c>
      <c r="E638" s="6">
        <v>2.819991736902991</v>
      </c>
      <c r="F638" s="3"/>
      <c r="G638" s="5" t="s">
        <v>677</v>
      </c>
      <c r="H638" s="6">
        <v>112.58644552055941</v>
      </c>
      <c r="I638" s="3"/>
      <c r="J638" s="5" t="s">
        <v>328</v>
      </c>
      <c r="K638" s="7">
        <v>271.7445075</v>
      </c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x14ac:dyDescent="0.25" r="639" customHeight="1" ht="12.75">
      <c r="A639" s="5" t="s">
        <v>685</v>
      </c>
      <c r="B639" s="6">
        <v>0.063714</v>
      </c>
      <c r="C639" s="3"/>
      <c r="D639" s="5" t="s">
        <v>183</v>
      </c>
      <c r="E639" s="6">
        <v>2.8137931034482757</v>
      </c>
      <c r="F639" s="3"/>
      <c r="G639" s="5" t="s">
        <v>736</v>
      </c>
      <c r="H639" s="6">
        <v>111.48243716720256</v>
      </c>
      <c r="I639" s="3"/>
      <c r="J639" s="5" t="s">
        <v>222</v>
      </c>
      <c r="K639" s="7">
        <v>270.06331250520196</v>
      </c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x14ac:dyDescent="0.25" r="640" customHeight="1" ht="12.75">
      <c r="A640" s="5" t="s">
        <v>772</v>
      </c>
      <c r="B640" s="6">
        <v>0.063425647748</v>
      </c>
      <c r="C640" s="3"/>
      <c r="D640" s="5" t="s">
        <v>641</v>
      </c>
      <c r="E640" s="6">
        <v>2.8000000000000003</v>
      </c>
      <c r="F640" s="3"/>
      <c r="G640" s="5" t="s">
        <v>668</v>
      </c>
      <c r="H640" s="6">
        <v>111.4637146</v>
      </c>
      <c r="I640" s="3"/>
      <c r="J640" s="5" t="s">
        <v>552</v>
      </c>
      <c r="K640" s="7">
        <v>268.61380704983924</v>
      </c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x14ac:dyDescent="0.25" r="641" customHeight="1" ht="12.75">
      <c r="A641" s="5" t="s">
        <v>141</v>
      </c>
      <c r="B641" s="6">
        <v>0.06342</v>
      </c>
      <c r="C641" s="3"/>
      <c r="D641" s="5" t="s">
        <v>648</v>
      </c>
      <c r="E641" s="6">
        <v>2.8</v>
      </c>
      <c r="F641" s="3"/>
      <c r="G641" s="5" t="s">
        <v>740</v>
      </c>
      <c r="H641" s="6">
        <v>111.39623339999999</v>
      </c>
      <c r="I641" s="3"/>
      <c r="J641" s="5" t="s">
        <v>745</v>
      </c>
      <c r="K641" s="7">
        <v>266.47674807600004</v>
      </c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x14ac:dyDescent="0.25" r="642" customHeight="1" ht="12.75">
      <c r="A642" s="5" t="s">
        <v>470</v>
      </c>
      <c r="B642" s="6">
        <v>0.063168</v>
      </c>
      <c r="C642" s="3"/>
      <c r="D642" s="5" t="s">
        <v>409</v>
      </c>
      <c r="E642" s="6">
        <v>2.7927025767361346</v>
      </c>
      <c r="F642" s="3"/>
      <c r="G642" s="5" t="s">
        <v>828</v>
      </c>
      <c r="H642" s="6">
        <v>111.29267306559487</v>
      </c>
      <c r="I642" s="3"/>
      <c r="J642" s="5" t="s">
        <v>317</v>
      </c>
      <c r="K642" s="7">
        <v>266.20538128387506</v>
      </c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x14ac:dyDescent="0.25" r="643" customHeight="1" ht="12.75">
      <c r="A643" s="5" t="s">
        <v>762</v>
      </c>
      <c r="B643" s="6">
        <v>0.0627604434</v>
      </c>
      <c r="C643" s="3"/>
      <c r="D643" s="5" t="s">
        <v>487</v>
      </c>
      <c r="E643" s="6">
        <v>2.789237668161435</v>
      </c>
      <c r="F643" s="3"/>
      <c r="G643" s="5" t="s">
        <v>660</v>
      </c>
      <c r="H643" s="6">
        <v>111.2875297289389</v>
      </c>
      <c r="I643" s="3"/>
      <c r="J643" s="5" t="s">
        <v>683</v>
      </c>
      <c r="K643" s="7">
        <v>264.479501442</v>
      </c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x14ac:dyDescent="0.25" r="644" customHeight="1" ht="12.75">
      <c r="A644" s="5" t="s">
        <v>812</v>
      </c>
      <c r="B644" s="6">
        <v>0.0625894742</v>
      </c>
      <c r="C644" s="3"/>
      <c r="D644" s="5" t="s">
        <v>150</v>
      </c>
      <c r="E644" s="6">
        <v>2.75</v>
      </c>
      <c r="F644" s="3"/>
      <c r="G644" s="5" t="s">
        <v>699</v>
      </c>
      <c r="H644" s="6">
        <v>111.17177924437298</v>
      </c>
      <c r="I644" s="3"/>
      <c r="J644" s="5" t="s">
        <v>803</v>
      </c>
      <c r="K644" s="7">
        <v>263.6092601296</v>
      </c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x14ac:dyDescent="0.25" r="645" customHeight="1" ht="12.75">
      <c r="A645" s="5" t="s">
        <v>487</v>
      </c>
      <c r="B645" s="6">
        <v>0.0622</v>
      </c>
      <c r="C645" s="3"/>
      <c r="D645" s="5" t="s">
        <v>820</v>
      </c>
      <c r="E645" s="6">
        <v>2.75</v>
      </c>
      <c r="F645" s="3"/>
      <c r="G645" s="5" t="s">
        <v>730</v>
      </c>
      <c r="H645" s="6">
        <v>111.08318019999999</v>
      </c>
      <c r="I645" s="3"/>
      <c r="J645" s="5" t="s">
        <v>621</v>
      </c>
      <c r="K645" s="7">
        <v>262.31402610771704</v>
      </c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x14ac:dyDescent="0.25" r="646" customHeight="1" ht="12.75">
      <c r="A646" s="5" t="s">
        <v>594</v>
      </c>
      <c r="B646" s="6">
        <v>0.0617104</v>
      </c>
      <c r="C646" s="3"/>
      <c r="D646" s="5" t="s">
        <v>675</v>
      </c>
      <c r="E646" s="6">
        <v>2.73020564130272</v>
      </c>
      <c r="F646" s="3"/>
      <c r="G646" s="5" t="s">
        <v>556</v>
      </c>
      <c r="H646" s="6">
        <v>110.847288</v>
      </c>
      <c r="I646" s="3"/>
      <c r="J646" s="5" t="s">
        <v>788</v>
      </c>
      <c r="K646" s="7">
        <v>261.491860878</v>
      </c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x14ac:dyDescent="0.25" r="647" customHeight="1" ht="12.75">
      <c r="A647" s="5" t="s">
        <v>466</v>
      </c>
      <c r="B647" s="6">
        <v>0.061195299999999994</v>
      </c>
      <c r="C647" s="3"/>
      <c r="D647" s="5" t="s">
        <v>720</v>
      </c>
      <c r="E647" s="6">
        <v>2.73</v>
      </c>
      <c r="F647" s="3"/>
      <c r="G647" s="5" t="s">
        <v>633</v>
      </c>
      <c r="H647" s="6">
        <v>110.163862</v>
      </c>
      <c r="I647" s="3"/>
      <c r="J647" s="5" t="s">
        <v>823</v>
      </c>
      <c r="K647" s="7">
        <v>260.6809754381029</v>
      </c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x14ac:dyDescent="0.25" r="648" customHeight="1" ht="12.75">
      <c r="A648" s="5" t="s">
        <v>108</v>
      </c>
      <c r="B648" s="6">
        <v>0.061046</v>
      </c>
      <c r="C648" s="3"/>
      <c r="D648" s="5" t="s">
        <v>160</v>
      </c>
      <c r="E648" s="6">
        <v>2.71</v>
      </c>
      <c r="F648" s="3"/>
      <c r="G648" s="5" t="s">
        <v>719</v>
      </c>
      <c r="H648" s="6">
        <v>109.72953895498392</v>
      </c>
      <c r="I648" s="3"/>
      <c r="J648" s="5" t="s">
        <v>106</v>
      </c>
      <c r="K648" s="7">
        <v>260.1761553607717</v>
      </c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x14ac:dyDescent="0.25" r="649" customHeight="1" ht="12.75">
      <c r="A649" s="5" t="s">
        <v>357</v>
      </c>
      <c r="B649" s="6">
        <v>0.060684192799999995</v>
      </c>
      <c r="C649" s="3"/>
      <c r="D649" s="5" t="s">
        <v>767</v>
      </c>
      <c r="E649" s="6">
        <v>2.7</v>
      </c>
      <c r="F649" s="3"/>
      <c r="G649" s="5" t="s">
        <v>573</v>
      </c>
      <c r="H649" s="6">
        <v>109.69942509485531</v>
      </c>
      <c r="I649" s="3"/>
      <c r="J649" s="5" t="s">
        <v>603</v>
      </c>
      <c r="K649" s="7">
        <v>258.02528967053456</v>
      </c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x14ac:dyDescent="0.25" r="650" customHeight="1" ht="12.75">
      <c r="A650" s="5" t="s">
        <v>829</v>
      </c>
      <c r="B650" s="6">
        <v>0.0606322</v>
      </c>
      <c r="C650" s="3"/>
      <c r="D650" s="5" t="s">
        <v>830</v>
      </c>
      <c r="E650" s="6">
        <v>2.6999999999999997</v>
      </c>
      <c r="F650" s="3"/>
      <c r="G650" s="5" t="s">
        <v>612</v>
      </c>
      <c r="H650" s="6">
        <v>108.91862861428572</v>
      </c>
      <c r="I650" s="3"/>
      <c r="J650" s="5" t="s">
        <v>828</v>
      </c>
      <c r="K650" s="7">
        <v>257.5221194745952</v>
      </c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x14ac:dyDescent="0.25" r="651" customHeight="1" ht="12.75">
      <c r="A651" s="5" t="s">
        <v>321</v>
      </c>
      <c r="B651" s="6">
        <v>0.0602732</v>
      </c>
      <c r="C651" s="3"/>
      <c r="D651" s="5" t="s">
        <v>218</v>
      </c>
      <c r="E651" s="6">
        <v>2.697315175097276</v>
      </c>
      <c r="F651" s="3"/>
      <c r="G651" s="5" t="s">
        <v>731</v>
      </c>
      <c r="H651" s="6">
        <v>108.57655</v>
      </c>
      <c r="I651" s="3"/>
      <c r="J651" s="5" t="s">
        <v>794</v>
      </c>
      <c r="K651" s="7">
        <v>253.67825141999998</v>
      </c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x14ac:dyDescent="0.25" r="652" customHeight="1" ht="12.75">
      <c r="A652" s="5" t="s">
        <v>370</v>
      </c>
      <c r="B652" s="6">
        <v>0.058420000000000014</v>
      </c>
      <c r="C652" s="3"/>
      <c r="D652" s="5" t="s">
        <v>764</v>
      </c>
      <c r="E652" s="6">
        <v>2.6826299212598426</v>
      </c>
      <c r="F652" s="3"/>
      <c r="G652" s="5" t="s">
        <v>635</v>
      </c>
      <c r="H652" s="6">
        <v>108.52620601832797</v>
      </c>
      <c r="I652" s="3"/>
      <c r="J652" s="5" t="s">
        <v>362</v>
      </c>
      <c r="K652" s="7">
        <v>250.92347720478682</v>
      </c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x14ac:dyDescent="0.25" r="653" customHeight="1" ht="12.75">
      <c r="A653" s="5" t="s">
        <v>765</v>
      </c>
      <c r="B653" s="6">
        <v>0.05762</v>
      </c>
      <c r="C653" s="3"/>
      <c r="D653" s="5" t="s">
        <v>831</v>
      </c>
      <c r="E653" s="6">
        <v>2.6799999999999997</v>
      </c>
      <c r="F653" s="3"/>
      <c r="G653" s="5" t="s">
        <v>505</v>
      </c>
      <c r="H653" s="6">
        <v>108.30137225606649</v>
      </c>
      <c r="I653" s="3"/>
      <c r="J653" s="5" t="s">
        <v>804</v>
      </c>
      <c r="K653" s="7">
        <v>249.28156939172757</v>
      </c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x14ac:dyDescent="0.25" r="654" customHeight="1" ht="12.75">
      <c r="A654" s="5" t="s">
        <v>817</v>
      </c>
      <c r="B654" s="6">
        <v>0.057240000000000006</v>
      </c>
      <c r="C654" s="3"/>
      <c r="D654" s="5" t="s">
        <v>832</v>
      </c>
      <c r="E654" s="6">
        <v>2.675</v>
      </c>
      <c r="F654" s="3"/>
      <c r="G654" s="5" t="s">
        <v>766</v>
      </c>
      <c r="H654" s="6">
        <v>108.21101828938906</v>
      </c>
      <c r="I654" s="3"/>
      <c r="J654" s="5" t="s">
        <v>793</v>
      </c>
      <c r="K654" s="7">
        <v>244.085827383</v>
      </c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x14ac:dyDescent="0.25" r="655" customHeight="1" ht="12.75">
      <c r="A655" s="5" t="s">
        <v>300</v>
      </c>
      <c r="B655" s="6">
        <v>0.05707701</v>
      </c>
      <c r="C655" s="3"/>
      <c r="D655" s="5" t="s">
        <v>518</v>
      </c>
      <c r="E655" s="6">
        <v>2.673809874723655</v>
      </c>
      <c r="F655" s="3"/>
      <c r="G655" s="5" t="s">
        <v>40</v>
      </c>
      <c r="H655" s="6">
        <v>108.10586789999999</v>
      </c>
      <c r="I655" s="3"/>
      <c r="J655" s="5" t="s">
        <v>795</v>
      </c>
      <c r="K655" s="7">
        <v>240.20219300000002</v>
      </c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x14ac:dyDescent="0.25" r="656" customHeight="1" ht="12.75">
      <c r="A656" s="5" t="s">
        <v>670</v>
      </c>
      <c r="B656" s="6">
        <v>0.056799999999999996</v>
      </c>
      <c r="C656" s="3"/>
      <c r="D656" s="5" t="s">
        <v>260</v>
      </c>
      <c r="E656" s="6">
        <v>2.6652173913043478</v>
      </c>
      <c r="F656" s="3"/>
      <c r="G656" s="5" t="s">
        <v>661</v>
      </c>
      <c r="H656" s="6">
        <v>107.9705702</v>
      </c>
      <c r="I656" s="3"/>
      <c r="J656" s="5" t="s">
        <v>80</v>
      </c>
      <c r="K656" s="7">
        <v>238.22815890064308</v>
      </c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x14ac:dyDescent="0.25" r="657" customHeight="1" ht="12.75">
      <c r="A657" s="5" t="s">
        <v>629</v>
      </c>
      <c r="B657" s="6">
        <v>0.055692000000000005</v>
      </c>
      <c r="C657" s="3"/>
      <c r="D657" s="5" t="s">
        <v>833</v>
      </c>
      <c r="E657" s="6">
        <v>2.6399999999999997</v>
      </c>
      <c r="F657" s="3"/>
      <c r="G657" s="5" t="s">
        <v>562</v>
      </c>
      <c r="H657" s="6">
        <v>107.89099964577127</v>
      </c>
      <c r="I657" s="3"/>
      <c r="J657" s="5" t="s">
        <v>775</v>
      </c>
      <c r="K657" s="7">
        <v>236.10504883896</v>
      </c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x14ac:dyDescent="0.25" r="658" customHeight="1" ht="12.75">
      <c r="A658" s="5" t="s">
        <v>755</v>
      </c>
      <c r="B658" s="6">
        <v>0.05568</v>
      </c>
      <c r="C658" s="3"/>
      <c r="D658" s="5" t="s">
        <v>741</v>
      </c>
      <c r="E658" s="6">
        <v>2.6199999999999997</v>
      </c>
      <c r="F658" s="3"/>
      <c r="G658" s="5" t="s">
        <v>834</v>
      </c>
      <c r="H658" s="6">
        <v>107.84700643991901</v>
      </c>
      <c r="I658" s="3"/>
      <c r="J658" s="5" t="s">
        <v>829</v>
      </c>
      <c r="K658" s="7">
        <v>235.93476421219998</v>
      </c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x14ac:dyDescent="0.25" r="659" customHeight="1" ht="12.75">
      <c r="A659" s="5" t="s">
        <v>241</v>
      </c>
      <c r="B659" s="6">
        <v>0.055559391592320005</v>
      </c>
      <c r="C659" s="3"/>
      <c r="D659" s="5" t="s">
        <v>479</v>
      </c>
      <c r="E659" s="6">
        <v>2.6192777064344703</v>
      </c>
      <c r="F659" s="3"/>
      <c r="G659" s="5" t="s">
        <v>341</v>
      </c>
      <c r="H659" s="6">
        <v>107.40706928378378</v>
      </c>
      <c r="I659" s="3"/>
      <c r="J659" s="5" t="s">
        <v>516</v>
      </c>
      <c r="K659" s="7">
        <v>235.68826976609054</v>
      </c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x14ac:dyDescent="0.25" r="660" customHeight="1" ht="12.75">
      <c r="A660" s="5" t="s">
        <v>692</v>
      </c>
      <c r="B660" s="6">
        <v>0.05500000000000001</v>
      </c>
      <c r="C660" s="3"/>
      <c r="D660" s="5" t="s">
        <v>835</v>
      </c>
      <c r="E660" s="6">
        <v>2.619168281084889</v>
      </c>
      <c r="F660" s="3"/>
      <c r="G660" s="5" t="s">
        <v>155</v>
      </c>
      <c r="H660" s="6">
        <v>107.14409800321545</v>
      </c>
      <c r="I660" s="3"/>
      <c r="J660" s="5" t="s">
        <v>713</v>
      </c>
      <c r="K660" s="7">
        <v>235.3401280758521</v>
      </c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x14ac:dyDescent="0.25" r="661" customHeight="1" ht="12.75">
      <c r="A661" s="5" t="s">
        <v>539</v>
      </c>
      <c r="B661" s="6">
        <v>0.054607420000000004</v>
      </c>
      <c r="C661" s="3"/>
      <c r="D661" s="5" t="s">
        <v>161</v>
      </c>
      <c r="E661" s="6">
        <v>2.6</v>
      </c>
      <c r="F661" s="3"/>
      <c r="G661" s="5" t="s">
        <v>634</v>
      </c>
      <c r="H661" s="6">
        <v>106.87138175201389</v>
      </c>
      <c r="I661" s="3"/>
      <c r="J661" s="5" t="s">
        <v>801</v>
      </c>
      <c r="K661" s="7">
        <v>234.45450732717043</v>
      </c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x14ac:dyDescent="0.25" r="662" customHeight="1" ht="12.75">
      <c r="A662" s="5" t="s">
        <v>463</v>
      </c>
      <c r="B662" s="6">
        <v>0.054134186999999986</v>
      </c>
      <c r="C662" s="3"/>
      <c r="D662" s="5" t="s">
        <v>258</v>
      </c>
      <c r="E662" s="6">
        <v>2.5999999999999996</v>
      </c>
      <c r="F662" s="3"/>
      <c r="G662" s="5" t="s">
        <v>250</v>
      </c>
      <c r="H662" s="6">
        <v>106.82719989999998</v>
      </c>
      <c r="I662" s="3"/>
      <c r="J662" s="5" t="s">
        <v>539</v>
      </c>
      <c r="K662" s="7">
        <v>232.28792909840504</v>
      </c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x14ac:dyDescent="0.25" r="663" customHeight="1" ht="12.75">
      <c r="A663" s="5" t="s">
        <v>783</v>
      </c>
      <c r="B663" s="6">
        <v>0.054116521739130424</v>
      </c>
      <c r="C663" s="3"/>
      <c r="D663" s="5" t="s">
        <v>207</v>
      </c>
      <c r="E663" s="6">
        <v>2.5734354485776803</v>
      </c>
      <c r="F663" s="3"/>
      <c r="G663" s="5" t="s">
        <v>798</v>
      </c>
      <c r="H663" s="6">
        <v>106.63969698306313</v>
      </c>
      <c r="I663" s="3"/>
      <c r="J663" s="5" t="s">
        <v>645</v>
      </c>
      <c r="K663" s="7">
        <v>225.2395728</v>
      </c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x14ac:dyDescent="0.25" r="664" customHeight="1" ht="12.75">
      <c r="A664" s="5" t="s">
        <v>510</v>
      </c>
      <c r="B664" s="6">
        <v>0.053328</v>
      </c>
      <c r="C664" s="3"/>
      <c r="D664" s="5" t="s">
        <v>534</v>
      </c>
      <c r="E664" s="6">
        <v>2.55</v>
      </c>
      <c r="F664" s="3"/>
      <c r="G664" s="5" t="s">
        <v>674</v>
      </c>
      <c r="H664" s="6">
        <v>106.56873830932474</v>
      </c>
      <c r="I664" s="3"/>
      <c r="J664" s="5" t="s">
        <v>749</v>
      </c>
      <c r="K664" s="7">
        <v>223.16490698778136</v>
      </c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x14ac:dyDescent="0.25" r="665" customHeight="1" ht="12.75">
      <c r="A665" s="5" t="s">
        <v>818</v>
      </c>
      <c r="B665" s="6">
        <v>0.05296741632</v>
      </c>
      <c r="C665" s="3"/>
      <c r="D665" s="5" t="s">
        <v>836</v>
      </c>
      <c r="E665" s="6">
        <v>2.5442743851895813</v>
      </c>
      <c r="F665" s="3"/>
      <c r="G665" s="5" t="s">
        <v>703</v>
      </c>
      <c r="H665" s="6">
        <v>106.405019</v>
      </c>
      <c r="I665" s="3"/>
      <c r="J665" s="5" t="s">
        <v>91</v>
      </c>
      <c r="K665" s="7">
        <v>219.84932579999997</v>
      </c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x14ac:dyDescent="0.25" r="666" customHeight="1" ht="12.75">
      <c r="A666" s="5" t="s">
        <v>381</v>
      </c>
      <c r="B666" s="6">
        <v>0.052101800000000004</v>
      </c>
      <c r="C666" s="3"/>
      <c r="D666" s="5" t="s">
        <v>772</v>
      </c>
      <c r="E666" s="6">
        <v>2.5418666407506456</v>
      </c>
      <c r="F666" s="3"/>
      <c r="G666" s="5" t="s">
        <v>205</v>
      </c>
      <c r="H666" s="6">
        <v>105.85386899999999</v>
      </c>
      <c r="I666" s="3"/>
      <c r="J666" s="5" t="s">
        <v>619</v>
      </c>
      <c r="K666" s="7">
        <v>217.73829815098264</v>
      </c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x14ac:dyDescent="0.25" r="667" customHeight="1" ht="12.75">
      <c r="A667" s="5" t="s">
        <v>118</v>
      </c>
      <c r="B667" s="6">
        <v>0.0520955064</v>
      </c>
      <c r="C667" s="3"/>
      <c r="D667" s="5" t="s">
        <v>644</v>
      </c>
      <c r="E667" s="6">
        <v>2.54</v>
      </c>
      <c r="F667" s="3"/>
      <c r="G667" s="5" t="s">
        <v>545</v>
      </c>
      <c r="H667" s="6">
        <v>105.27075230000001</v>
      </c>
      <c r="I667" s="3"/>
      <c r="J667" s="5" t="s">
        <v>370</v>
      </c>
      <c r="K667" s="7">
        <v>213.39039187948558</v>
      </c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x14ac:dyDescent="0.25" r="668" customHeight="1" ht="12.75">
      <c r="A668" s="5" t="s">
        <v>748</v>
      </c>
      <c r="B668" s="6">
        <v>0.051980000000000005</v>
      </c>
      <c r="C668" s="3"/>
      <c r="D668" s="5" t="s">
        <v>505</v>
      </c>
      <c r="E668" s="6">
        <v>2.5229645390324063</v>
      </c>
      <c r="F668" s="3"/>
      <c r="G668" s="5" t="s">
        <v>161</v>
      </c>
      <c r="H668" s="6">
        <v>105.1329648</v>
      </c>
      <c r="I668" s="3"/>
      <c r="J668" s="5" t="s">
        <v>740</v>
      </c>
      <c r="K668" s="7">
        <v>211.65284345999996</v>
      </c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x14ac:dyDescent="0.25" r="669" customHeight="1" ht="12.75">
      <c r="A669" s="5" t="s">
        <v>734</v>
      </c>
      <c r="B669" s="6">
        <v>0.051671999999999996</v>
      </c>
      <c r="C669" s="3"/>
      <c r="D669" s="5" t="s">
        <v>435</v>
      </c>
      <c r="E669" s="6">
        <v>2.514858096828047</v>
      </c>
      <c r="F669" s="3"/>
      <c r="G669" s="5" t="s">
        <v>806</v>
      </c>
      <c r="H669" s="6">
        <v>104.13852255848873</v>
      </c>
      <c r="I669" s="3"/>
      <c r="J669" s="5" t="s">
        <v>288</v>
      </c>
      <c r="K669" s="7">
        <v>208.31485859999998</v>
      </c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x14ac:dyDescent="0.25" r="670" customHeight="1" ht="12.75">
      <c r="A670" s="5" t="s">
        <v>521</v>
      </c>
      <c r="B670" s="6">
        <v>0.050482589599999995</v>
      </c>
      <c r="C670" s="3"/>
      <c r="D670" s="5" t="s">
        <v>212</v>
      </c>
      <c r="E670" s="6">
        <v>2.5100000000000002</v>
      </c>
      <c r="F670" s="3"/>
      <c r="G670" s="5" t="s">
        <v>431</v>
      </c>
      <c r="H670" s="6">
        <v>103.98363333333333</v>
      </c>
      <c r="I670" s="3"/>
      <c r="J670" s="5" t="s">
        <v>670</v>
      </c>
      <c r="K670" s="7">
        <v>203.50332906720257</v>
      </c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x14ac:dyDescent="0.25" r="671" customHeight="1" ht="12.75">
      <c r="A671" s="5" t="s">
        <v>85</v>
      </c>
      <c r="B671" s="6">
        <v>0.050463254016</v>
      </c>
      <c r="C671" s="3"/>
      <c r="D671" s="5" t="s">
        <v>658</v>
      </c>
      <c r="E671" s="6">
        <v>2.51</v>
      </c>
      <c r="F671" s="3"/>
      <c r="G671" s="5" t="s">
        <v>781</v>
      </c>
      <c r="H671" s="6">
        <v>102.97448374326098</v>
      </c>
      <c r="I671" s="3"/>
      <c r="J671" s="5" t="s">
        <v>442</v>
      </c>
      <c r="K671" s="7">
        <v>201.28471989</v>
      </c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x14ac:dyDescent="0.25" r="672" customHeight="1" ht="12.75">
      <c r="A672" s="5" t="s">
        <v>53</v>
      </c>
      <c r="B672" s="6">
        <v>0.0504</v>
      </c>
      <c r="C672" s="3"/>
      <c r="D672" s="5" t="s">
        <v>164</v>
      </c>
      <c r="E672" s="6">
        <v>2.5</v>
      </c>
      <c r="F672" s="3"/>
      <c r="G672" s="5" t="s">
        <v>700</v>
      </c>
      <c r="H672" s="6">
        <v>102.06195699999999</v>
      </c>
      <c r="I672" s="3"/>
      <c r="J672" s="5" t="s">
        <v>461</v>
      </c>
      <c r="K672" s="7">
        <v>199.57652314134086</v>
      </c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x14ac:dyDescent="0.25" r="673" customHeight="1" ht="12.75">
      <c r="A673" s="5" t="s">
        <v>814</v>
      </c>
      <c r="B673" s="6">
        <v>0.049547999999999995</v>
      </c>
      <c r="C673" s="3"/>
      <c r="D673" s="5" t="s">
        <v>326</v>
      </c>
      <c r="E673" s="6">
        <v>2.5</v>
      </c>
      <c r="F673" s="3"/>
      <c r="G673" s="5" t="s">
        <v>281</v>
      </c>
      <c r="H673" s="6">
        <v>101.76219960836013</v>
      </c>
      <c r="I673" s="3"/>
      <c r="J673" s="5" t="s">
        <v>800</v>
      </c>
      <c r="K673" s="7">
        <v>195.99990065285007</v>
      </c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x14ac:dyDescent="0.25" r="674" customHeight="1" ht="12.75">
      <c r="A674" s="5" t="s">
        <v>686</v>
      </c>
      <c r="B674" s="6">
        <v>0.049386200000000005</v>
      </c>
      <c r="C674" s="3"/>
      <c r="D674" s="5" t="s">
        <v>837</v>
      </c>
      <c r="E674" s="6">
        <v>2.5</v>
      </c>
      <c r="F674" s="3"/>
      <c r="G674" s="5" t="s">
        <v>366</v>
      </c>
      <c r="H674" s="6">
        <v>101.53583064379387</v>
      </c>
      <c r="I674" s="3"/>
      <c r="J674" s="5" t="s">
        <v>511</v>
      </c>
      <c r="K674" s="7">
        <v>195.72534839093245</v>
      </c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x14ac:dyDescent="0.25" r="675" customHeight="1" ht="12.75">
      <c r="A675" s="5" t="s">
        <v>516</v>
      </c>
      <c r="B675" s="6">
        <v>0.04925316</v>
      </c>
      <c r="C675" s="3"/>
      <c r="D675" s="5" t="s">
        <v>823</v>
      </c>
      <c r="E675" s="6">
        <v>2.48</v>
      </c>
      <c r="F675" s="3"/>
      <c r="G675" s="5" t="s">
        <v>694</v>
      </c>
      <c r="H675" s="6">
        <v>101.06887262531126</v>
      </c>
      <c r="I675" s="3"/>
      <c r="J675" s="5" t="s">
        <v>838</v>
      </c>
      <c r="K675" s="7">
        <v>195.23811527884246</v>
      </c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x14ac:dyDescent="0.25" r="676" customHeight="1" ht="12.75">
      <c r="A676" s="5" t="s">
        <v>138</v>
      </c>
      <c r="B676" s="6">
        <v>0.04915376</v>
      </c>
      <c r="C676" s="3"/>
      <c r="D676" s="5" t="s">
        <v>467</v>
      </c>
      <c r="E676" s="6">
        <v>2.4715628891656287</v>
      </c>
      <c r="F676" s="3"/>
      <c r="G676" s="5" t="s">
        <v>791</v>
      </c>
      <c r="H676" s="6">
        <v>100.91215164462781</v>
      </c>
      <c r="I676" s="3"/>
      <c r="J676" s="5" t="s">
        <v>599</v>
      </c>
      <c r="K676" s="7">
        <v>191.61501359999997</v>
      </c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x14ac:dyDescent="0.25" r="677" customHeight="1" ht="12.75">
      <c r="A677" s="5" t="s">
        <v>347</v>
      </c>
      <c r="B677" s="6">
        <v>0.0482197</v>
      </c>
      <c r="C677" s="3"/>
      <c r="D677" s="5" t="s">
        <v>628</v>
      </c>
      <c r="E677" s="6">
        <v>2.4617118812977523</v>
      </c>
      <c r="F677" s="3"/>
      <c r="G677" s="5" t="s">
        <v>515</v>
      </c>
      <c r="H677" s="6">
        <v>100.02171750129015</v>
      </c>
      <c r="I677" s="3"/>
      <c r="J677" s="5" t="s">
        <v>463</v>
      </c>
      <c r="K677" s="7">
        <v>188.7585071225495</v>
      </c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x14ac:dyDescent="0.25" r="678" customHeight="1" ht="12.75">
      <c r="A678" s="5" t="s">
        <v>225</v>
      </c>
      <c r="B678" s="6">
        <v>0.0475034925</v>
      </c>
      <c r="C678" s="3"/>
      <c r="D678" s="5" t="s">
        <v>282</v>
      </c>
      <c r="E678" s="6">
        <v>2.4391944734098017</v>
      </c>
      <c r="F678" s="3"/>
      <c r="G678" s="5" t="s">
        <v>799</v>
      </c>
      <c r="H678" s="6">
        <v>99.91743254919615</v>
      </c>
      <c r="I678" s="3"/>
      <c r="J678" s="5" t="s">
        <v>472</v>
      </c>
      <c r="K678" s="7">
        <v>187.78283530546622</v>
      </c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x14ac:dyDescent="0.25" r="679" customHeight="1" ht="12.75">
      <c r="A679" s="5" t="s">
        <v>478</v>
      </c>
      <c r="B679" s="6">
        <v>0.046919287799999994</v>
      </c>
      <c r="C679" s="3"/>
      <c r="D679" s="5" t="s">
        <v>381</v>
      </c>
      <c r="E679" s="6">
        <v>2.4369410664172126</v>
      </c>
      <c r="F679" s="3"/>
      <c r="G679" s="5" t="s">
        <v>212</v>
      </c>
      <c r="H679" s="6">
        <v>99.48059247459807</v>
      </c>
      <c r="I679" s="3"/>
      <c r="J679" s="5" t="s">
        <v>742</v>
      </c>
      <c r="K679" s="7">
        <v>187.63460829999997</v>
      </c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x14ac:dyDescent="0.25" r="680" customHeight="1" ht="12.75">
      <c r="A680" s="5" t="s">
        <v>796</v>
      </c>
      <c r="B680" s="6">
        <v>0.04614</v>
      </c>
      <c r="C680" s="3"/>
      <c r="D680" s="5" t="s">
        <v>593</v>
      </c>
      <c r="E680" s="6">
        <v>2.435339689879525</v>
      </c>
      <c r="F680" s="3"/>
      <c r="G680" s="5" t="s">
        <v>815</v>
      </c>
      <c r="H680" s="6">
        <v>99.19598429999999</v>
      </c>
      <c r="I680" s="3"/>
      <c r="J680" s="5" t="s">
        <v>673</v>
      </c>
      <c r="K680" s="7">
        <v>185.6659005</v>
      </c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x14ac:dyDescent="0.25" r="681" customHeight="1" ht="12.75">
      <c r="A681" s="5" t="s">
        <v>815</v>
      </c>
      <c r="B681" s="6">
        <v>0.045559999999999996</v>
      </c>
      <c r="C681" s="3"/>
      <c r="D681" s="5" t="s">
        <v>545</v>
      </c>
      <c r="E681" s="6">
        <v>2.43</v>
      </c>
      <c r="F681" s="3"/>
      <c r="G681" s="5" t="s">
        <v>742</v>
      </c>
      <c r="H681" s="6">
        <v>98.755057</v>
      </c>
      <c r="I681" s="3"/>
      <c r="J681" s="5" t="s">
        <v>716</v>
      </c>
      <c r="K681" s="7">
        <v>182.32042</v>
      </c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x14ac:dyDescent="0.25" r="682" customHeight="1" ht="12.75">
      <c r="A682" s="5" t="s">
        <v>800</v>
      </c>
      <c r="B682" s="6">
        <v>0.0440286055</v>
      </c>
      <c r="C682" s="3"/>
      <c r="D682" s="5" t="s">
        <v>826</v>
      </c>
      <c r="E682" s="6">
        <v>2.43</v>
      </c>
      <c r="F682" s="3"/>
      <c r="G682" s="5" t="s">
        <v>737</v>
      </c>
      <c r="H682" s="6">
        <v>98.46586158263666</v>
      </c>
      <c r="I682" s="3"/>
      <c r="J682" s="5" t="s">
        <v>722</v>
      </c>
      <c r="K682" s="7">
        <v>181.53999159999998</v>
      </c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x14ac:dyDescent="0.25" r="683" customHeight="1" ht="12.75">
      <c r="A683" s="5" t="s">
        <v>50</v>
      </c>
      <c r="B683" s="6">
        <v>0.04298234000000001</v>
      </c>
      <c r="C683" s="3"/>
      <c r="D683" s="5" t="s">
        <v>737</v>
      </c>
      <c r="E683" s="6">
        <v>2.42</v>
      </c>
      <c r="F683" s="3"/>
      <c r="G683" s="5" t="s">
        <v>839</v>
      </c>
      <c r="H683" s="6">
        <v>98.23567123569131</v>
      </c>
      <c r="I683" s="3"/>
      <c r="J683" s="5" t="s">
        <v>160</v>
      </c>
      <c r="K683" s="7">
        <v>179.7085753456</v>
      </c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x14ac:dyDescent="0.25" r="684" customHeight="1" ht="12.75">
      <c r="A684" s="5" t="s">
        <v>192</v>
      </c>
      <c r="B684" s="6">
        <v>0.042749999999999996</v>
      </c>
      <c r="C684" s="3"/>
      <c r="D684" s="5" t="s">
        <v>825</v>
      </c>
      <c r="E684" s="6">
        <v>2.41</v>
      </c>
      <c r="F684" s="3"/>
      <c r="G684" s="5" t="s">
        <v>785</v>
      </c>
      <c r="H684" s="6">
        <v>98.00032583723146</v>
      </c>
      <c r="I684" s="3"/>
      <c r="J684" s="5" t="s">
        <v>826</v>
      </c>
      <c r="K684" s="7">
        <v>179.10487950887463</v>
      </c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x14ac:dyDescent="0.25" r="685" customHeight="1" ht="12.75">
      <c r="A685" s="5" t="s">
        <v>802</v>
      </c>
      <c r="B685" s="6">
        <v>0.042439568000000004</v>
      </c>
      <c r="C685" s="3"/>
      <c r="D685" s="5" t="s">
        <v>749</v>
      </c>
      <c r="E685" s="6">
        <v>2.4</v>
      </c>
      <c r="F685" s="3"/>
      <c r="G685" s="5" t="s">
        <v>625</v>
      </c>
      <c r="H685" s="6">
        <v>97.8248631137031</v>
      </c>
      <c r="I685" s="3"/>
      <c r="J685" s="5" t="s">
        <v>709</v>
      </c>
      <c r="K685" s="7">
        <v>178.7500073136849</v>
      </c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x14ac:dyDescent="0.25" r="686" customHeight="1" ht="12.75">
      <c r="A686" s="5" t="s">
        <v>444</v>
      </c>
      <c r="B686" s="6">
        <v>0.041139999999999996</v>
      </c>
      <c r="C686" s="3"/>
      <c r="D686" s="5" t="s">
        <v>840</v>
      </c>
      <c r="E686" s="6">
        <v>2.4</v>
      </c>
      <c r="F686" s="3"/>
      <c r="G686" s="5" t="s">
        <v>752</v>
      </c>
      <c r="H686" s="6">
        <v>97.71889499999999</v>
      </c>
      <c r="I686" s="3"/>
      <c r="J686" s="5" t="s">
        <v>145</v>
      </c>
      <c r="K686" s="7">
        <v>178.63979603071593</v>
      </c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x14ac:dyDescent="0.25" r="687" customHeight="1" ht="12.75">
      <c r="A687" s="5" t="s">
        <v>753</v>
      </c>
      <c r="B687" s="6">
        <v>0.04050000000000001</v>
      </c>
      <c r="C687" s="3"/>
      <c r="D687" s="5" t="s">
        <v>596</v>
      </c>
      <c r="E687" s="6">
        <v>2.4</v>
      </c>
      <c r="F687" s="3"/>
      <c r="G687" s="5" t="s">
        <v>754</v>
      </c>
      <c r="H687" s="6">
        <v>97.71889499999999</v>
      </c>
      <c r="I687" s="3"/>
      <c r="J687" s="5" t="s">
        <v>554</v>
      </c>
      <c r="K687" s="7">
        <v>177.77894399999997</v>
      </c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x14ac:dyDescent="0.25" r="688" customHeight="1" ht="12.75">
      <c r="A688" s="5" t="s">
        <v>722</v>
      </c>
      <c r="B688" s="6">
        <v>0.0403</v>
      </c>
      <c r="C688" s="3"/>
      <c r="D688" s="5" t="s">
        <v>665</v>
      </c>
      <c r="E688" s="6">
        <v>2.3966896802325577</v>
      </c>
      <c r="F688" s="3"/>
      <c r="G688" s="5" t="s">
        <v>744</v>
      </c>
      <c r="H688" s="6">
        <v>97.2910136342857</v>
      </c>
      <c r="I688" s="3"/>
      <c r="J688" s="5" t="s">
        <v>420</v>
      </c>
      <c r="K688" s="7">
        <v>176.32079120199037</v>
      </c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x14ac:dyDescent="0.25" r="689" customHeight="1" ht="12.75">
      <c r="A689" s="5" t="s">
        <v>557</v>
      </c>
      <c r="B689" s="6">
        <v>0.040179999999999993</v>
      </c>
      <c r="C689" s="3"/>
      <c r="D689" s="5" t="s">
        <v>509</v>
      </c>
      <c r="E689" s="6">
        <v>2.380537709497207</v>
      </c>
      <c r="F689" s="3"/>
      <c r="G689" s="5" t="s">
        <v>841</v>
      </c>
      <c r="H689" s="6">
        <v>97.2099650780261</v>
      </c>
      <c r="I689" s="3"/>
      <c r="J689" s="5" t="s">
        <v>44</v>
      </c>
      <c r="K689" s="7">
        <v>176.27171715620577</v>
      </c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x14ac:dyDescent="0.25" r="690" customHeight="1" ht="12.75">
      <c r="A690" s="5" t="s">
        <v>427</v>
      </c>
      <c r="B690" s="6">
        <v>0.040175999999999996</v>
      </c>
      <c r="C690" s="3"/>
      <c r="D690" s="5" t="s">
        <v>39</v>
      </c>
      <c r="E690" s="6">
        <v>2.37</v>
      </c>
      <c r="F690" s="3"/>
      <c r="G690" s="5" t="s">
        <v>842</v>
      </c>
      <c r="H690" s="6">
        <v>97.04236975852088</v>
      </c>
      <c r="I690" s="3"/>
      <c r="J690" s="5" t="s">
        <v>816</v>
      </c>
      <c r="K690" s="7">
        <v>175.6890184736</v>
      </c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x14ac:dyDescent="0.25" r="691" customHeight="1" ht="12.75">
      <c r="A691" s="5" t="s">
        <v>530</v>
      </c>
      <c r="B691" s="6">
        <v>0.04015</v>
      </c>
      <c r="C691" s="3"/>
      <c r="D691" s="5" t="s">
        <v>287</v>
      </c>
      <c r="E691" s="6">
        <v>2.29</v>
      </c>
      <c r="F691" s="3"/>
      <c r="G691" s="5" t="s">
        <v>358</v>
      </c>
      <c r="H691" s="6">
        <v>96.99088728841046</v>
      </c>
      <c r="I691" s="3"/>
      <c r="J691" s="5" t="s">
        <v>225</v>
      </c>
      <c r="K691" s="7">
        <v>175.50424089224558</v>
      </c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x14ac:dyDescent="0.25" r="692" customHeight="1" ht="12.75">
      <c r="A692" s="5" t="s">
        <v>716</v>
      </c>
      <c r="B692" s="6">
        <v>0.04</v>
      </c>
      <c r="C692" s="3"/>
      <c r="D692" s="5" t="s">
        <v>636</v>
      </c>
      <c r="E692" s="6">
        <v>2.2800000000000002</v>
      </c>
      <c r="F692" s="3"/>
      <c r="G692" s="5" t="s">
        <v>763</v>
      </c>
      <c r="H692" s="6">
        <v>95.547364</v>
      </c>
      <c r="I692" s="3"/>
      <c r="J692" s="5" t="s">
        <v>342</v>
      </c>
      <c r="K692" s="7">
        <v>175.43047195147912</v>
      </c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x14ac:dyDescent="0.25" r="693" customHeight="1" ht="12.75">
      <c r="A693" s="5" t="s">
        <v>511</v>
      </c>
      <c r="B693" s="6">
        <v>0.039812</v>
      </c>
      <c r="C693" s="3"/>
      <c r="D693" s="5" t="s">
        <v>528</v>
      </c>
      <c r="E693" s="6">
        <v>2.2782089552238807</v>
      </c>
      <c r="F693" s="3"/>
      <c r="G693" s="5" t="s">
        <v>581</v>
      </c>
      <c r="H693" s="6">
        <v>95.36974550847943</v>
      </c>
      <c r="I693" s="3"/>
      <c r="J693" s="5" t="s">
        <v>507</v>
      </c>
      <c r="K693" s="7">
        <v>174.54601216895497</v>
      </c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x14ac:dyDescent="0.25" r="694" customHeight="1" ht="12.75">
      <c r="A694" s="5" t="s">
        <v>603</v>
      </c>
      <c r="B694" s="6">
        <v>0.03922271</v>
      </c>
      <c r="C694" s="3"/>
      <c r="D694" s="5" t="s">
        <v>782</v>
      </c>
      <c r="E694" s="6">
        <v>2.2779787234042552</v>
      </c>
      <c r="F694" s="3"/>
      <c r="G694" s="5" t="s">
        <v>843</v>
      </c>
      <c r="H694" s="6">
        <v>95.1321678488746</v>
      </c>
      <c r="I694" s="3"/>
      <c r="J694" s="5" t="s">
        <v>542</v>
      </c>
      <c r="K694" s="7">
        <v>173.27053700000002</v>
      </c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x14ac:dyDescent="0.25" r="695" customHeight="1" ht="12.75">
      <c r="A695" s="5" t="s">
        <v>844</v>
      </c>
      <c r="B695" s="6">
        <v>0.039164717</v>
      </c>
      <c r="C695" s="3"/>
      <c r="D695" s="5" t="s">
        <v>572</v>
      </c>
      <c r="E695" s="6">
        <v>2.2600000000000002</v>
      </c>
      <c r="F695" s="3"/>
      <c r="G695" s="5" t="s">
        <v>705</v>
      </c>
      <c r="H695" s="6">
        <v>94.9271791607717</v>
      </c>
      <c r="I695" s="3"/>
      <c r="J695" s="5" t="s">
        <v>393</v>
      </c>
      <c r="K695" s="7">
        <v>172.1737485</v>
      </c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x14ac:dyDescent="0.25" r="696" customHeight="1" ht="12.75">
      <c r="A696" s="5" t="s">
        <v>827</v>
      </c>
      <c r="B696" s="6">
        <v>0.038475</v>
      </c>
      <c r="C696" s="3"/>
      <c r="D696" s="5" t="s">
        <v>844</v>
      </c>
      <c r="E696" s="6">
        <v>2.2572699429641143</v>
      </c>
      <c r="F696" s="3"/>
      <c r="G696" s="5" t="s">
        <v>758</v>
      </c>
      <c r="H696" s="6">
        <v>94.91464380000001</v>
      </c>
      <c r="I696" s="3"/>
      <c r="J696" s="5" t="s">
        <v>763</v>
      </c>
      <c r="K696" s="7">
        <v>171.9852552</v>
      </c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x14ac:dyDescent="0.25" r="697" customHeight="1" ht="12.75">
      <c r="A697" s="5" t="s">
        <v>797</v>
      </c>
      <c r="B697" s="6">
        <v>0.038468499999999996</v>
      </c>
      <c r="C697" s="3"/>
      <c r="D697" s="5" t="s">
        <v>762</v>
      </c>
      <c r="E697" s="6">
        <v>2.2199999999999998</v>
      </c>
      <c r="F697" s="3"/>
      <c r="G697" s="5" t="s">
        <v>823</v>
      </c>
      <c r="H697" s="6">
        <v>94.79308197749197</v>
      </c>
      <c r="I697" s="3"/>
      <c r="J697" s="5" t="s">
        <v>192</v>
      </c>
      <c r="K697" s="7">
        <v>170.69629548110933</v>
      </c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x14ac:dyDescent="0.25" r="698" customHeight="1" ht="12.75">
      <c r="A698" s="5" t="s">
        <v>507</v>
      </c>
      <c r="B698" s="6">
        <v>0.03810600000000001</v>
      </c>
      <c r="C698" s="3"/>
      <c r="D698" s="5" t="s">
        <v>426</v>
      </c>
      <c r="E698" s="6">
        <v>2.2</v>
      </c>
      <c r="F698" s="3"/>
      <c r="G698" s="5" t="s">
        <v>101</v>
      </c>
      <c r="H698" s="6">
        <v>94.445064</v>
      </c>
      <c r="I698" s="3"/>
      <c r="J698" s="5" t="s">
        <v>825</v>
      </c>
      <c r="K698" s="7">
        <v>167.0092700838971</v>
      </c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x14ac:dyDescent="0.25" r="699" customHeight="1" ht="12.75">
      <c r="A699" s="5" t="s">
        <v>644</v>
      </c>
      <c r="B699" s="6">
        <v>0.037846</v>
      </c>
      <c r="C699" s="3"/>
      <c r="D699" s="5" t="s">
        <v>719</v>
      </c>
      <c r="E699" s="6">
        <v>2.2</v>
      </c>
      <c r="F699" s="3"/>
      <c r="G699" s="5" t="s">
        <v>373</v>
      </c>
      <c r="H699" s="6">
        <v>94.32488652348178</v>
      </c>
      <c r="I699" s="3"/>
      <c r="J699" s="5" t="s">
        <v>121</v>
      </c>
      <c r="K699" s="7">
        <v>165.27908187952093</v>
      </c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x14ac:dyDescent="0.25" r="700" customHeight="1" ht="12.75">
      <c r="A700" s="5" t="s">
        <v>518</v>
      </c>
      <c r="B700" s="6">
        <v>0.0362836</v>
      </c>
      <c r="C700" s="3"/>
      <c r="D700" s="5" t="s">
        <v>708</v>
      </c>
      <c r="E700" s="6">
        <v>2.2</v>
      </c>
      <c r="F700" s="3"/>
      <c r="G700" s="5" t="s">
        <v>481</v>
      </c>
      <c r="H700" s="6">
        <v>92.85361514402177</v>
      </c>
      <c r="I700" s="3"/>
      <c r="J700" s="5" t="s">
        <v>141</v>
      </c>
      <c r="K700" s="7">
        <v>164.9347966711254</v>
      </c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x14ac:dyDescent="0.25" r="701" customHeight="1" ht="12.75">
      <c r="A701" s="5" t="s">
        <v>789</v>
      </c>
      <c r="B701" s="6">
        <v>0.03591</v>
      </c>
      <c r="C701" s="3"/>
      <c r="D701" s="5" t="s">
        <v>845</v>
      </c>
      <c r="E701" s="6">
        <v>2.2</v>
      </c>
      <c r="F701" s="3"/>
      <c r="G701" s="5" t="s">
        <v>757</v>
      </c>
      <c r="H701" s="6">
        <v>92.26581689999999</v>
      </c>
      <c r="I701" s="3"/>
      <c r="J701" s="5" t="s">
        <v>75</v>
      </c>
      <c r="K701" s="7">
        <v>164.9151717559923</v>
      </c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x14ac:dyDescent="0.25" r="702" customHeight="1" ht="12.75">
      <c r="A702" s="5" t="s">
        <v>825</v>
      </c>
      <c r="B702" s="6">
        <v>0.035668</v>
      </c>
      <c r="C702" s="3"/>
      <c r="D702" s="5" t="s">
        <v>747</v>
      </c>
      <c r="E702" s="6">
        <v>2.2</v>
      </c>
      <c r="F702" s="3"/>
      <c r="G702" s="5" t="s">
        <v>821</v>
      </c>
      <c r="H702" s="6">
        <v>92.04785104180064</v>
      </c>
      <c r="I702" s="3"/>
      <c r="J702" s="5" t="s">
        <v>662</v>
      </c>
      <c r="K702" s="7">
        <v>164.86145913267646</v>
      </c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x14ac:dyDescent="0.25" r="703" customHeight="1" ht="12.75">
      <c r="A703" s="5" t="s">
        <v>790</v>
      </c>
      <c r="B703" s="6">
        <v>0.0354</v>
      </c>
      <c r="C703" s="3"/>
      <c r="D703" s="5" t="s">
        <v>447</v>
      </c>
      <c r="E703" s="6">
        <v>2.1607114030706773</v>
      </c>
      <c r="F703" s="3"/>
      <c r="G703" s="5" t="s">
        <v>361</v>
      </c>
      <c r="H703" s="6">
        <v>91.7401659762979</v>
      </c>
      <c r="I703" s="3"/>
      <c r="J703" s="5" t="s">
        <v>453</v>
      </c>
      <c r="K703" s="7">
        <v>164.22580129508148</v>
      </c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x14ac:dyDescent="0.25" r="704" customHeight="1" ht="12.75">
      <c r="A704" s="5" t="s">
        <v>831</v>
      </c>
      <c r="B704" s="6">
        <v>0.035095404</v>
      </c>
      <c r="C704" s="3"/>
      <c r="D704" s="5" t="s">
        <v>643</v>
      </c>
      <c r="E704" s="6">
        <v>2.144517530251319</v>
      </c>
      <c r="F704" s="3"/>
      <c r="G704" s="5" t="s">
        <v>323</v>
      </c>
      <c r="H704" s="6">
        <v>91.72797831295733</v>
      </c>
      <c r="I704" s="3"/>
      <c r="J704" s="5" t="s">
        <v>629</v>
      </c>
      <c r="K704" s="7">
        <v>162.10428797052742</v>
      </c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x14ac:dyDescent="0.25" r="705" customHeight="1" ht="12.75">
      <c r="A705" s="5" t="s">
        <v>570</v>
      </c>
      <c r="B705" s="6">
        <v>0.033948000000000006</v>
      </c>
      <c r="C705" s="3"/>
      <c r="D705" s="5" t="s">
        <v>562</v>
      </c>
      <c r="E705" s="6">
        <v>2.127402015137637</v>
      </c>
      <c r="F705" s="3"/>
      <c r="G705" s="5" t="s">
        <v>804</v>
      </c>
      <c r="H705" s="6">
        <v>91.60385455176849</v>
      </c>
      <c r="I705" s="3"/>
      <c r="J705" s="5" t="s">
        <v>607</v>
      </c>
      <c r="K705" s="7">
        <v>161.17768871199996</v>
      </c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x14ac:dyDescent="0.25" r="706" customHeight="1" ht="12.75">
      <c r="A706" s="5" t="s">
        <v>821</v>
      </c>
      <c r="B706" s="6">
        <v>0.033695</v>
      </c>
      <c r="C706" s="3"/>
      <c r="D706" s="5" t="s">
        <v>576</v>
      </c>
      <c r="E706" s="6">
        <v>2.11</v>
      </c>
      <c r="F706" s="3"/>
      <c r="G706" s="5" t="s">
        <v>140</v>
      </c>
      <c r="H706" s="6">
        <v>91.19895703404754</v>
      </c>
      <c r="I706" s="3"/>
      <c r="J706" s="5" t="s">
        <v>521</v>
      </c>
      <c r="K706" s="7">
        <v>158.70857046765548</v>
      </c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x14ac:dyDescent="0.25" r="707" customHeight="1" ht="12.75">
      <c r="A707" s="5" t="s">
        <v>174</v>
      </c>
      <c r="B707" s="6">
        <v>0.033595</v>
      </c>
      <c r="C707" s="3"/>
      <c r="D707" s="5" t="s">
        <v>829</v>
      </c>
      <c r="E707" s="6">
        <v>2.1089460869565215</v>
      </c>
      <c r="F707" s="3"/>
      <c r="G707" s="5" t="s">
        <v>796</v>
      </c>
      <c r="H707" s="6">
        <v>90.95731331047969</v>
      </c>
      <c r="I707" s="3"/>
      <c r="J707" s="5" t="s">
        <v>152</v>
      </c>
      <c r="K707" s="7">
        <v>154.87735319807075</v>
      </c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x14ac:dyDescent="0.25" r="708" customHeight="1" ht="12.75">
      <c r="A708" s="5" t="s">
        <v>298</v>
      </c>
      <c r="B708" s="6">
        <v>0.0335229952</v>
      </c>
      <c r="C708" s="3"/>
      <c r="D708" s="5" t="s">
        <v>358</v>
      </c>
      <c r="E708" s="6">
        <v>2.100434782608696</v>
      </c>
      <c r="F708" s="3"/>
      <c r="G708" s="5" t="s">
        <v>778</v>
      </c>
      <c r="H708" s="6">
        <v>90.92872699999998</v>
      </c>
      <c r="I708" s="3"/>
      <c r="J708" s="5" t="s">
        <v>765</v>
      </c>
      <c r="K708" s="7">
        <v>154.38161117710612</v>
      </c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x14ac:dyDescent="0.25" r="709" customHeight="1" ht="12.75">
      <c r="A709" s="5" t="s">
        <v>824</v>
      </c>
      <c r="B709" s="6">
        <v>0.03312</v>
      </c>
      <c r="C709" s="3"/>
      <c r="D709" s="5" t="s">
        <v>555</v>
      </c>
      <c r="E709" s="6">
        <v>2.1</v>
      </c>
      <c r="F709" s="3"/>
      <c r="G709" s="5" t="s">
        <v>776</v>
      </c>
      <c r="H709" s="6">
        <v>90.65315199999999</v>
      </c>
      <c r="I709" s="3"/>
      <c r="J709" s="5" t="s">
        <v>445</v>
      </c>
      <c r="K709" s="7">
        <v>149.00406426547985</v>
      </c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x14ac:dyDescent="0.25" r="710" customHeight="1" ht="12.75">
      <c r="A710" s="5" t="s">
        <v>709</v>
      </c>
      <c r="B710" s="6">
        <v>0.033048</v>
      </c>
      <c r="C710" s="3"/>
      <c r="D710" s="5" t="s">
        <v>578</v>
      </c>
      <c r="E710" s="6">
        <v>2.093139439831347</v>
      </c>
      <c r="F710" s="3"/>
      <c r="G710" s="5" t="s">
        <v>830</v>
      </c>
      <c r="H710" s="6">
        <v>90.57301222829582</v>
      </c>
      <c r="I710" s="3"/>
      <c r="J710" s="5" t="s">
        <v>347</v>
      </c>
      <c r="K710" s="7">
        <v>148.9493871336778</v>
      </c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x14ac:dyDescent="0.25" r="711" customHeight="1" ht="12.75">
      <c r="A711" s="5" t="s">
        <v>18</v>
      </c>
      <c r="B711" s="6">
        <v>0.033</v>
      </c>
      <c r="C711" s="3"/>
      <c r="D711" s="5" t="s">
        <v>155</v>
      </c>
      <c r="E711" s="6">
        <v>2.09</v>
      </c>
      <c r="F711" s="3"/>
      <c r="G711" s="5" t="s">
        <v>819</v>
      </c>
      <c r="H711" s="6">
        <v>89.91658295980707</v>
      </c>
      <c r="I711" s="3"/>
      <c r="J711" s="5" t="s">
        <v>300</v>
      </c>
      <c r="K711" s="7">
        <v>148.55144184792172</v>
      </c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x14ac:dyDescent="0.25" r="712" customHeight="1" ht="12.75">
      <c r="A712" s="5" t="s">
        <v>385</v>
      </c>
      <c r="B712" s="6">
        <v>0.032165</v>
      </c>
      <c r="C712" s="3"/>
      <c r="D712" s="5" t="s">
        <v>642</v>
      </c>
      <c r="E712" s="6">
        <v>2.09</v>
      </c>
      <c r="F712" s="3"/>
      <c r="G712" s="5" t="s">
        <v>258</v>
      </c>
      <c r="H712" s="6">
        <v>89.87051899999999</v>
      </c>
      <c r="I712" s="3"/>
      <c r="J712" s="5" t="s">
        <v>693</v>
      </c>
      <c r="K712" s="7">
        <v>147.679055188</v>
      </c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x14ac:dyDescent="0.25" r="713" customHeight="1" ht="12.75">
      <c r="A713" s="5" t="s">
        <v>743</v>
      </c>
      <c r="B713" s="6">
        <v>0.031802823</v>
      </c>
      <c r="C713" s="3"/>
      <c r="D713" s="5" t="s">
        <v>233</v>
      </c>
      <c r="E713" s="6">
        <v>2.0882008915388184</v>
      </c>
      <c r="F713" s="3"/>
      <c r="G713" s="5" t="s">
        <v>578</v>
      </c>
      <c r="H713" s="6">
        <v>89.8650035467128</v>
      </c>
      <c r="I713" s="3"/>
      <c r="J713" s="5" t="s">
        <v>686</v>
      </c>
      <c r="K713" s="7">
        <v>145.71503990876914</v>
      </c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x14ac:dyDescent="0.25" r="714" customHeight="1" ht="12.75">
      <c r="A714" s="5" t="s">
        <v>576</v>
      </c>
      <c r="B714" s="6">
        <v>0.031439</v>
      </c>
      <c r="C714" s="3"/>
      <c r="D714" s="5" t="s">
        <v>660</v>
      </c>
      <c r="E714" s="6">
        <v>2.08</v>
      </c>
      <c r="F714" s="3"/>
      <c r="G714" s="5" t="s">
        <v>775</v>
      </c>
      <c r="H714" s="6">
        <v>89.7437545</v>
      </c>
      <c r="I714" s="3"/>
      <c r="J714" s="5" t="s">
        <v>564</v>
      </c>
      <c r="K714" s="7">
        <v>145.6613336269143</v>
      </c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x14ac:dyDescent="0.25" r="715" customHeight="1" ht="12.75">
      <c r="A715" s="5" t="s">
        <v>445</v>
      </c>
      <c r="B715" s="6">
        <v>0.031273785299999995</v>
      </c>
      <c r="C715" s="3"/>
      <c r="D715" s="5" t="s">
        <v>818</v>
      </c>
      <c r="E715" s="6">
        <v>2.08</v>
      </c>
      <c r="F715" s="3"/>
      <c r="G715" s="5" t="s">
        <v>251</v>
      </c>
      <c r="H715" s="6">
        <v>89.43841489812819</v>
      </c>
      <c r="I715" s="3"/>
      <c r="J715" s="5" t="s">
        <v>846</v>
      </c>
      <c r="K715" s="7">
        <v>142.69497550510002</v>
      </c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x14ac:dyDescent="0.25" r="716" customHeight="1" ht="12.75">
      <c r="A716" s="5" t="s">
        <v>749</v>
      </c>
      <c r="B716" s="6">
        <v>0.031200000000000002</v>
      </c>
      <c r="C716" s="3"/>
      <c r="D716" s="5" t="s">
        <v>847</v>
      </c>
      <c r="E716" s="6">
        <v>2.08</v>
      </c>
      <c r="F716" s="3"/>
      <c r="G716" s="5" t="s">
        <v>126</v>
      </c>
      <c r="H716" s="6">
        <v>89.07930010605594</v>
      </c>
      <c r="I716" s="3"/>
      <c r="J716" s="5" t="s">
        <v>844</v>
      </c>
      <c r="K716" s="7">
        <v>141.75258737105113</v>
      </c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x14ac:dyDescent="0.25" r="717" customHeight="1" ht="12.75">
      <c r="A717" s="5" t="s">
        <v>624</v>
      </c>
      <c r="B717" s="6">
        <v>0.031000000000000003</v>
      </c>
      <c r="C717" s="3"/>
      <c r="D717" s="5" t="s">
        <v>760</v>
      </c>
      <c r="E717" s="6">
        <v>2.049</v>
      </c>
      <c r="F717" s="3"/>
      <c r="G717" s="5" t="s">
        <v>316</v>
      </c>
      <c r="H717" s="6">
        <v>88.75745107684887</v>
      </c>
      <c r="I717" s="3"/>
      <c r="J717" s="5" t="s">
        <v>447</v>
      </c>
      <c r="K717" s="7">
        <v>141.22925836349603</v>
      </c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x14ac:dyDescent="0.25" r="718" customHeight="1" ht="12.75">
      <c r="A718" s="5" t="s">
        <v>780</v>
      </c>
      <c r="B718" s="6">
        <v>0.0305</v>
      </c>
      <c r="C718" s="3"/>
      <c r="D718" s="5" t="s">
        <v>133</v>
      </c>
      <c r="E718" s="6">
        <v>2.04</v>
      </c>
      <c r="F718" s="3"/>
      <c r="G718" s="5" t="s">
        <v>314</v>
      </c>
      <c r="H718" s="6">
        <v>88.7525559</v>
      </c>
      <c r="I718" s="3"/>
      <c r="J718" s="5" t="s">
        <v>596</v>
      </c>
      <c r="K718" s="7">
        <v>140.77983078817363</v>
      </c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x14ac:dyDescent="0.25" r="719" customHeight="1" ht="12.75">
      <c r="A719" s="5" t="s">
        <v>828</v>
      </c>
      <c r="B719" s="6">
        <v>0.030080934000000004</v>
      </c>
      <c r="C719" s="3"/>
      <c r="D719" s="5" t="s">
        <v>803</v>
      </c>
      <c r="E719" s="6">
        <v>2.0259984490112446</v>
      </c>
      <c r="F719" s="3"/>
      <c r="G719" s="5" t="s">
        <v>473</v>
      </c>
      <c r="H719" s="6">
        <v>88.61812549728431</v>
      </c>
      <c r="I719" s="3"/>
      <c r="J719" s="5" t="s">
        <v>427</v>
      </c>
      <c r="K719" s="7">
        <v>140.49341170063022</v>
      </c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x14ac:dyDescent="0.25" r="720" customHeight="1" ht="12.75">
      <c r="A720" s="5" t="s">
        <v>564</v>
      </c>
      <c r="B720" s="6">
        <v>0.0296532906</v>
      </c>
      <c r="C720" s="3"/>
      <c r="D720" s="5" t="s">
        <v>573</v>
      </c>
      <c r="E720" s="6">
        <v>2.02</v>
      </c>
      <c r="F720" s="3"/>
      <c r="G720" s="5" t="s">
        <v>770</v>
      </c>
      <c r="H720" s="6">
        <v>88.50476929999999</v>
      </c>
      <c r="I720" s="3"/>
      <c r="J720" s="5" t="s">
        <v>797</v>
      </c>
      <c r="K720" s="7">
        <v>137.3468881921511</v>
      </c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x14ac:dyDescent="0.25" r="721" customHeight="1" ht="12.75">
      <c r="A721" s="5" t="s">
        <v>121</v>
      </c>
      <c r="B721" s="6">
        <v>0.028097422499999997</v>
      </c>
      <c r="C721" s="3"/>
      <c r="D721" s="5" t="s">
        <v>743</v>
      </c>
      <c r="E721" s="6">
        <v>2.01</v>
      </c>
      <c r="F721" s="3"/>
      <c r="G721" s="5" t="s">
        <v>721</v>
      </c>
      <c r="H721" s="6">
        <v>87.9738206568602</v>
      </c>
      <c r="I721" s="3"/>
      <c r="J721" s="5" t="s">
        <v>757</v>
      </c>
      <c r="K721" s="7">
        <v>135.630750843</v>
      </c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x14ac:dyDescent="0.25" r="722" customHeight="1" ht="12.75">
      <c r="A722" s="5" t="s">
        <v>313</v>
      </c>
      <c r="B722" s="6">
        <v>0.027942288000000003</v>
      </c>
      <c r="C722" s="3"/>
      <c r="D722" s="5" t="s">
        <v>733</v>
      </c>
      <c r="E722" s="6">
        <v>2</v>
      </c>
      <c r="F722" s="3"/>
      <c r="G722" s="5" t="s">
        <v>592</v>
      </c>
      <c r="H722" s="6">
        <v>87.65842356046353</v>
      </c>
      <c r="I722" s="3"/>
      <c r="J722" s="5" t="s">
        <v>223</v>
      </c>
      <c r="K722" s="7">
        <v>131.7643354185836</v>
      </c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x14ac:dyDescent="0.25" r="723" customHeight="1" ht="12.75">
      <c r="A723" s="5" t="s">
        <v>830</v>
      </c>
      <c r="B723" s="6">
        <v>0.027</v>
      </c>
      <c r="C723" s="3"/>
      <c r="D723" s="5" t="s">
        <v>774</v>
      </c>
      <c r="E723" s="6">
        <v>2</v>
      </c>
      <c r="F723" s="3"/>
      <c r="G723" s="5" t="s">
        <v>702</v>
      </c>
      <c r="H723" s="6">
        <v>86.86124</v>
      </c>
      <c r="I723" s="3"/>
      <c r="J723" s="5" t="s">
        <v>748</v>
      </c>
      <c r="K723" s="7">
        <v>127.39009735833439</v>
      </c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x14ac:dyDescent="0.25" r="724" customHeight="1" ht="12.75">
      <c r="A724" s="5" t="s">
        <v>738</v>
      </c>
      <c r="B724" s="6">
        <v>0.026880000000000005</v>
      </c>
      <c r="C724" s="3"/>
      <c r="D724" s="5" t="s">
        <v>812</v>
      </c>
      <c r="E724" s="6">
        <v>1.9994075583287887</v>
      </c>
      <c r="F724" s="3"/>
      <c r="G724" s="5" t="s">
        <v>691</v>
      </c>
      <c r="H724" s="6">
        <v>86.552596</v>
      </c>
      <c r="I724" s="3"/>
      <c r="J724" s="5" t="s">
        <v>692</v>
      </c>
      <c r="K724" s="7">
        <v>122.48926448553055</v>
      </c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x14ac:dyDescent="0.25" r="725" customHeight="1" ht="12.75">
      <c r="A725" s="5" t="s">
        <v>220</v>
      </c>
      <c r="B725" s="6">
        <v>0.02662</v>
      </c>
      <c r="C725" s="3"/>
      <c r="D725" s="5" t="s">
        <v>446</v>
      </c>
      <c r="E725" s="6">
        <v>1.9706906427531807</v>
      </c>
      <c r="F725" s="3"/>
      <c r="G725" s="5" t="s">
        <v>441</v>
      </c>
      <c r="H725" s="6">
        <v>85.55373899462144</v>
      </c>
      <c r="I725" s="3"/>
      <c r="J725" s="5" t="s">
        <v>817</v>
      </c>
      <c r="K725" s="7">
        <v>121.42143143999999</v>
      </c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x14ac:dyDescent="0.25" r="726" customHeight="1" ht="12.75">
      <c r="A726" s="5" t="s">
        <v>846</v>
      </c>
      <c r="B726" s="6">
        <v>0.0258926</v>
      </c>
      <c r="C726" s="3"/>
      <c r="D726" s="5" t="s">
        <v>251</v>
      </c>
      <c r="E726" s="6">
        <v>1.9588004233799836</v>
      </c>
      <c r="F726" s="3"/>
      <c r="G726" s="5" t="s">
        <v>814</v>
      </c>
      <c r="H726" s="6">
        <v>85.46153636923788</v>
      </c>
      <c r="I726" s="3"/>
      <c r="J726" s="5" t="s">
        <v>579</v>
      </c>
      <c r="K726" s="7">
        <v>119.34300062459808</v>
      </c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x14ac:dyDescent="0.25" r="727" customHeight="1" ht="12.75">
      <c r="A727" s="5" t="s">
        <v>822</v>
      </c>
      <c r="B727" s="6">
        <v>0.0256911483</v>
      </c>
      <c r="C727" s="3"/>
      <c r="D727" s="5" t="s">
        <v>634</v>
      </c>
      <c r="E727" s="6">
        <v>1.9555957024567165</v>
      </c>
      <c r="F727" s="3"/>
      <c r="G727" s="5" t="s">
        <v>848</v>
      </c>
      <c r="H727" s="6">
        <v>84.685767</v>
      </c>
      <c r="I727" s="3"/>
      <c r="J727" s="5" t="s">
        <v>298</v>
      </c>
      <c r="K727" s="7">
        <v>118.74922842117118</v>
      </c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x14ac:dyDescent="0.25" r="728" customHeight="1" ht="12.75">
      <c r="A728" s="5" t="s">
        <v>44</v>
      </c>
      <c r="B728" s="6">
        <v>0.025070000000000002</v>
      </c>
      <c r="C728" s="3"/>
      <c r="D728" s="5" t="s">
        <v>816</v>
      </c>
      <c r="E728" s="6">
        <v>1.93</v>
      </c>
      <c r="F728" s="3"/>
      <c r="G728" s="5" t="s">
        <v>712</v>
      </c>
      <c r="H728" s="6">
        <v>84.65569737813505</v>
      </c>
      <c r="I728" s="3"/>
      <c r="J728" s="5" t="s">
        <v>687</v>
      </c>
      <c r="K728" s="7">
        <v>116.80993998327975</v>
      </c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x14ac:dyDescent="0.25" r="729" customHeight="1" ht="12.75">
      <c r="A729" s="5" t="s">
        <v>450</v>
      </c>
      <c r="B729" s="6">
        <v>0.0249</v>
      </c>
      <c r="C729" s="3"/>
      <c r="D729" s="5" t="s">
        <v>755</v>
      </c>
      <c r="E729" s="6">
        <v>1.92</v>
      </c>
      <c r="F729" s="3"/>
      <c r="G729" s="5" t="s">
        <v>377</v>
      </c>
      <c r="H729" s="6">
        <v>83.35622443458523</v>
      </c>
      <c r="I729" s="3"/>
      <c r="J729" s="5" t="s">
        <v>843</v>
      </c>
      <c r="K729" s="7">
        <v>116.06124477562702</v>
      </c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x14ac:dyDescent="0.25" r="730" customHeight="1" ht="12.75">
      <c r="A730" s="5" t="s">
        <v>204</v>
      </c>
      <c r="B730" s="6">
        <v>0.024800000000000003</v>
      </c>
      <c r="C730" s="3"/>
      <c r="D730" s="5" t="s">
        <v>723</v>
      </c>
      <c r="E730" s="6">
        <v>1.88</v>
      </c>
      <c r="F730" s="3"/>
      <c r="G730" s="5" t="s">
        <v>788</v>
      </c>
      <c r="H730" s="6">
        <v>83.27766270000001</v>
      </c>
      <c r="I730" s="3"/>
      <c r="J730" s="5" t="s">
        <v>585</v>
      </c>
      <c r="K730" s="7">
        <v>112.78667669067524</v>
      </c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x14ac:dyDescent="0.25" r="731" customHeight="1" ht="12.75">
      <c r="A731" s="5" t="s">
        <v>81</v>
      </c>
      <c r="B731" s="6">
        <v>0.0244184113</v>
      </c>
      <c r="C731" s="3"/>
      <c r="D731" s="5" t="s">
        <v>200</v>
      </c>
      <c r="E731" s="6">
        <v>1.846340694006309</v>
      </c>
      <c r="F731" s="3"/>
      <c r="G731" s="5" t="s">
        <v>4</v>
      </c>
      <c r="H731" s="6">
        <v>83.12678815662225</v>
      </c>
      <c r="I731" s="3"/>
      <c r="J731" s="5" t="s">
        <v>827</v>
      </c>
      <c r="K731" s="7">
        <v>112.16205000416187</v>
      </c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x14ac:dyDescent="0.25" r="732" customHeight="1" ht="12.75">
      <c r="A732" s="5" t="s">
        <v>585</v>
      </c>
      <c r="B732" s="6">
        <v>0.02375</v>
      </c>
      <c r="C732" s="3"/>
      <c r="D732" s="5" t="s">
        <v>667</v>
      </c>
      <c r="E732" s="6">
        <v>1.8399999999999999</v>
      </c>
      <c r="F732" s="3"/>
      <c r="G732" s="5" t="s">
        <v>827</v>
      </c>
      <c r="H732" s="6">
        <v>83.08300000308286</v>
      </c>
      <c r="I732" s="3"/>
      <c r="J732" s="5" t="s">
        <v>478</v>
      </c>
      <c r="K732" s="7">
        <v>111.70878606871828</v>
      </c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x14ac:dyDescent="0.25" r="733" customHeight="1" ht="12.75">
      <c r="A733" s="5" t="s">
        <v>693</v>
      </c>
      <c r="B733" s="6">
        <v>0.023484</v>
      </c>
      <c r="C733" s="3"/>
      <c r="D733" s="5" t="s">
        <v>590</v>
      </c>
      <c r="E733" s="6">
        <v>1.83</v>
      </c>
      <c r="F733" s="3"/>
      <c r="G733" s="5" t="s">
        <v>786</v>
      </c>
      <c r="H733" s="6">
        <v>82.63547264318746</v>
      </c>
      <c r="I733" s="3"/>
      <c r="J733" s="5" t="s">
        <v>339</v>
      </c>
      <c r="K733" s="7">
        <v>107.46378444116522</v>
      </c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x14ac:dyDescent="0.25" r="734" customHeight="1" ht="12.75">
      <c r="A734" s="5" t="s">
        <v>145</v>
      </c>
      <c r="B734" s="6">
        <v>0.023451823500000003</v>
      </c>
      <c r="C734" s="3"/>
      <c r="D734" s="5" t="s">
        <v>849</v>
      </c>
      <c r="E734" s="6">
        <v>1.83</v>
      </c>
      <c r="F734" s="3"/>
      <c r="G734" s="5" t="s">
        <v>829</v>
      </c>
      <c r="H734" s="6">
        <v>82.06426581293913</v>
      </c>
      <c r="I734" s="3"/>
      <c r="J734" s="5" t="s">
        <v>630</v>
      </c>
      <c r="K734" s="7">
        <v>106.47494371487744</v>
      </c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x14ac:dyDescent="0.25" r="735" customHeight="1" ht="12.75">
      <c r="A735" s="5" t="s">
        <v>614</v>
      </c>
      <c r="B735" s="6">
        <v>0.022839377299999998</v>
      </c>
      <c r="C735" s="3"/>
      <c r="D735" s="5" t="s">
        <v>136</v>
      </c>
      <c r="E735" s="6">
        <v>1.7824073124893218</v>
      </c>
      <c r="F735" s="3"/>
      <c r="G735" s="5" t="s">
        <v>780</v>
      </c>
      <c r="H735" s="6">
        <v>81.8891662540193</v>
      </c>
      <c r="I735" s="3"/>
      <c r="J735" s="5" t="s">
        <v>821</v>
      </c>
      <c r="K735" s="7">
        <v>105.85502869807073</v>
      </c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x14ac:dyDescent="0.25" r="736" customHeight="1" ht="12.75">
      <c r="A736" s="5" t="s">
        <v>805</v>
      </c>
      <c r="B736" s="6">
        <v>0.02254</v>
      </c>
      <c r="C736" s="3"/>
      <c r="D736" s="5" t="s">
        <v>801</v>
      </c>
      <c r="E736" s="6">
        <v>1.6849999999999998</v>
      </c>
      <c r="F736" s="3"/>
      <c r="G736" s="5" t="s">
        <v>247</v>
      </c>
      <c r="H736" s="6">
        <v>81.8043794285714</v>
      </c>
      <c r="I736" s="3"/>
      <c r="J736" s="5" t="s">
        <v>753</v>
      </c>
      <c r="K736" s="7">
        <v>103.11749252797428</v>
      </c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x14ac:dyDescent="0.25" r="737" customHeight="1" ht="12.75">
      <c r="A737" s="5" t="s">
        <v>811</v>
      </c>
      <c r="B737" s="6">
        <v>0.021923999999999996</v>
      </c>
      <c r="C737" s="3"/>
      <c r="D737" s="5" t="s">
        <v>592</v>
      </c>
      <c r="E737" s="6">
        <v>1.6808027555682465</v>
      </c>
      <c r="F737" s="3"/>
      <c r="G737" s="5" t="s">
        <v>844</v>
      </c>
      <c r="H737" s="6">
        <v>81.69951918970031</v>
      </c>
      <c r="I737" s="3"/>
      <c r="J737" s="5" t="s">
        <v>53</v>
      </c>
      <c r="K737" s="7">
        <v>100.57164739999999</v>
      </c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x14ac:dyDescent="0.25" r="738" customHeight="1" ht="12.75">
      <c r="A738" s="5" t="s">
        <v>687</v>
      </c>
      <c r="B738" s="6">
        <v>0.0216</v>
      </c>
      <c r="C738" s="3"/>
      <c r="D738" s="5" t="s">
        <v>769</v>
      </c>
      <c r="E738" s="6">
        <v>1.6760000000000002</v>
      </c>
      <c r="F738" s="3"/>
      <c r="G738" s="5" t="s">
        <v>52</v>
      </c>
      <c r="H738" s="6">
        <v>81.57728046715329</v>
      </c>
      <c r="I738" s="3"/>
      <c r="J738" s="5" t="s">
        <v>557</v>
      </c>
      <c r="K738" s="7">
        <v>100.25866936440514</v>
      </c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x14ac:dyDescent="0.25" r="739" customHeight="1" ht="12.75">
      <c r="A739" s="5" t="s">
        <v>600</v>
      </c>
      <c r="B739" s="6">
        <v>0.021459899999999997</v>
      </c>
      <c r="C739" s="3"/>
      <c r="D739" s="5" t="s">
        <v>319</v>
      </c>
      <c r="E739" s="6">
        <v>1.6719107458075906</v>
      </c>
      <c r="F739" s="3"/>
      <c r="G739" s="5" t="s">
        <v>706</v>
      </c>
      <c r="H739" s="6">
        <v>81.26066976848875</v>
      </c>
      <c r="I739" s="3"/>
      <c r="J739" s="5" t="s">
        <v>822</v>
      </c>
      <c r="K739" s="7">
        <v>99.18505983184737</v>
      </c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x14ac:dyDescent="0.25" r="740" customHeight="1" ht="12.75">
      <c r="A740" s="5" t="s">
        <v>103</v>
      </c>
      <c r="B740" s="6">
        <v>0.0206904919</v>
      </c>
      <c r="C740" s="3"/>
      <c r="D740" s="5" t="s">
        <v>591</v>
      </c>
      <c r="E740" s="6">
        <v>1.6600000000000001</v>
      </c>
      <c r="F740" s="3"/>
      <c r="G740" s="5" t="s">
        <v>684</v>
      </c>
      <c r="H740" s="6">
        <v>80.39488269432803</v>
      </c>
      <c r="I740" s="3"/>
      <c r="J740" s="5" t="s">
        <v>839</v>
      </c>
      <c r="K740" s="7">
        <v>97.70156389118286</v>
      </c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x14ac:dyDescent="0.25" r="741" customHeight="1" ht="12.75">
      <c r="A741" s="5" t="s">
        <v>453</v>
      </c>
      <c r="B741" s="6">
        <v>0.020667366399999998</v>
      </c>
      <c r="C741" s="3"/>
      <c r="D741" s="5" t="s">
        <v>458</v>
      </c>
      <c r="E741" s="6">
        <v>1.6537112743532416</v>
      </c>
      <c r="F741" s="3"/>
      <c r="G741" s="5" t="s">
        <v>492</v>
      </c>
      <c r="H741" s="6">
        <v>80.27631532432837</v>
      </c>
      <c r="I741" s="3"/>
      <c r="J741" s="5" t="s">
        <v>831</v>
      </c>
      <c r="K741" s="7">
        <v>97.4385535715459</v>
      </c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x14ac:dyDescent="0.25" r="742" customHeight="1" ht="12.75">
      <c r="A742" s="5" t="s">
        <v>832</v>
      </c>
      <c r="B742" s="6">
        <v>0.020597499999999998</v>
      </c>
      <c r="C742" s="3"/>
      <c r="D742" s="5" t="s">
        <v>791</v>
      </c>
      <c r="E742" s="6">
        <v>1.622450331125828</v>
      </c>
      <c r="F742" s="3"/>
      <c r="G742" s="5" t="s">
        <v>802</v>
      </c>
      <c r="H742" s="6">
        <v>79.9679941414791</v>
      </c>
      <c r="I742" s="3"/>
      <c r="J742" s="5" t="s">
        <v>385</v>
      </c>
      <c r="K742" s="7">
        <v>97.17752444305466</v>
      </c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x14ac:dyDescent="0.25" r="743" customHeight="1" ht="12.75">
      <c r="A743" s="5" t="s">
        <v>698</v>
      </c>
      <c r="B743" s="6">
        <v>0.0202824</v>
      </c>
      <c r="C743" s="3"/>
      <c r="D743" s="5" t="s">
        <v>575</v>
      </c>
      <c r="E743" s="6">
        <v>1.6199999999999999</v>
      </c>
      <c r="F743" s="3"/>
      <c r="G743" s="5" t="s">
        <v>789</v>
      </c>
      <c r="H743" s="6">
        <v>79.64448189999999</v>
      </c>
      <c r="I743" s="3"/>
      <c r="J743" s="5" t="s">
        <v>313</v>
      </c>
      <c r="K743" s="7">
        <v>95.67448381060262</v>
      </c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x14ac:dyDescent="0.25" r="744" customHeight="1" ht="12.75">
      <c r="A744" s="5" t="s">
        <v>843</v>
      </c>
      <c r="B744" s="6">
        <v>0.019519999999999996</v>
      </c>
      <c r="C744" s="3"/>
      <c r="D744" s="5" t="s">
        <v>701</v>
      </c>
      <c r="E744" s="6">
        <v>1.607919898971676</v>
      </c>
      <c r="F744" s="3"/>
      <c r="G744" s="5" t="s">
        <v>340</v>
      </c>
      <c r="H744" s="6">
        <v>78.6980671096463</v>
      </c>
      <c r="I744" s="3"/>
      <c r="J744" s="5" t="s">
        <v>81</v>
      </c>
      <c r="K744" s="7">
        <v>94.14843838671338</v>
      </c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x14ac:dyDescent="0.25" r="745" customHeight="1" ht="12.75">
      <c r="A745" s="5" t="s">
        <v>207</v>
      </c>
      <c r="B745" s="6">
        <v>0.019300765864332603</v>
      </c>
      <c r="C745" s="3"/>
      <c r="D745" s="5" t="s">
        <v>664</v>
      </c>
      <c r="E745" s="6">
        <v>1.6048467966573812</v>
      </c>
      <c r="F745" s="3"/>
      <c r="G745" s="5" t="s">
        <v>790</v>
      </c>
      <c r="H745" s="6">
        <v>78.68441767202575</v>
      </c>
      <c r="I745" s="3"/>
      <c r="J745" s="5" t="s">
        <v>530</v>
      </c>
      <c r="K745" s="7">
        <v>92.53502295032155</v>
      </c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x14ac:dyDescent="0.25" r="746" customHeight="1" ht="12.75">
      <c r="A746" s="5" t="s">
        <v>838</v>
      </c>
      <c r="B746" s="6">
        <v>0.019170000000000003</v>
      </c>
      <c r="C746" s="3"/>
      <c r="D746" s="5" t="s">
        <v>843</v>
      </c>
      <c r="E746" s="6">
        <v>1.6</v>
      </c>
      <c r="F746" s="3"/>
      <c r="G746" s="5" t="s">
        <v>782</v>
      </c>
      <c r="H746" s="6">
        <v>78.52056135070922</v>
      </c>
      <c r="I746" s="3"/>
      <c r="J746" s="5" t="s">
        <v>221</v>
      </c>
      <c r="K746" s="7">
        <v>92.24536682304695</v>
      </c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x14ac:dyDescent="0.25" r="747" customHeight="1" ht="12.75">
      <c r="A747" s="5" t="s">
        <v>111</v>
      </c>
      <c r="B747" s="6">
        <v>0.0185853</v>
      </c>
      <c r="C747" s="3"/>
      <c r="D747" s="5" t="s">
        <v>556</v>
      </c>
      <c r="E747" s="6">
        <v>1.56</v>
      </c>
      <c r="F747" s="3"/>
      <c r="G747" s="5" t="s">
        <v>529</v>
      </c>
      <c r="H747" s="6">
        <v>76.73769995498392</v>
      </c>
      <c r="I747" s="3"/>
      <c r="J747" s="5" t="s">
        <v>830</v>
      </c>
      <c r="K747" s="7">
        <v>90.57301222829582</v>
      </c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x14ac:dyDescent="0.25" r="748" customHeight="1" ht="12.75">
      <c r="A748" s="5" t="s">
        <v>627</v>
      </c>
      <c r="B748" s="6">
        <v>0.017556</v>
      </c>
      <c r="C748" s="3"/>
      <c r="D748" s="5" t="s">
        <v>473</v>
      </c>
      <c r="E748" s="6">
        <v>1.543052974782157</v>
      </c>
      <c r="F748" s="3"/>
      <c r="G748" s="5" t="s">
        <v>71</v>
      </c>
      <c r="H748" s="6">
        <v>76.72327794242102</v>
      </c>
      <c r="I748" s="3"/>
      <c r="J748" s="5" t="s">
        <v>738</v>
      </c>
      <c r="K748" s="7">
        <v>86.07463872000002</v>
      </c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x14ac:dyDescent="0.25" r="749" customHeight="1" ht="12.75">
      <c r="A749" s="5" t="s">
        <v>771</v>
      </c>
      <c r="B749" s="6">
        <v>0.01735055762</v>
      </c>
      <c r="C749" s="3"/>
      <c r="D749" s="5" t="s">
        <v>360</v>
      </c>
      <c r="E749" s="6">
        <v>1.4988690476190478</v>
      </c>
      <c r="F749" s="3"/>
      <c r="G749" s="5" t="s">
        <v>811</v>
      </c>
      <c r="H749" s="6">
        <v>75.0732438</v>
      </c>
      <c r="I749" s="3"/>
      <c r="J749" s="5" t="s">
        <v>18</v>
      </c>
      <c r="K749" s="7">
        <v>82.25153243729903</v>
      </c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x14ac:dyDescent="0.25" r="750" customHeight="1" ht="12.75">
      <c r="A750" s="5" t="s">
        <v>261</v>
      </c>
      <c r="B750" s="6">
        <v>0.0166281162</v>
      </c>
      <c r="C750" s="3"/>
      <c r="D750" s="5" t="s">
        <v>785</v>
      </c>
      <c r="E750" s="6">
        <v>1.4903051237536933</v>
      </c>
      <c r="F750" s="3"/>
      <c r="G750" s="5" t="s">
        <v>531</v>
      </c>
      <c r="H750" s="6">
        <v>74.68613396141478</v>
      </c>
      <c r="I750" s="3"/>
      <c r="J750" s="5" t="s">
        <v>614</v>
      </c>
      <c r="K750" s="7">
        <v>80.75261542644256</v>
      </c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x14ac:dyDescent="0.25" r="751" customHeight="1" ht="12.75">
      <c r="A751" s="5" t="s">
        <v>221</v>
      </c>
      <c r="B751" s="6">
        <v>0.0162182856</v>
      </c>
      <c r="C751" s="3"/>
      <c r="D751" s="5" t="s">
        <v>303</v>
      </c>
      <c r="E751" s="6">
        <v>1.4900944881889764</v>
      </c>
      <c r="F751" s="3"/>
      <c r="G751" s="5" t="s">
        <v>849</v>
      </c>
      <c r="H751" s="6">
        <v>74.46492027106109</v>
      </c>
      <c r="I751" s="3"/>
      <c r="J751" s="5" t="s">
        <v>253</v>
      </c>
      <c r="K751" s="7">
        <v>77.83769522974278</v>
      </c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x14ac:dyDescent="0.25" r="752" customHeight="1" ht="12.75">
      <c r="A752" s="5" t="s">
        <v>223</v>
      </c>
      <c r="B752" s="6">
        <v>0.015787</v>
      </c>
      <c r="C752" s="3"/>
      <c r="D752" s="5" t="s">
        <v>4</v>
      </c>
      <c r="E752" s="6">
        <v>1.4885195662423385</v>
      </c>
      <c r="F752" s="3"/>
      <c r="G752" s="5" t="s">
        <v>831</v>
      </c>
      <c r="H752" s="6">
        <v>74.40727098389948</v>
      </c>
      <c r="I752" s="3"/>
      <c r="J752" s="5" t="s">
        <v>695</v>
      </c>
      <c r="K752" s="7">
        <v>77.472409</v>
      </c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x14ac:dyDescent="0.25" r="753" customHeight="1" ht="12.75">
      <c r="A753" s="5" t="s">
        <v>496</v>
      </c>
      <c r="B753" s="6">
        <v>0.0156477684</v>
      </c>
      <c r="C753" s="3"/>
      <c r="D753" s="5" t="s">
        <v>839</v>
      </c>
      <c r="E753" s="6">
        <v>1.48</v>
      </c>
      <c r="F753" s="3"/>
      <c r="G753" s="5" t="s">
        <v>289</v>
      </c>
      <c r="H753" s="6">
        <v>73.832054</v>
      </c>
      <c r="I753" s="3"/>
      <c r="J753" s="5" t="s">
        <v>450</v>
      </c>
      <c r="K753" s="7">
        <v>73.70418719999999</v>
      </c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x14ac:dyDescent="0.25" r="754" customHeight="1" ht="12.75">
      <c r="A754" s="5" t="s">
        <v>152</v>
      </c>
      <c r="B754" s="6">
        <v>0.015600000000000001</v>
      </c>
      <c r="C754" s="3"/>
      <c r="D754" s="5" t="s">
        <v>850</v>
      </c>
      <c r="E754" s="6">
        <v>1.4</v>
      </c>
      <c r="F754" s="3"/>
      <c r="G754" s="5" t="s">
        <v>779</v>
      </c>
      <c r="H754" s="6">
        <v>73.8245963</v>
      </c>
      <c r="I754" s="3"/>
      <c r="J754" s="5" t="s">
        <v>789</v>
      </c>
      <c r="K754" s="7">
        <v>71.68003370999999</v>
      </c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x14ac:dyDescent="0.25" r="755" customHeight="1" ht="12.75">
      <c r="A755" s="5" t="s">
        <v>626</v>
      </c>
      <c r="B755" s="6">
        <v>0.015127999999999997</v>
      </c>
      <c r="C755" s="3"/>
      <c r="D755" s="5" t="s">
        <v>666</v>
      </c>
      <c r="E755" s="6">
        <v>1.391559633027523</v>
      </c>
      <c r="F755" s="3"/>
      <c r="G755" s="5" t="s">
        <v>509</v>
      </c>
      <c r="H755" s="6">
        <v>73.37809858038473</v>
      </c>
      <c r="I755" s="3"/>
      <c r="J755" s="5" t="s">
        <v>591</v>
      </c>
      <c r="K755" s="7">
        <v>70.82610288000001</v>
      </c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x14ac:dyDescent="0.25" r="756" customHeight="1" ht="12.75">
      <c r="A756" s="5" t="s">
        <v>776</v>
      </c>
      <c r="B756" s="6">
        <v>0.01512</v>
      </c>
      <c r="C756" s="3"/>
      <c r="D756" s="5" t="s">
        <v>786</v>
      </c>
      <c r="E756" s="6">
        <v>1.378782608695652</v>
      </c>
      <c r="F756" s="3"/>
      <c r="G756" s="5" t="s">
        <v>647</v>
      </c>
      <c r="H756" s="6">
        <v>73.31607349999999</v>
      </c>
      <c r="I756" s="3"/>
      <c r="J756" s="5" t="s">
        <v>16</v>
      </c>
      <c r="K756" s="7">
        <v>70.82545929567206</v>
      </c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x14ac:dyDescent="0.25" r="757" customHeight="1" ht="12.75">
      <c r="A757" s="5" t="s">
        <v>84</v>
      </c>
      <c r="B757" s="6">
        <v>0.0150107834</v>
      </c>
      <c r="C757" s="3"/>
      <c r="D757" s="5" t="s">
        <v>781</v>
      </c>
      <c r="E757" s="6">
        <v>1.3612499999999998</v>
      </c>
      <c r="F757" s="3"/>
      <c r="G757" s="5" t="s">
        <v>787</v>
      </c>
      <c r="H757" s="6">
        <v>73.16354267496187</v>
      </c>
      <c r="I757" s="3"/>
      <c r="J757" s="5" t="s">
        <v>570</v>
      </c>
      <c r="K757" s="7">
        <v>70.736310588</v>
      </c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x14ac:dyDescent="0.25" r="758" customHeight="1" ht="12.75">
      <c r="A758" s="5" t="s">
        <v>199</v>
      </c>
      <c r="B758" s="6">
        <v>0.014934000000000001</v>
      </c>
      <c r="C758" s="3"/>
      <c r="D758" s="5" t="s">
        <v>815</v>
      </c>
      <c r="E758" s="6">
        <v>1.3399999999999999</v>
      </c>
      <c r="F758" s="3"/>
      <c r="G758" s="5" t="s">
        <v>784</v>
      </c>
      <c r="H758" s="6">
        <v>72.55408260171811</v>
      </c>
      <c r="I758" s="3"/>
      <c r="J758" s="5" t="s">
        <v>641</v>
      </c>
      <c r="K758" s="7">
        <v>68.66316149001631</v>
      </c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x14ac:dyDescent="0.25" r="759" customHeight="1" ht="12.75">
      <c r="A759" s="5" t="s">
        <v>579</v>
      </c>
      <c r="B759" s="6">
        <v>0.014750000000000001</v>
      </c>
      <c r="C759" s="3"/>
      <c r="D759" s="5" t="s">
        <v>441</v>
      </c>
      <c r="E759" s="6">
        <v>1.3318516723218614</v>
      </c>
      <c r="F759" s="3"/>
      <c r="G759" s="5" t="s">
        <v>456</v>
      </c>
      <c r="H759" s="6">
        <v>72.53149654945011</v>
      </c>
      <c r="I759" s="3"/>
      <c r="J759" s="5" t="s">
        <v>47</v>
      </c>
      <c r="K759" s="7">
        <v>68.18346784951814</v>
      </c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x14ac:dyDescent="0.25" r="760" customHeight="1" ht="12.75">
      <c r="A760" s="5" t="s">
        <v>839</v>
      </c>
      <c r="B760" s="6">
        <v>0.014719532399999999</v>
      </c>
      <c r="C760" s="3"/>
      <c r="D760" s="5" t="s">
        <v>71</v>
      </c>
      <c r="E760" s="6">
        <v>1.3182905801710127</v>
      </c>
      <c r="F760" s="3"/>
      <c r="G760" s="5" t="s">
        <v>838</v>
      </c>
      <c r="H760" s="6">
        <v>72.31041306623794</v>
      </c>
      <c r="I760" s="3"/>
      <c r="J760" s="5" t="s">
        <v>842</v>
      </c>
      <c r="K760" s="7">
        <v>67.92965883096461</v>
      </c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x14ac:dyDescent="0.25" r="761" customHeight="1" ht="12.75">
      <c r="A761" s="5" t="s">
        <v>840</v>
      </c>
      <c r="B761" s="6">
        <v>0.014639999999999999</v>
      </c>
      <c r="C761" s="3"/>
      <c r="D761" s="5" t="s">
        <v>828</v>
      </c>
      <c r="E761" s="6">
        <v>1.3</v>
      </c>
      <c r="F761" s="3"/>
      <c r="G761" s="5" t="s">
        <v>741</v>
      </c>
      <c r="H761" s="6">
        <v>71.70681959999999</v>
      </c>
      <c r="I761" s="3"/>
      <c r="J761" s="5" t="s">
        <v>103</v>
      </c>
      <c r="K761" s="7">
        <v>67.81487398026064</v>
      </c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x14ac:dyDescent="0.25" r="762" customHeight="1" ht="12.75">
      <c r="A762" s="5" t="s">
        <v>746</v>
      </c>
      <c r="B762" s="6">
        <v>0.014636058500000002</v>
      </c>
      <c r="C762" s="3"/>
      <c r="D762" s="5" t="s">
        <v>600</v>
      </c>
      <c r="E762" s="6">
        <v>1.2857938885560214</v>
      </c>
      <c r="F762" s="3"/>
      <c r="G762" s="5" t="s">
        <v>550</v>
      </c>
      <c r="H762" s="6">
        <v>71.6843294</v>
      </c>
      <c r="I762" s="3"/>
      <c r="J762" s="5" t="s">
        <v>111</v>
      </c>
      <c r="K762" s="7">
        <v>67.67547503430002</v>
      </c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x14ac:dyDescent="0.25" r="763" customHeight="1" ht="12.75">
      <c r="A763" s="5" t="s">
        <v>596</v>
      </c>
      <c r="B763" s="6">
        <v>0.014568</v>
      </c>
      <c r="C763" s="3"/>
      <c r="D763" s="5" t="s">
        <v>813</v>
      </c>
      <c r="E763" s="6">
        <v>1.2702499568452517</v>
      </c>
      <c r="F763" s="3"/>
      <c r="G763" s="5" t="s">
        <v>114</v>
      </c>
      <c r="H763" s="6">
        <v>70.90805190291722</v>
      </c>
      <c r="I763" s="3"/>
      <c r="J763" s="5" t="s">
        <v>824</v>
      </c>
      <c r="K763" s="7">
        <v>66.375159845</v>
      </c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x14ac:dyDescent="0.25" r="764" customHeight="1" ht="12.75">
      <c r="A764" s="5" t="s">
        <v>202</v>
      </c>
      <c r="B764" s="6">
        <v>0.0145301</v>
      </c>
      <c r="C764" s="3"/>
      <c r="D764" s="5" t="s">
        <v>297</v>
      </c>
      <c r="E764" s="6">
        <v>1.27</v>
      </c>
      <c r="F764" s="3"/>
      <c r="G764" s="5" t="s">
        <v>723</v>
      </c>
      <c r="H764" s="6">
        <v>69.40862763183279</v>
      </c>
      <c r="I764" s="3"/>
      <c r="J764" s="5" t="s">
        <v>580</v>
      </c>
      <c r="K764" s="7">
        <v>65.79860602214607</v>
      </c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x14ac:dyDescent="0.25" r="765" customHeight="1" ht="12.75">
      <c r="A765" s="5" t="s">
        <v>47</v>
      </c>
      <c r="B765" s="6">
        <v>0.01451504</v>
      </c>
      <c r="C765" s="3"/>
      <c r="D765" s="5" t="s">
        <v>814</v>
      </c>
      <c r="E765" s="6">
        <v>1.2343796711509716</v>
      </c>
      <c r="F765" s="3"/>
      <c r="G765" s="5" t="s">
        <v>305</v>
      </c>
      <c r="H765" s="6">
        <v>68.91022632878607</v>
      </c>
      <c r="I765" s="3"/>
      <c r="J765" s="5" t="s">
        <v>220</v>
      </c>
      <c r="K765" s="7">
        <v>63.88335558000001</v>
      </c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x14ac:dyDescent="0.25" r="766" customHeight="1" ht="12.75">
      <c r="A766" s="5" t="s">
        <v>580</v>
      </c>
      <c r="B766" s="6">
        <v>0.014505612599999999</v>
      </c>
      <c r="C766" s="3"/>
      <c r="D766" s="5" t="s">
        <v>476</v>
      </c>
      <c r="E766" s="6">
        <v>1.2315037974683545</v>
      </c>
      <c r="F766" s="3"/>
      <c r="G766" s="5" t="s">
        <v>795</v>
      </c>
      <c r="H766" s="6">
        <v>68.629198</v>
      </c>
      <c r="I766" s="3"/>
      <c r="J766" s="5" t="s">
        <v>624</v>
      </c>
      <c r="K766" s="7">
        <v>63.597198500000005</v>
      </c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x14ac:dyDescent="0.25" r="767" customHeight="1" ht="12.75">
      <c r="A767" s="5" t="s">
        <v>538</v>
      </c>
      <c r="B767" s="6">
        <v>0.014448304999999998</v>
      </c>
      <c r="C767" s="3"/>
      <c r="D767" s="5" t="s">
        <v>732</v>
      </c>
      <c r="E767" s="6">
        <v>1.2</v>
      </c>
      <c r="F767" s="3"/>
      <c r="G767" s="5" t="s">
        <v>751</v>
      </c>
      <c r="H767" s="6">
        <v>67.98841567725563</v>
      </c>
      <c r="I767" s="3"/>
      <c r="J767" s="5" t="s">
        <v>549</v>
      </c>
      <c r="K767" s="7">
        <v>63.189163688706614</v>
      </c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x14ac:dyDescent="0.25" r="768" customHeight="1" ht="12.75">
      <c r="A768" s="5" t="s">
        <v>372</v>
      </c>
      <c r="B768" s="6">
        <v>0.01425</v>
      </c>
      <c r="C768" s="3"/>
      <c r="D768" s="5" t="s">
        <v>481</v>
      </c>
      <c r="E768" s="6">
        <v>1.1621538461538463</v>
      </c>
      <c r="F768" s="3"/>
      <c r="G768" s="5" t="s">
        <v>817</v>
      </c>
      <c r="H768" s="6">
        <v>67.4563508</v>
      </c>
      <c r="I768" s="3"/>
      <c r="J768" s="5" t="s">
        <v>500</v>
      </c>
      <c r="K768" s="7">
        <v>61.3380945002892</v>
      </c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x14ac:dyDescent="0.25" r="769" customHeight="1" ht="12.75">
      <c r="A769" s="5" t="s">
        <v>787</v>
      </c>
      <c r="B769" s="6">
        <v>0.014157999999999999</v>
      </c>
      <c r="C769" s="3"/>
      <c r="D769" s="5" t="s">
        <v>515</v>
      </c>
      <c r="E769" s="6">
        <v>1.1365971596213065</v>
      </c>
      <c r="F769" s="3"/>
      <c r="G769" s="5" t="s">
        <v>826</v>
      </c>
      <c r="H769" s="6">
        <v>66.33514055884245</v>
      </c>
      <c r="I769" s="3"/>
      <c r="J769" s="5" t="s">
        <v>675</v>
      </c>
      <c r="K769" s="7">
        <v>61.00426961307048</v>
      </c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x14ac:dyDescent="0.25" r="770" customHeight="1" ht="12.75">
      <c r="A770" s="5" t="s">
        <v>695</v>
      </c>
      <c r="B770" s="6">
        <v>0.014000000000000002</v>
      </c>
      <c r="C770" s="3"/>
      <c r="D770" s="5" t="s">
        <v>54</v>
      </c>
      <c r="E770" s="6">
        <v>1.1306120723069875</v>
      </c>
      <c r="F770" s="3"/>
      <c r="G770" s="5" t="s">
        <v>851</v>
      </c>
      <c r="H770" s="6">
        <v>66.1836839866789</v>
      </c>
      <c r="I770" s="3"/>
      <c r="J770" s="5" t="s">
        <v>834</v>
      </c>
      <c r="K770" s="7">
        <v>58.23738347755627</v>
      </c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x14ac:dyDescent="0.25" r="771" customHeight="1" ht="12.75">
      <c r="A771" s="5" t="s">
        <v>253</v>
      </c>
      <c r="B771" s="6">
        <v>0.01372</v>
      </c>
      <c r="C771" s="3"/>
      <c r="D771" s="5" t="s">
        <v>640</v>
      </c>
      <c r="E771" s="6">
        <v>1.1100385482296569</v>
      </c>
      <c r="F771" s="3"/>
      <c r="G771" s="5" t="s">
        <v>793</v>
      </c>
      <c r="H771" s="6">
        <v>66.1479207</v>
      </c>
      <c r="I771" s="3"/>
      <c r="J771" s="5" t="s">
        <v>496</v>
      </c>
      <c r="K771" s="7">
        <v>58.13924821650158</v>
      </c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x14ac:dyDescent="0.25" r="772" customHeight="1" ht="12.75">
      <c r="A772" s="5" t="s">
        <v>727</v>
      </c>
      <c r="B772" s="6">
        <v>0.013609999999999999</v>
      </c>
      <c r="C772" s="3"/>
      <c r="D772" s="5" t="s">
        <v>706</v>
      </c>
      <c r="E772" s="6">
        <v>1.1</v>
      </c>
      <c r="F772" s="3"/>
      <c r="G772" s="5" t="s">
        <v>663</v>
      </c>
      <c r="H772" s="6">
        <v>65.630942</v>
      </c>
      <c r="I772" s="3"/>
      <c r="J772" s="5" t="s">
        <v>199</v>
      </c>
      <c r="K772" s="7">
        <v>57.88878200678361</v>
      </c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x14ac:dyDescent="0.25" r="773" customHeight="1" ht="12.75">
      <c r="A773" s="5" t="s">
        <v>849</v>
      </c>
      <c r="B773" s="6">
        <v>0.013413899999999998</v>
      </c>
      <c r="C773" s="3"/>
      <c r="D773" s="5" t="s">
        <v>668</v>
      </c>
      <c r="E773" s="6">
        <v>1.05</v>
      </c>
      <c r="F773" s="3"/>
      <c r="G773" s="5" t="s">
        <v>813</v>
      </c>
      <c r="H773" s="6">
        <v>65.07646948751199</v>
      </c>
      <c r="I773" s="3"/>
      <c r="J773" s="5" t="s">
        <v>849</v>
      </c>
      <c r="K773" s="7">
        <v>54.58278655868778</v>
      </c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x14ac:dyDescent="0.25" r="774" customHeight="1" ht="12.75">
      <c r="A774" s="5" t="s">
        <v>718</v>
      </c>
      <c r="B774" s="6">
        <v>0.0130351032</v>
      </c>
      <c r="C774" s="3"/>
      <c r="D774" s="5" t="s">
        <v>208</v>
      </c>
      <c r="E774" s="6">
        <v>1.039798740521784</v>
      </c>
      <c r="F774" s="3"/>
      <c r="G774" s="5" t="s">
        <v>23</v>
      </c>
      <c r="H774" s="6">
        <v>64.8561724420791</v>
      </c>
      <c r="I774" s="3"/>
      <c r="J774" s="5" t="s">
        <v>820</v>
      </c>
      <c r="K774" s="7">
        <v>52.547934649919625</v>
      </c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x14ac:dyDescent="0.25" r="775" customHeight="1" ht="12.75">
      <c r="A775" s="5" t="s">
        <v>5</v>
      </c>
      <c r="B775" s="6">
        <v>0.012965345100000001</v>
      </c>
      <c r="C775" s="3"/>
      <c r="D775" s="5" t="s">
        <v>184</v>
      </c>
      <c r="E775" s="6">
        <v>1.035346153846154</v>
      </c>
      <c r="F775" s="3"/>
      <c r="G775" s="5" t="s">
        <v>667</v>
      </c>
      <c r="H775" s="6">
        <v>64.41831184694533</v>
      </c>
      <c r="I775" s="3"/>
      <c r="J775" s="5" t="s">
        <v>180</v>
      </c>
      <c r="K775" s="7">
        <v>52.49349040283087</v>
      </c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x14ac:dyDescent="0.25" r="776" customHeight="1" ht="12.75">
      <c r="A776" s="5" t="s">
        <v>820</v>
      </c>
      <c r="B776" s="6">
        <v>0.012375</v>
      </c>
      <c r="C776" s="3"/>
      <c r="D776" s="5" t="s">
        <v>784</v>
      </c>
      <c r="E776" s="6">
        <v>1.0222388059701493</v>
      </c>
      <c r="F776" s="3"/>
      <c r="G776" s="5" t="s">
        <v>725</v>
      </c>
      <c r="H776" s="6">
        <v>64.010561</v>
      </c>
      <c r="I776" s="3"/>
      <c r="J776" s="5" t="s">
        <v>204</v>
      </c>
      <c r="K776" s="7">
        <v>51.980058799999995</v>
      </c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x14ac:dyDescent="0.25" r="777" customHeight="1" ht="12.75">
      <c r="A777" s="5" t="s">
        <v>766</v>
      </c>
      <c r="B777" s="6">
        <v>0.0123668</v>
      </c>
      <c r="C777" s="3"/>
      <c r="D777" s="5" t="s">
        <v>153</v>
      </c>
      <c r="E777" s="6">
        <v>1.0144328258672557</v>
      </c>
      <c r="F777" s="3"/>
      <c r="G777" s="5" t="s">
        <v>297</v>
      </c>
      <c r="H777" s="6">
        <v>63.496803828617374</v>
      </c>
      <c r="I777" s="3"/>
      <c r="J777" s="5" t="s">
        <v>399</v>
      </c>
      <c r="K777" s="7">
        <v>51.91186295600001</v>
      </c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x14ac:dyDescent="0.25" r="778" customHeight="1" ht="12.75">
      <c r="A778" s="5" t="s">
        <v>574</v>
      </c>
      <c r="B778" s="6">
        <v>0.011883449999999997</v>
      </c>
      <c r="C778" s="3"/>
      <c r="D778" s="5" t="s">
        <v>114</v>
      </c>
      <c r="E778" s="6">
        <v>1.0133923512747876</v>
      </c>
      <c r="F778" s="3"/>
      <c r="G778" s="5" t="s">
        <v>371</v>
      </c>
      <c r="H778" s="6">
        <v>63.49248</v>
      </c>
      <c r="I778" s="3"/>
      <c r="J778" s="5" t="s">
        <v>65</v>
      </c>
      <c r="K778" s="7">
        <v>48.99085046194695</v>
      </c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x14ac:dyDescent="0.25" r="779" customHeight="1" ht="12.75">
      <c r="A779" s="5" t="s">
        <v>255</v>
      </c>
      <c r="B779" s="6">
        <v>0.0115</v>
      </c>
      <c r="C779" s="3"/>
      <c r="D779" s="5" t="s">
        <v>384</v>
      </c>
      <c r="E779" s="6">
        <v>1</v>
      </c>
      <c r="F779" s="3"/>
      <c r="G779" s="5" t="s">
        <v>327</v>
      </c>
      <c r="H779" s="6">
        <v>63.2199818547826</v>
      </c>
      <c r="I779" s="3"/>
      <c r="J779" s="5" t="s">
        <v>593</v>
      </c>
      <c r="K779" s="7">
        <v>48.89320973473388</v>
      </c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x14ac:dyDescent="0.25" r="780" customHeight="1" ht="12.75">
      <c r="A780" s="5" t="s">
        <v>500</v>
      </c>
      <c r="B780" s="6">
        <v>0.0113493702</v>
      </c>
      <c r="C780" s="3"/>
      <c r="D780" s="5" t="s">
        <v>794</v>
      </c>
      <c r="E780" s="6">
        <v>0.99</v>
      </c>
      <c r="F780" s="3"/>
      <c r="G780" s="5" t="s">
        <v>681</v>
      </c>
      <c r="H780" s="6">
        <v>63.03514610610932</v>
      </c>
      <c r="I780" s="3"/>
      <c r="J780" s="5" t="s">
        <v>811</v>
      </c>
      <c r="K780" s="7">
        <v>47.296143594</v>
      </c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x14ac:dyDescent="0.25" r="781" customHeight="1" ht="12.75">
      <c r="A781" s="5" t="s">
        <v>339</v>
      </c>
      <c r="B781" s="6">
        <v>0.010923150671999997</v>
      </c>
      <c r="C781" s="3"/>
      <c r="D781" s="5" t="s">
        <v>779</v>
      </c>
      <c r="E781" s="6">
        <v>0.98</v>
      </c>
      <c r="F781" s="3"/>
      <c r="G781" s="5" t="s">
        <v>666</v>
      </c>
      <c r="H781" s="6">
        <v>62.83973253440515</v>
      </c>
      <c r="I781" s="3"/>
      <c r="J781" s="5" t="s">
        <v>648</v>
      </c>
      <c r="K781" s="7">
        <v>45.9388181131672</v>
      </c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x14ac:dyDescent="0.25" r="782" customHeight="1" ht="12.75">
      <c r="A782" s="5" t="s">
        <v>770</v>
      </c>
      <c r="B782" s="6">
        <v>0.010914</v>
      </c>
      <c r="C782" s="3"/>
      <c r="D782" s="5" t="s">
        <v>805</v>
      </c>
      <c r="E782" s="6">
        <v>0.98</v>
      </c>
      <c r="F782" s="3"/>
      <c r="G782" s="5" t="s">
        <v>143</v>
      </c>
      <c r="H782" s="6">
        <v>62.5202514</v>
      </c>
      <c r="I782" s="3"/>
      <c r="J782" s="5" t="s">
        <v>698</v>
      </c>
      <c r="K782" s="7">
        <v>45.835193130219935</v>
      </c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x14ac:dyDescent="0.25" r="783" customHeight="1" ht="12.75">
      <c r="A783" s="5" t="s">
        <v>395</v>
      </c>
      <c r="B783" s="6">
        <v>0.010799999999999999</v>
      </c>
      <c r="C783" s="3"/>
      <c r="D783" s="5" t="s">
        <v>595</v>
      </c>
      <c r="E783" s="6">
        <v>0.98</v>
      </c>
      <c r="F783" s="3"/>
      <c r="G783" s="5" t="s">
        <v>836</v>
      </c>
      <c r="H783" s="6">
        <v>62.31126139115484</v>
      </c>
      <c r="I783" s="3"/>
      <c r="J783" s="5" t="s">
        <v>626</v>
      </c>
      <c r="K783" s="7">
        <v>44.42163123260449</v>
      </c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x14ac:dyDescent="0.25" r="784" customHeight="1" ht="12.75">
      <c r="A784" s="5" t="s">
        <v>447</v>
      </c>
      <c r="B784" s="6">
        <v>0.010729401400000001</v>
      </c>
      <c r="C784" s="3"/>
      <c r="D784" s="5" t="s">
        <v>841</v>
      </c>
      <c r="E784" s="6">
        <v>0.9731106360235169</v>
      </c>
      <c r="F784" s="3"/>
      <c r="G784" s="5" t="s">
        <v>54</v>
      </c>
      <c r="H784" s="6">
        <v>62.2101761181302</v>
      </c>
      <c r="I784" s="3"/>
      <c r="J784" s="5" t="s">
        <v>718</v>
      </c>
      <c r="K784" s="7">
        <v>44.13792573032492</v>
      </c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x14ac:dyDescent="0.25" r="785" customHeight="1" ht="12.75">
      <c r="A785" s="5" t="s">
        <v>807</v>
      </c>
      <c r="B785" s="6">
        <v>0.0104636</v>
      </c>
      <c r="C785" s="3"/>
      <c r="D785" s="5" t="s">
        <v>497</v>
      </c>
      <c r="E785" s="6">
        <v>0.97</v>
      </c>
      <c r="F785" s="3"/>
      <c r="G785" s="5" t="s">
        <v>768</v>
      </c>
      <c r="H785" s="6">
        <v>60.91945374276527</v>
      </c>
      <c r="I785" s="3"/>
      <c r="J785" s="5" t="s">
        <v>746</v>
      </c>
      <c r="K785" s="7">
        <v>43.400085211831374</v>
      </c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x14ac:dyDescent="0.25" r="786" customHeight="1" ht="12.75">
      <c r="A786" s="5" t="s">
        <v>475</v>
      </c>
      <c r="B786" s="6">
        <v>0.01016</v>
      </c>
      <c r="C786" s="3"/>
      <c r="D786" s="5" t="s">
        <v>305</v>
      </c>
      <c r="E786" s="6">
        <v>0.9445807277031795</v>
      </c>
      <c r="F786" s="3"/>
      <c r="G786" s="5" t="s">
        <v>534</v>
      </c>
      <c r="H786" s="6">
        <v>60.344193000000004</v>
      </c>
      <c r="I786" s="3"/>
      <c r="J786" s="5" t="s">
        <v>84</v>
      </c>
      <c r="K786" s="7">
        <v>41.81537751585545</v>
      </c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x14ac:dyDescent="0.25" r="787" customHeight="1" ht="12.75">
      <c r="A787" s="5" t="s">
        <v>160</v>
      </c>
      <c r="B787" s="6">
        <v>0.0101083</v>
      </c>
      <c r="C787" s="3"/>
      <c r="D787" s="5" t="s">
        <v>796</v>
      </c>
      <c r="E787" s="6">
        <v>0.9416326530612246</v>
      </c>
      <c r="F787" s="3"/>
      <c r="G787" s="5" t="s">
        <v>760</v>
      </c>
      <c r="H787" s="6">
        <v>59.78200617163987</v>
      </c>
      <c r="I787" s="3"/>
      <c r="J787" s="5" t="s">
        <v>538</v>
      </c>
      <c r="K787" s="7">
        <v>40.91282096410853</v>
      </c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x14ac:dyDescent="0.25" r="788" customHeight="1" ht="12.75">
      <c r="A788" s="5" t="s">
        <v>731</v>
      </c>
      <c r="B788" s="6">
        <v>0.01</v>
      </c>
      <c r="C788" s="3"/>
      <c r="D788" s="5" t="s">
        <v>646</v>
      </c>
      <c r="E788" s="6">
        <v>0.9397620325639648</v>
      </c>
      <c r="F788" s="3"/>
      <c r="G788" s="5" t="s">
        <v>172</v>
      </c>
      <c r="H788" s="6">
        <v>58.83982761993569</v>
      </c>
      <c r="I788" s="3"/>
      <c r="J788" s="5" t="s">
        <v>852</v>
      </c>
      <c r="K788" s="7">
        <v>40.17155162346184</v>
      </c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x14ac:dyDescent="0.25" r="789" customHeight="1" ht="12.75">
      <c r="A789" s="5" t="s">
        <v>477</v>
      </c>
      <c r="B789" s="6">
        <v>0.009999999999999998</v>
      </c>
      <c r="C789" s="3"/>
      <c r="D789" s="5" t="s">
        <v>82</v>
      </c>
      <c r="E789" s="6">
        <v>0.9279770955125397</v>
      </c>
      <c r="F789" s="3"/>
      <c r="G789" s="5" t="s">
        <v>150</v>
      </c>
      <c r="H789" s="6">
        <v>58.33922749999999</v>
      </c>
      <c r="I789" s="3"/>
      <c r="J789" s="5" t="s">
        <v>92</v>
      </c>
      <c r="K789" s="7">
        <v>39.88493393985917</v>
      </c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x14ac:dyDescent="0.25" r="790" customHeight="1" ht="12.75">
      <c r="A790" s="5" t="s">
        <v>16</v>
      </c>
      <c r="B790" s="6">
        <v>0.009622</v>
      </c>
      <c r="C790" s="3"/>
      <c r="D790" s="5" t="s">
        <v>662</v>
      </c>
      <c r="E790" s="6">
        <v>0.9199999999999999</v>
      </c>
      <c r="F790" s="3"/>
      <c r="G790" s="5" t="s">
        <v>824</v>
      </c>
      <c r="H790" s="6">
        <v>57.71753030000001</v>
      </c>
      <c r="I790" s="3"/>
      <c r="J790" s="5" t="s">
        <v>6</v>
      </c>
      <c r="K790" s="7">
        <v>39.67816057916399</v>
      </c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x14ac:dyDescent="0.25" r="791" customHeight="1" ht="12.75">
      <c r="A791" s="5" t="s">
        <v>836</v>
      </c>
      <c r="B791" s="6">
        <v>0.009294224152</v>
      </c>
      <c r="C791" s="3"/>
      <c r="D791" s="5" t="s">
        <v>508</v>
      </c>
      <c r="E791" s="6">
        <v>0.9033919394103327</v>
      </c>
      <c r="F791" s="3"/>
      <c r="G791" s="5" t="s">
        <v>850</v>
      </c>
      <c r="H791" s="6">
        <v>57.574488662379416</v>
      </c>
      <c r="I791" s="3"/>
      <c r="J791" s="5" t="s">
        <v>832</v>
      </c>
      <c r="K791" s="7">
        <v>39.05195371</v>
      </c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x14ac:dyDescent="0.25" r="792" customHeight="1" ht="12.75">
      <c r="A792" s="5" t="s">
        <v>549</v>
      </c>
      <c r="B792" s="6">
        <v>0.0092715126</v>
      </c>
      <c r="C792" s="3"/>
      <c r="D792" s="5" t="s">
        <v>58</v>
      </c>
      <c r="E792" s="6">
        <v>0.9</v>
      </c>
      <c r="F792" s="3"/>
      <c r="G792" s="5" t="s">
        <v>835</v>
      </c>
      <c r="H792" s="6">
        <v>56.67979149437301</v>
      </c>
      <c r="I792" s="3"/>
      <c r="J792" s="5" t="s">
        <v>202</v>
      </c>
      <c r="K792" s="7">
        <v>37.931081193344056</v>
      </c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x14ac:dyDescent="0.25" r="793" customHeight="1" ht="12.75">
      <c r="A793" s="5" t="s">
        <v>641</v>
      </c>
      <c r="B793" s="6">
        <v>0.00888958</v>
      </c>
      <c r="C793" s="3"/>
      <c r="D793" s="5" t="s">
        <v>281</v>
      </c>
      <c r="E793" s="6">
        <v>0.89</v>
      </c>
      <c r="F793" s="3"/>
      <c r="G793" s="5" t="s">
        <v>658</v>
      </c>
      <c r="H793" s="6">
        <v>56.65150504533762</v>
      </c>
      <c r="I793" s="3"/>
      <c r="J793" s="5" t="s">
        <v>851</v>
      </c>
      <c r="K793" s="7">
        <v>37.062863032540186</v>
      </c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x14ac:dyDescent="0.25" r="794" customHeight="1" ht="12.75">
      <c r="A794" s="5" t="s">
        <v>75</v>
      </c>
      <c r="B794" s="6">
        <v>0.0087546</v>
      </c>
      <c r="C794" s="3"/>
      <c r="D794" s="5" t="s">
        <v>697</v>
      </c>
      <c r="E794" s="6">
        <v>0.8856693729486959</v>
      </c>
      <c r="F794" s="3"/>
      <c r="G794" s="5" t="s">
        <v>567</v>
      </c>
      <c r="H794" s="6">
        <v>56.55569983673517</v>
      </c>
      <c r="I794" s="3"/>
      <c r="J794" s="5" t="s">
        <v>514</v>
      </c>
      <c r="K794" s="7">
        <v>36.725632353889814</v>
      </c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x14ac:dyDescent="0.25" r="795" customHeight="1" ht="12.75">
      <c r="A795" s="5" t="s">
        <v>837</v>
      </c>
      <c r="B795" s="6">
        <v>0.0085</v>
      </c>
      <c r="C795" s="3"/>
      <c r="D795" s="5" t="s">
        <v>235</v>
      </c>
      <c r="E795" s="6">
        <v>0.8785724185724186</v>
      </c>
      <c r="F795" s="3"/>
      <c r="G795" s="5" t="s">
        <v>642</v>
      </c>
      <c r="H795" s="6">
        <v>56.057794628295824</v>
      </c>
      <c r="I795" s="3"/>
      <c r="J795" s="5" t="s">
        <v>627</v>
      </c>
      <c r="K795" s="7">
        <v>36.269880785999995</v>
      </c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x14ac:dyDescent="0.25" r="796" customHeight="1" ht="12.75">
      <c r="A796" s="5" t="s">
        <v>675</v>
      </c>
      <c r="B796" s="6">
        <v>0.008388119999999999</v>
      </c>
      <c r="C796" s="3"/>
      <c r="D796" s="5" t="s">
        <v>425</v>
      </c>
      <c r="E796" s="6">
        <v>0.8644342563726389</v>
      </c>
      <c r="F796" s="3"/>
      <c r="G796" s="5" t="s">
        <v>840</v>
      </c>
      <c r="H796" s="6">
        <v>55.94043700643087</v>
      </c>
      <c r="I796" s="3"/>
      <c r="J796" s="5" t="s">
        <v>5</v>
      </c>
      <c r="K796" s="7">
        <v>36.14519067723761</v>
      </c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x14ac:dyDescent="0.25" r="797" customHeight="1" ht="12.75">
      <c r="A797" s="5" t="s">
        <v>399</v>
      </c>
      <c r="B797" s="6">
        <v>0.008131000000000001</v>
      </c>
      <c r="C797" s="3"/>
      <c r="D797" s="5" t="s">
        <v>126</v>
      </c>
      <c r="E797" s="6">
        <v>0.8295922426653406</v>
      </c>
      <c r="F797" s="3"/>
      <c r="G797" s="5" t="s">
        <v>235</v>
      </c>
      <c r="H797" s="6">
        <v>55.8284722389834</v>
      </c>
      <c r="I797" s="3"/>
      <c r="J797" s="5" t="s">
        <v>747</v>
      </c>
      <c r="K797" s="7">
        <v>34.53300640353698</v>
      </c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x14ac:dyDescent="0.25" r="798" customHeight="1" ht="12.75">
      <c r="A798" s="5" t="s">
        <v>819</v>
      </c>
      <c r="B798" s="6">
        <v>0.0079189285</v>
      </c>
      <c r="C798" s="3"/>
      <c r="D798" s="5" t="s">
        <v>712</v>
      </c>
      <c r="E798" s="6">
        <v>0.81</v>
      </c>
      <c r="F798" s="3"/>
      <c r="G798" s="5" t="s">
        <v>640</v>
      </c>
      <c r="H798" s="6">
        <v>53.88391097386841</v>
      </c>
      <c r="I798" s="3"/>
      <c r="J798" s="5" t="s">
        <v>807</v>
      </c>
      <c r="K798" s="7">
        <v>34.32562839665723</v>
      </c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x14ac:dyDescent="0.25" r="799" customHeight="1" ht="12.75">
      <c r="A799" s="5" t="s">
        <v>850</v>
      </c>
      <c r="B799" s="6">
        <v>0.007868</v>
      </c>
      <c r="C799" s="3"/>
      <c r="D799" s="5" t="s">
        <v>842</v>
      </c>
      <c r="E799" s="6">
        <v>0.8099999999999999</v>
      </c>
      <c r="F799" s="3"/>
      <c r="G799" s="5" t="s">
        <v>833</v>
      </c>
      <c r="H799" s="6">
        <v>52.80898839999999</v>
      </c>
      <c r="I799" s="3"/>
      <c r="J799" s="5" t="s">
        <v>840</v>
      </c>
      <c r="K799" s="7">
        <v>34.12366657392283</v>
      </c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x14ac:dyDescent="0.25" r="800" customHeight="1" ht="12.75">
      <c r="A800" s="5" t="s">
        <v>92</v>
      </c>
      <c r="B800" s="6">
        <v>0.007651949999999999</v>
      </c>
      <c r="C800" s="3"/>
      <c r="D800" s="5" t="s">
        <v>802</v>
      </c>
      <c r="E800" s="6">
        <v>0.8</v>
      </c>
      <c r="F800" s="3"/>
      <c r="G800" s="5" t="s">
        <v>649</v>
      </c>
      <c r="H800" s="6">
        <v>52.179828407173595</v>
      </c>
      <c r="I800" s="3"/>
      <c r="J800" s="5" t="s">
        <v>848</v>
      </c>
      <c r="K800" s="7">
        <v>33.8743068</v>
      </c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x14ac:dyDescent="0.25" r="801" customHeight="1" ht="12.75">
      <c r="A801" s="5" t="s">
        <v>617</v>
      </c>
      <c r="B801" s="6">
        <v>0.007326899999999999</v>
      </c>
      <c r="C801" s="3"/>
      <c r="D801" s="5" t="s">
        <v>834</v>
      </c>
      <c r="E801" s="6">
        <v>0.7659259259259259</v>
      </c>
      <c r="F801" s="3"/>
      <c r="G801" s="5" t="s">
        <v>476</v>
      </c>
      <c r="H801" s="6">
        <v>51.81329122102275</v>
      </c>
      <c r="I801" s="3"/>
      <c r="J801" s="5" t="s">
        <v>62</v>
      </c>
      <c r="K801" s="7">
        <v>33.03739702588424</v>
      </c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x14ac:dyDescent="0.25" r="802" customHeight="1" ht="12.75">
      <c r="A802" s="5" t="s">
        <v>24</v>
      </c>
      <c r="B802" s="6">
        <v>0.007319999999999998</v>
      </c>
      <c r="C802" s="3"/>
      <c r="D802" s="5" t="s">
        <v>851</v>
      </c>
      <c r="E802" s="6">
        <v>0.7428571428571428</v>
      </c>
      <c r="F802" s="3"/>
      <c r="G802" s="5" t="s">
        <v>467</v>
      </c>
      <c r="H802" s="6">
        <v>51.811395231818175</v>
      </c>
      <c r="I802" s="3"/>
      <c r="J802" s="5" t="s">
        <v>776</v>
      </c>
      <c r="K802" s="7">
        <v>32.635134719999996</v>
      </c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x14ac:dyDescent="0.25" r="803" customHeight="1" ht="12.75">
      <c r="A803" s="5" t="s">
        <v>662</v>
      </c>
      <c r="B803" s="6">
        <v>0.007233821999999999</v>
      </c>
      <c r="C803" s="3"/>
      <c r="D803" s="5" t="s">
        <v>550</v>
      </c>
      <c r="E803" s="6">
        <v>0.74</v>
      </c>
      <c r="F803" s="3"/>
      <c r="G803" s="5" t="s">
        <v>319</v>
      </c>
      <c r="H803" s="6">
        <v>51.800615305167696</v>
      </c>
      <c r="I803" s="3"/>
      <c r="J803" s="5" t="s">
        <v>850</v>
      </c>
      <c r="K803" s="7">
        <v>32.35686262825723</v>
      </c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x14ac:dyDescent="0.25" r="804" customHeight="1" ht="12.75">
      <c r="A804" s="5" t="s">
        <v>117</v>
      </c>
      <c r="B804" s="6">
        <v>0.006988817329</v>
      </c>
      <c r="C804" s="3"/>
      <c r="D804" s="5" t="s">
        <v>846</v>
      </c>
      <c r="E804" s="6">
        <v>0.74</v>
      </c>
      <c r="F804" s="3"/>
      <c r="G804" s="5" t="s">
        <v>426</v>
      </c>
      <c r="H804" s="6">
        <v>51.5339722733119</v>
      </c>
      <c r="I804" s="3"/>
      <c r="J804" s="5" t="s">
        <v>261</v>
      </c>
      <c r="K804" s="7">
        <v>31.5261766780872</v>
      </c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x14ac:dyDescent="0.25" r="805" customHeight="1" ht="12.75">
      <c r="A805" s="5" t="s">
        <v>12</v>
      </c>
      <c r="B805" s="6">
        <v>0.006785719999999999</v>
      </c>
      <c r="C805" s="3"/>
      <c r="D805" s="5" t="s">
        <v>93</v>
      </c>
      <c r="E805" s="6">
        <v>0.7123271055261423</v>
      </c>
      <c r="F805" s="3"/>
      <c r="G805" s="5" t="s">
        <v>803</v>
      </c>
      <c r="H805" s="6">
        <v>51.10687478278403</v>
      </c>
      <c r="I805" s="3"/>
      <c r="J805" s="5" t="s">
        <v>766</v>
      </c>
      <c r="K805" s="7">
        <v>31.121488860028297</v>
      </c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x14ac:dyDescent="0.25" r="806" customHeight="1" ht="12.75">
      <c r="A806" s="5" t="s">
        <v>65</v>
      </c>
      <c r="B806" s="6">
        <v>0.0067229099999999995</v>
      </c>
      <c r="C806" s="3"/>
      <c r="D806" s="5" t="s">
        <v>838</v>
      </c>
      <c r="E806" s="6">
        <v>0.71</v>
      </c>
      <c r="F806" s="3"/>
      <c r="G806" s="5" t="s">
        <v>832</v>
      </c>
      <c r="H806" s="6">
        <v>50.716823</v>
      </c>
      <c r="I806" s="3"/>
      <c r="J806" s="5" t="s">
        <v>246</v>
      </c>
      <c r="K806" s="7">
        <v>29.636674733438767</v>
      </c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x14ac:dyDescent="0.25" r="807" customHeight="1" ht="12.75">
      <c r="A807" s="5" t="s">
        <v>89</v>
      </c>
      <c r="B807" s="6">
        <v>0.006491045030399999</v>
      </c>
      <c r="C807" s="3"/>
      <c r="D807" s="5" t="s">
        <v>630</v>
      </c>
      <c r="E807" s="6">
        <v>0.71</v>
      </c>
      <c r="F807" s="3"/>
      <c r="G807" s="5" t="s">
        <v>572</v>
      </c>
      <c r="H807" s="6">
        <v>50.632882874919616</v>
      </c>
      <c r="I807" s="3"/>
      <c r="J807" s="5" t="s">
        <v>372</v>
      </c>
      <c r="K807" s="7">
        <v>28.05077925</v>
      </c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x14ac:dyDescent="0.25" r="808" customHeight="1" ht="12.75">
      <c r="A808" s="5" t="s">
        <v>256</v>
      </c>
      <c r="B808" s="6">
        <v>0.0064256</v>
      </c>
      <c r="C808" s="3"/>
      <c r="D808" s="5" t="s">
        <v>647</v>
      </c>
      <c r="E808" s="6">
        <v>0.7</v>
      </c>
      <c r="F808" s="3"/>
      <c r="G808" s="5" t="s">
        <v>664</v>
      </c>
      <c r="H808" s="6">
        <v>50.58504623200744</v>
      </c>
      <c r="I808" s="3"/>
      <c r="J808" s="5" t="s">
        <v>12</v>
      </c>
      <c r="K808" s="7">
        <v>25.81377902205811</v>
      </c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x14ac:dyDescent="0.25" r="809" customHeight="1" ht="12.75">
      <c r="A809" s="5" t="s">
        <v>246</v>
      </c>
      <c r="B809" s="6">
        <v>0.006424629699999999</v>
      </c>
      <c r="C809" s="3"/>
      <c r="D809" s="5" t="s">
        <v>773</v>
      </c>
      <c r="E809" s="6">
        <v>0.7</v>
      </c>
      <c r="F809" s="3"/>
      <c r="G809" s="5" t="s">
        <v>837</v>
      </c>
      <c r="H809" s="6">
        <v>50.15465</v>
      </c>
      <c r="I809" s="3"/>
      <c r="J809" s="5" t="s">
        <v>24</v>
      </c>
      <c r="K809" s="7">
        <v>25.681229047813506</v>
      </c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x14ac:dyDescent="0.25" r="810" customHeight="1" ht="12.75">
      <c r="A810" s="5" t="s">
        <v>78</v>
      </c>
      <c r="B810" s="6">
        <v>0.006413760000000001</v>
      </c>
      <c r="C810" s="3"/>
      <c r="D810" s="5" t="s">
        <v>398</v>
      </c>
      <c r="E810" s="6">
        <v>0.6875000000000001</v>
      </c>
      <c r="F810" s="3"/>
      <c r="G810" s="5" t="s">
        <v>58</v>
      </c>
      <c r="H810" s="6">
        <v>49.98455351768489</v>
      </c>
      <c r="I810" s="3"/>
      <c r="J810" s="5" t="s">
        <v>89</v>
      </c>
      <c r="K810" s="7">
        <v>25.53373963597347</v>
      </c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x14ac:dyDescent="0.25" r="811" customHeight="1" ht="12.75">
      <c r="A811" s="5" t="s">
        <v>62</v>
      </c>
      <c r="B811" s="6">
        <v>0.0063999999999999994</v>
      </c>
      <c r="C811" s="3"/>
      <c r="D811" s="5" t="s">
        <v>323</v>
      </c>
      <c r="E811" s="6">
        <v>0.6830425716768029</v>
      </c>
      <c r="F811" s="3"/>
      <c r="G811" s="5" t="s">
        <v>28</v>
      </c>
      <c r="H811" s="6">
        <v>49.05517591412553</v>
      </c>
      <c r="I811" s="3"/>
      <c r="J811" s="5" t="s">
        <v>256</v>
      </c>
      <c r="K811" s="7">
        <v>25.3834732736</v>
      </c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x14ac:dyDescent="0.25" r="812" customHeight="1" ht="12.75">
      <c r="A812" s="5" t="s">
        <v>833</v>
      </c>
      <c r="B812" s="6">
        <v>0.006071999999999999</v>
      </c>
      <c r="C812" s="3"/>
      <c r="D812" s="5" t="s">
        <v>422</v>
      </c>
      <c r="E812" s="6">
        <v>0.6799999999999999</v>
      </c>
      <c r="F812" s="3"/>
      <c r="G812" s="5" t="s">
        <v>636</v>
      </c>
      <c r="H812" s="6">
        <v>48.2983768</v>
      </c>
      <c r="I812" s="3"/>
      <c r="J812" s="5" t="s">
        <v>761</v>
      </c>
      <c r="K812" s="7">
        <v>24.414166457360835</v>
      </c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x14ac:dyDescent="0.25" r="813" customHeight="1" ht="12.75">
      <c r="A813" s="5" t="s">
        <v>648</v>
      </c>
      <c r="B813" s="6">
        <v>0.00602</v>
      </c>
      <c r="C813" s="3"/>
      <c r="D813" s="5" t="s">
        <v>567</v>
      </c>
      <c r="E813" s="6">
        <v>0.675529</v>
      </c>
      <c r="F813" s="3"/>
      <c r="G813" s="5" t="s">
        <v>847</v>
      </c>
      <c r="H813" s="6">
        <v>47.60308737234726</v>
      </c>
      <c r="I813" s="3"/>
      <c r="J813" s="5" t="s">
        <v>78</v>
      </c>
      <c r="K813" s="7">
        <v>23.972632330424954</v>
      </c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x14ac:dyDescent="0.25" r="814" customHeight="1" ht="12.75">
      <c r="A814" s="5" t="s">
        <v>632</v>
      </c>
      <c r="B814" s="6">
        <v>0.006002307360000001</v>
      </c>
      <c r="C814" s="3"/>
      <c r="D814" s="5" t="s">
        <v>254</v>
      </c>
      <c r="E814" s="6">
        <v>0.6707104402763097</v>
      </c>
      <c r="F814" s="3"/>
      <c r="G814" s="5" t="s">
        <v>620</v>
      </c>
      <c r="H814" s="6">
        <v>47.2360078</v>
      </c>
      <c r="I814" s="3"/>
      <c r="J814" s="5" t="s">
        <v>819</v>
      </c>
      <c r="K814" s="7">
        <v>23.345671849935428</v>
      </c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x14ac:dyDescent="0.25" r="815" customHeight="1" ht="12.75">
      <c r="A815" s="5" t="s">
        <v>180</v>
      </c>
      <c r="B815" s="6">
        <v>0.0056819</v>
      </c>
      <c r="C815" s="3"/>
      <c r="D815" s="5" t="s">
        <v>649</v>
      </c>
      <c r="E815" s="6">
        <v>0.652309899569584</v>
      </c>
      <c r="F815" s="3"/>
      <c r="G815" s="5" t="s">
        <v>622</v>
      </c>
      <c r="H815" s="6">
        <v>47.2360078</v>
      </c>
      <c r="I815" s="3"/>
      <c r="J815" s="5" t="s">
        <v>255</v>
      </c>
      <c r="K815" s="7">
        <v>22.905794</v>
      </c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x14ac:dyDescent="0.25" r="816" customHeight="1" ht="12.75">
      <c r="A816" s="5" t="s">
        <v>842</v>
      </c>
      <c r="B816" s="6">
        <v>0.0056700000000000006</v>
      </c>
      <c r="C816" s="3"/>
      <c r="D816" s="5" t="s">
        <v>676</v>
      </c>
      <c r="E816" s="6">
        <v>0.639</v>
      </c>
      <c r="F816" s="3"/>
      <c r="G816" s="5" t="s">
        <v>697</v>
      </c>
      <c r="H816" s="6">
        <v>46.64160771722782</v>
      </c>
      <c r="I816" s="3"/>
      <c r="J816" s="5" t="s">
        <v>836</v>
      </c>
      <c r="K816" s="7">
        <v>22.762278861684305</v>
      </c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x14ac:dyDescent="0.25" r="817" customHeight="1" ht="12.75">
      <c r="A817" s="5" t="s">
        <v>845</v>
      </c>
      <c r="B817" s="6">
        <v>0.0055</v>
      </c>
      <c r="C817" s="3"/>
      <c r="D817" s="5" t="s">
        <v>23</v>
      </c>
      <c r="E817" s="6">
        <v>0.6302542868277474</v>
      </c>
      <c r="F817" s="3"/>
      <c r="G817" s="5" t="s">
        <v>254</v>
      </c>
      <c r="H817" s="6">
        <v>46.633692929185074</v>
      </c>
      <c r="I817" s="3"/>
      <c r="J817" s="5" t="s">
        <v>770</v>
      </c>
      <c r="K817" s="7">
        <v>22.5687161715</v>
      </c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x14ac:dyDescent="0.25" r="818" customHeight="1" ht="12.75">
      <c r="A818" s="5" t="s">
        <v>514</v>
      </c>
      <c r="B818" s="6">
        <v>0.005156727</v>
      </c>
      <c r="C818" s="3"/>
      <c r="D818" s="5" t="s">
        <v>118</v>
      </c>
      <c r="E818" s="6">
        <v>0.63</v>
      </c>
      <c r="F818" s="3"/>
      <c r="G818" s="5" t="s">
        <v>517</v>
      </c>
      <c r="H818" s="6">
        <v>46.063602110589834</v>
      </c>
      <c r="I818" s="3"/>
      <c r="J818" s="5" t="s">
        <v>574</v>
      </c>
      <c r="K818" s="7">
        <v>22.530498328199997</v>
      </c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x14ac:dyDescent="0.25" r="819" customHeight="1" ht="12.75">
      <c r="A819" s="5" t="s">
        <v>593</v>
      </c>
      <c r="B819" s="6">
        <v>0.0050980914</v>
      </c>
      <c r="C819" s="3"/>
      <c r="D819" s="5" t="s">
        <v>19</v>
      </c>
      <c r="E819" s="6">
        <v>0.6</v>
      </c>
      <c r="F819" s="3"/>
      <c r="G819" s="5" t="s">
        <v>398</v>
      </c>
      <c r="H819" s="6">
        <v>45.86839972990354</v>
      </c>
      <c r="I819" s="3"/>
      <c r="J819" s="5" t="s">
        <v>475</v>
      </c>
      <c r="K819" s="7">
        <v>22.06275496</v>
      </c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x14ac:dyDescent="0.25" r="820" customHeight="1" ht="12.75">
      <c r="A820" s="5" t="s">
        <v>591</v>
      </c>
      <c r="B820" s="6">
        <v>0.00498</v>
      </c>
      <c r="C820" s="3"/>
      <c r="D820" s="5" t="s">
        <v>790</v>
      </c>
      <c r="E820" s="6">
        <v>0.6</v>
      </c>
      <c r="F820" s="3"/>
      <c r="G820" s="5" t="s">
        <v>497</v>
      </c>
      <c r="H820" s="6">
        <v>44.84349721736335</v>
      </c>
      <c r="I820" s="3"/>
      <c r="J820" s="5" t="s">
        <v>731</v>
      </c>
      <c r="K820" s="7">
        <v>21.715310000000002</v>
      </c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x14ac:dyDescent="0.25" r="821" customHeight="1" ht="12.75">
      <c r="A821" s="5" t="s">
        <v>69</v>
      </c>
      <c r="B821" s="6">
        <v>0.004825</v>
      </c>
      <c r="C821" s="3"/>
      <c r="D821" s="5" t="s">
        <v>257</v>
      </c>
      <c r="E821" s="6">
        <v>0.55</v>
      </c>
      <c r="F821" s="3"/>
      <c r="G821" s="5" t="s">
        <v>82</v>
      </c>
      <c r="H821" s="6">
        <v>44.74991433042555</v>
      </c>
      <c r="I821" s="3"/>
      <c r="J821" s="5" t="s">
        <v>395</v>
      </c>
      <c r="K821" s="7">
        <v>20.807014799999997</v>
      </c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x14ac:dyDescent="0.25" r="822" customHeight="1" ht="12.75">
      <c r="A822" s="5" t="s">
        <v>761</v>
      </c>
      <c r="B822" s="6">
        <v>0.004681019999999999</v>
      </c>
      <c r="C822" s="3"/>
      <c r="D822" s="5" t="s">
        <v>848</v>
      </c>
      <c r="E822" s="6">
        <v>0.54</v>
      </c>
      <c r="F822" s="3"/>
      <c r="G822" s="5" t="s">
        <v>845</v>
      </c>
      <c r="H822" s="6">
        <v>44.466781999999995</v>
      </c>
      <c r="I822" s="3"/>
      <c r="J822" s="5" t="s">
        <v>477</v>
      </c>
      <c r="K822" s="7">
        <v>20.796726666666665</v>
      </c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x14ac:dyDescent="0.25" r="823" customHeight="1" ht="12.75">
      <c r="A823" s="5" t="s">
        <v>519</v>
      </c>
      <c r="B823" s="6">
        <v>0.0044399999999999995</v>
      </c>
      <c r="C823" s="3"/>
      <c r="D823" s="5" t="s">
        <v>32</v>
      </c>
      <c r="E823" s="6">
        <v>0.5292049272116461</v>
      </c>
      <c r="F823" s="3"/>
      <c r="G823" s="5" t="s">
        <v>153</v>
      </c>
      <c r="H823" s="6">
        <v>43.0188973450899</v>
      </c>
      <c r="I823" s="3"/>
      <c r="J823" s="5" t="s">
        <v>617</v>
      </c>
      <c r="K823" s="7">
        <v>19.36883421968778</v>
      </c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x14ac:dyDescent="0.25" r="824" customHeight="1" ht="12.75">
      <c r="A824" s="5" t="s">
        <v>747</v>
      </c>
      <c r="B824" s="6">
        <v>0.0044</v>
      </c>
      <c r="C824" s="3"/>
      <c r="D824" s="5" t="s">
        <v>28</v>
      </c>
      <c r="E824" s="6">
        <v>0.5143706004140787</v>
      </c>
      <c r="F824" s="3"/>
      <c r="G824" s="5" t="s">
        <v>109</v>
      </c>
      <c r="H824" s="6">
        <v>42.99138152379421</v>
      </c>
      <c r="I824" s="3"/>
      <c r="J824" s="5" t="s">
        <v>726</v>
      </c>
      <c r="K824" s="7">
        <v>17.849391014469457</v>
      </c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x14ac:dyDescent="0.25" r="825" customHeight="1" ht="12.75">
      <c r="A825" s="5" t="s">
        <v>809</v>
      </c>
      <c r="B825" s="6">
        <v>0.004353</v>
      </c>
      <c r="C825" s="3"/>
      <c r="D825" s="5" t="s">
        <v>109</v>
      </c>
      <c r="E825" s="6">
        <v>0.51</v>
      </c>
      <c r="F825" s="3"/>
      <c r="G825" s="5" t="s">
        <v>422</v>
      </c>
      <c r="H825" s="6">
        <v>42.971166129582</v>
      </c>
      <c r="I825" s="3"/>
      <c r="J825" s="5" t="s">
        <v>808</v>
      </c>
      <c r="K825" s="7">
        <v>17.68912138366559</v>
      </c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x14ac:dyDescent="0.25" r="826" customHeight="1" ht="12.75">
      <c r="A826" s="5" t="s">
        <v>726</v>
      </c>
      <c r="B826" s="6">
        <v>0.004300000000000001</v>
      </c>
      <c r="C826" s="3"/>
      <c r="D826" s="5" t="s">
        <v>172</v>
      </c>
      <c r="E826" s="6">
        <v>0.51</v>
      </c>
      <c r="F826" s="3"/>
      <c r="G826" s="5" t="s">
        <v>783</v>
      </c>
      <c r="H826" s="6">
        <v>42.60138157826087</v>
      </c>
      <c r="I826" s="3"/>
      <c r="J826" s="5" t="s">
        <v>555</v>
      </c>
      <c r="K826" s="7">
        <v>17.591930099338807</v>
      </c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x14ac:dyDescent="0.25" r="827" customHeight="1" ht="12.75">
      <c r="A827" s="5" t="s">
        <v>808</v>
      </c>
      <c r="B827" s="6">
        <v>0.00429</v>
      </c>
      <c r="C827" s="3"/>
      <c r="D827" s="5" t="s">
        <v>174</v>
      </c>
      <c r="E827" s="6">
        <v>0.5002978406552495</v>
      </c>
      <c r="F827" s="3"/>
      <c r="G827" s="5" t="s">
        <v>26</v>
      </c>
      <c r="H827" s="6">
        <v>42.532433781</v>
      </c>
      <c r="I827" s="3"/>
      <c r="J827" s="5" t="s">
        <v>837</v>
      </c>
      <c r="K827" s="7">
        <v>17.052581</v>
      </c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x14ac:dyDescent="0.25" r="828" customHeight="1" ht="12.75">
      <c r="A828" s="5" t="s">
        <v>851</v>
      </c>
      <c r="B828" s="6">
        <v>0.00416</v>
      </c>
      <c r="C828" s="3"/>
      <c r="D828" s="5" t="s">
        <v>638</v>
      </c>
      <c r="E828" s="6">
        <v>0.5</v>
      </c>
      <c r="F828" s="3"/>
      <c r="G828" s="5" t="s">
        <v>733</v>
      </c>
      <c r="H828" s="6">
        <v>42.32832</v>
      </c>
      <c r="I828" s="3"/>
      <c r="J828" s="5" t="s">
        <v>853</v>
      </c>
      <c r="K828" s="7">
        <v>16.20430155961415</v>
      </c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x14ac:dyDescent="0.25" r="829" customHeight="1" ht="12.75">
      <c r="A829" s="5" t="s">
        <v>834</v>
      </c>
      <c r="B829" s="6">
        <v>0.004136</v>
      </c>
      <c r="C829" s="3"/>
      <c r="D829" s="5" t="s">
        <v>780</v>
      </c>
      <c r="E829" s="6">
        <v>0.5</v>
      </c>
      <c r="F829" s="3"/>
      <c r="G829" s="5" t="s">
        <v>816</v>
      </c>
      <c r="H829" s="6">
        <v>41.910548299999995</v>
      </c>
      <c r="I829" s="3"/>
      <c r="J829" s="5" t="s">
        <v>595</v>
      </c>
      <c r="K829" s="7">
        <v>15.544981142678779</v>
      </c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x14ac:dyDescent="0.25" r="830" customHeight="1" ht="12.75">
      <c r="A830" s="5" t="s">
        <v>650</v>
      </c>
      <c r="B830" s="6">
        <v>0.0039242125000000004</v>
      </c>
      <c r="C830" s="3"/>
      <c r="D830" s="5" t="s">
        <v>620</v>
      </c>
      <c r="E830" s="6">
        <v>0.48</v>
      </c>
      <c r="F830" s="3"/>
      <c r="G830" s="5" t="s">
        <v>846</v>
      </c>
      <c r="H830" s="6">
        <v>40.7816449</v>
      </c>
      <c r="I830" s="3"/>
      <c r="J830" s="5" t="s">
        <v>31</v>
      </c>
      <c r="K830" s="7">
        <v>15.319855620509712</v>
      </c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x14ac:dyDescent="0.25" r="831" customHeight="1" ht="12.75">
      <c r="A831" s="5" t="s">
        <v>224</v>
      </c>
      <c r="B831" s="6">
        <v>0.0036089999999999994</v>
      </c>
      <c r="C831" s="3"/>
      <c r="D831" s="5" t="s">
        <v>622</v>
      </c>
      <c r="E831" s="6">
        <v>0.48</v>
      </c>
      <c r="F831" s="3"/>
      <c r="G831" s="5" t="s">
        <v>609</v>
      </c>
      <c r="H831" s="6">
        <v>39.66461410707396</v>
      </c>
      <c r="I831" s="3"/>
      <c r="J831" s="5" t="s">
        <v>117</v>
      </c>
      <c r="K831" s="7">
        <v>14.70785681436721</v>
      </c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x14ac:dyDescent="0.25" r="832" customHeight="1" ht="12.75">
      <c r="A832" s="5" t="s">
        <v>853</v>
      </c>
      <c r="B832" s="6">
        <v>0.003536</v>
      </c>
      <c r="C832" s="3"/>
      <c r="D832" s="5" t="s">
        <v>783</v>
      </c>
      <c r="E832" s="6">
        <v>0.4665217391304347</v>
      </c>
      <c r="F832" s="3"/>
      <c r="G832" s="5" t="s">
        <v>32</v>
      </c>
      <c r="H832" s="6">
        <v>38.875561322754514</v>
      </c>
      <c r="I832" s="3"/>
      <c r="J832" s="5" t="s">
        <v>632</v>
      </c>
      <c r="K832" s="7">
        <v>14.095100463252479</v>
      </c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x14ac:dyDescent="0.25" r="833" customHeight="1" ht="12.75">
      <c r="A833" s="5" t="s">
        <v>630</v>
      </c>
      <c r="B833" s="6">
        <v>0.0034458004</v>
      </c>
      <c r="C833" s="3"/>
      <c r="D833" s="5" t="s">
        <v>311</v>
      </c>
      <c r="E833" s="6">
        <v>0.45999999999999996</v>
      </c>
      <c r="F833" s="3"/>
      <c r="G833" s="5" t="s">
        <v>801</v>
      </c>
      <c r="H833" s="6">
        <v>37.51272117234727</v>
      </c>
      <c r="I833" s="3"/>
      <c r="J833" s="5" t="s">
        <v>809</v>
      </c>
      <c r="K833" s="7">
        <v>14.013322966360128</v>
      </c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x14ac:dyDescent="0.25" r="834" customHeight="1" ht="12.75">
      <c r="A834" s="5" t="s">
        <v>680</v>
      </c>
      <c r="B834" s="6">
        <v>0.0031932796999999996</v>
      </c>
      <c r="C834" s="3"/>
      <c r="D834" s="5" t="s">
        <v>727</v>
      </c>
      <c r="E834" s="6">
        <v>0.4306962025316456</v>
      </c>
      <c r="F834" s="3"/>
      <c r="G834" s="5" t="s">
        <v>19</v>
      </c>
      <c r="H834" s="6">
        <v>37.3712769</v>
      </c>
      <c r="I834" s="3"/>
      <c r="J834" s="5" t="s">
        <v>650</v>
      </c>
      <c r="K834" s="7">
        <v>12.734234658200283</v>
      </c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x14ac:dyDescent="0.25" r="835" customHeight="1" ht="12.75">
      <c r="A835" s="5" t="s">
        <v>31</v>
      </c>
      <c r="B835" s="6">
        <v>0.0029054699999999994</v>
      </c>
      <c r="C835" s="3"/>
      <c r="D835" s="5" t="s">
        <v>13</v>
      </c>
      <c r="E835" s="6">
        <v>0.40999662019809635</v>
      </c>
      <c r="F835" s="3"/>
      <c r="G835" s="5" t="s">
        <v>638</v>
      </c>
      <c r="H835" s="6">
        <v>37.01514977491962</v>
      </c>
      <c r="I835" s="3"/>
      <c r="J835" s="5" t="s">
        <v>833</v>
      </c>
      <c r="K835" s="7">
        <v>12.146067331999998</v>
      </c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x14ac:dyDescent="0.25" r="836" customHeight="1" ht="12.75">
      <c r="A836" s="5" t="s">
        <v>480</v>
      </c>
      <c r="B836" s="6">
        <v>0.0026457150000000003</v>
      </c>
      <c r="C836" s="3"/>
      <c r="D836" s="5" t="s">
        <v>466</v>
      </c>
      <c r="E836" s="6">
        <v>0.40639726391287023</v>
      </c>
      <c r="F836" s="3"/>
      <c r="G836" s="5" t="s">
        <v>676</v>
      </c>
      <c r="H836" s="6">
        <v>35.77183631619047</v>
      </c>
      <c r="I836" s="3"/>
      <c r="J836" s="5" t="s">
        <v>69</v>
      </c>
      <c r="K836" s="7">
        <v>11.389923929903539</v>
      </c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x14ac:dyDescent="0.25" r="837" customHeight="1" ht="12.75">
      <c r="A837" s="5" t="s">
        <v>754</v>
      </c>
      <c r="B837" s="6">
        <v>0.0022500000000000003</v>
      </c>
      <c r="C837" s="3"/>
      <c r="D837" s="5" t="s">
        <v>854</v>
      </c>
      <c r="E837" s="6">
        <v>0.39</v>
      </c>
      <c r="F837" s="3"/>
      <c r="G837" s="5" t="s">
        <v>257</v>
      </c>
      <c r="H837" s="6">
        <v>35.7058662318522</v>
      </c>
      <c r="I837" s="3"/>
      <c r="J837" s="5" t="s">
        <v>845</v>
      </c>
      <c r="K837" s="7">
        <v>11.116695499999999</v>
      </c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x14ac:dyDescent="0.25" r="838" customHeight="1" ht="12.75">
      <c r="A838" s="5" t="s">
        <v>525</v>
      </c>
      <c r="B838" s="6">
        <v>0.0021929999999999996</v>
      </c>
      <c r="C838" s="3"/>
      <c r="D838" s="5" t="s">
        <v>517</v>
      </c>
      <c r="E838" s="6">
        <v>0.38358138812690856</v>
      </c>
      <c r="F838" s="3"/>
      <c r="G838" s="5" t="s">
        <v>13</v>
      </c>
      <c r="H838" s="6">
        <v>34.94139467732575</v>
      </c>
      <c r="I838" s="3"/>
      <c r="J838" s="5" t="s">
        <v>519</v>
      </c>
      <c r="K838" s="7">
        <v>10.14439116733119</v>
      </c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x14ac:dyDescent="0.25" r="839" customHeight="1" ht="12.75">
      <c r="A839" s="5" t="s">
        <v>848</v>
      </c>
      <c r="B839" s="6">
        <v>0.0021600000000000005</v>
      </c>
      <c r="C839" s="3"/>
      <c r="D839" s="5" t="s">
        <v>771</v>
      </c>
      <c r="E839" s="6">
        <v>0.3757942892366445</v>
      </c>
      <c r="F839" s="3"/>
      <c r="G839" s="5" t="s">
        <v>852</v>
      </c>
      <c r="H839" s="6">
        <v>32.21672640615874</v>
      </c>
      <c r="I839" s="3"/>
      <c r="J839" s="5" t="s">
        <v>480</v>
      </c>
      <c r="K839" s="7">
        <v>9.625203672165</v>
      </c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x14ac:dyDescent="0.25" r="840" customHeight="1" ht="12.75">
      <c r="A840" s="5" t="s">
        <v>854</v>
      </c>
      <c r="B840" s="6">
        <v>0.0021060000000000002</v>
      </c>
      <c r="C840" s="3"/>
      <c r="D840" s="5" t="s">
        <v>364</v>
      </c>
      <c r="E840" s="6">
        <v>0.33502610033518326</v>
      </c>
      <c r="F840" s="3"/>
      <c r="G840" s="5" t="s">
        <v>732</v>
      </c>
      <c r="H840" s="6">
        <v>28.870443061093248</v>
      </c>
      <c r="I840" s="3"/>
      <c r="J840" s="5" t="s">
        <v>680</v>
      </c>
      <c r="K840" s="7">
        <v>7.8785082085739635</v>
      </c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x14ac:dyDescent="0.25" r="841" customHeight="1" ht="12.75">
      <c r="A841" s="5" t="s">
        <v>59</v>
      </c>
      <c r="B841" s="6">
        <v>0.0020959999999999998</v>
      </c>
      <c r="C841" s="3"/>
      <c r="D841" s="5" t="s">
        <v>609</v>
      </c>
      <c r="E841" s="6">
        <v>0.28</v>
      </c>
      <c r="F841" s="3"/>
      <c r="G841" s="5" t="s">
        <v>93</v>
      </c>
      <c r="H841" s="6">
        <v>27.526773548031773</v>
      </c>
      <c r="I841" s="3"/>
      <c r="J841" s="5" t="s">
        <v>224</v>
      </c>
      <c r="K841" s="7">
        <v>7.837055378999999</v>
      </c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x14ac:dyDescent="0.25" r="842" customHeight="1" ht="12.75">
      <c r="A842" s="5" t="s">
        <v>847</v>
      </c>
      <c r="B842" s="6">
        <v>0.001976</v>
      </c>
      <c r="C842" s="3"/>
      <c r="D842" s="5" t="s">
        <v>853</v>
      </c>
      <c r="E842" s="6">
        <v>0.26</v>
      </c>
      <c r="F842" s="3"/>
      <c r="G842" s="5" t="s">
        <v>773</v>
      </c>
      <c r="H842" s="6">
        <v>24.684679540192924</v>
      </c>
      <c r="I842" s="3"/>
      <c r="J842" s="5" t="s">
        <v>525</v>
      </c>
      <c r="K842" s="7">
        <v>7.339565343</v>
      </c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x14ac:dyDescent="0.25" r="843" customHeight="1" ht="12.75">
      <c r="A843" s="5" t="s">
        <v>852</v>
      </c>
      <c r="B843" s="6">
        <v>0.00195352575</v>
      </c>
      <c r="C843" s="3"/>
      <c r="D843" s="5" t="s">
        <v>10</v>
      </c>
      <c r="E843" s="6">
        <v>0.2351</v>
      </c>
      <c r="F843" s="3"/>
      <c r="G843" s="5" t="s">
        <v>187</v>
      </c>
      <c r="H843" s="6">
        <v>23.758995508587873</v>
      </c>
      <c r="I843" s="3"/>
      <c r="J843" s="5" t="s">
        <v>754</v>
      </c>
      <c r="K843" s="7">
        <v>4.88594475</v>
      </c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x14ac:dyDescent="0.25" r="844" customHeight="1" ht="12.75">
      <c r="A844" s="5" t="s">
        <v>835</v>
      </c>
      <c r="B844" s="6">
        <v>0.0017845965</v>
      </c>
      <c r="C844" s="3"/>
      <c r="D844" s="5" t="s">
        <v>787</v>
      </c>
      <c r="E844" s="6">
        <v>0.21882534775888715</v>
      </c>
      <c r="F844" s="3"/>
      <c r="G844" s="5" t="s">
        <v>384</v>
      </c>
      <c r="H844" s="6">
        <v>21.71531</v>
      </c>
      <c r="I844" s="3"/>
      <c r="J844" s="5" t="s">
        <v>59</v>
      </c>
      <c r="K844" s="7">
        <v>4.810732351562701</v>
      </c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x14ac:dyDescent="0.25" r="845" customHeight="1" ht="12.75">
      <c r="A845" s="5" t="s">
        <v>778</v>
      </c>
      <c r="B845" s="6">
        <v>0.001524054</v>
      </c>
      <c r="C845" s="3"/>
      <c r="D845" s="5" t="s">
        <v>79</v>
      </c>
      <c r="E845" s="6">
        <v>0.21000000000000002</v>
      </c>
      <c r="F845" s="3"/>
      <c r="G845" s="5" t="s">
        <v>794</v>
      </c>
      <c r="H845" s="6">
        <v>21.498156899999998</v>
      </c>
      <c r="I845" s="3"/>
      <c r="J845" s="5" t="s">
        <v>841</v>
      </c>
      <c r="K845" s="7">
        <v>4.546996116524671</v>
      </c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x14ac:dyDescent="0.25" r="846" customHeight="1" ht="12.75">
      <c r="A846" s="5" t="s">
        <v>555</v>
      </c>
      <c r="B846" s="6">
        <v>0.0014802479999999998</v>
      </c>
      <c r="C846" s="3"/>
      <c r="D846" s="5" t="s">
        <v>759</v>
      </c>
      <c r="E846" s="6">
        <v>0.17147896963663511</v>
      </c>
      <c r="F846" s="3"/>
      <c r="G846" s="5" t="s">
        <v>45</v>
      </c>
      <c r="H846" s="6">
        <v>19.864785654183542</v>
      </c>
      <c r="I846" s="3"/>
      <c r="J846" s="5" t="s">
        <v>847</v>
      </c>
      <c r="K846" s="7">
        <v>4.52229330037299</v>
      </c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x14ac:dyDescent="0.25" r="847" customHeight="1" ht="12.75">
      <c r="A847" s="5" t="s">
        <v>6</v>
      </c>
      <c r="B847" s="6">
        <v>0.0013200000000000002</v>
      </c>
      <c r="C847" s="3"/>
      <c r="D847" s="5" t="s">
        <v>852</v>
      </c>
      <c r="E847" s="6">
        <v>0.15666859275203782</v>
      </c>
      <c r="F847" s="3"/>
      <c r="G847" s="5" t="s">
        <v>181</v>
      </c>
      <c r="H847" s="6">
        <v>18.413921260585063</v>
      </c>
      <c r="I847" s="3"/>
      <c r="J847" s="5" t="s">
        <v>854</v>
      </c>
      <c r="K847" s="7">
        <v>4.379790636</v>
      </c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x14ac:dyDescent="0.25" r="848" customHeight="1" ht="12.75">
      <c r="A848" s="5" t="s">
        <v>810</v>
      </c>
      <c r="B848" s="6">
        <v>0.0008750000000000001</v>
      </c>
      <c r="C848" s="3"/>
      <c r="D848" s="5" t="s">
        <v>187</v>
      </c>
      <c r="E848" s="6">
        <v>0.14431579491236737</v>
      </c>
      <c r="F848" s="3"/>
      <c r="G848" s="5" t="s">
        <v>364</v>
      </c>
      <c r="H848" s="6">
        <v>12.236655057690601</v>
      </c>
      <c r="I848" s="3"/>
      <c r="J848" s="5" t="s">
        <v>835</v>
      </c>
      <c r="K848" s="7">
        <v>3.8619342732605997</v>
      </c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x14ac:dyDescent="0.25" r="849" customHeight="1" ht="12.75">
      <c r="A849" s="5" t="s">
        <v>231</v>
      </c>
      <c r="B849" s="6">
        <v>0.0007716800000000001</v>
      </c>
      <c r="C849" s="3"/>
      <c r="D849" s="5" t="s">
        <v>45</v>
      </c>
      <c r="E849" s="6">
        <v>0.0539578706727629</v>
      </c>
      <c r="F849" s="3"/>
      <c r="G849" s="5" t="s">
        <v>853</v>
      </c>
      <c r="H849" s="6">
        <v>11.914927617363345</v>
      </c>
      <c r="I849" s="3"/>
      <c r="J849" s="5" t="s">
        <v>778</v>
      </c>
      <c r="K849" s="7">
        <v>3.299530716648999</v>
      </c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x14ac:dyDescent="0.25" r="850" customHeight="1" ht="12.75">
      <c r="A850" s="5" t="s">
        <v>595</v>
      </c>
      <c r="B850" s="6">
        <v>0.0006566</v>
      </c>
      <c r="C850" s="3"/>
      <c r="D850" s="5" t="s">
        <v>26</v>
      </c>
      <c r="E850" s="6">
        <v>0.0431</v>
      </c>
      <c r="F850" s="3"/>
      <c r="G850" s="5" t="s">
        <v>311</v>
      </c>
      <c r="H850" s="6">
        <v>9.7410251</v>
      </c>
      <c r="I850" s="3"/>
      <c r="J850" s="5" t="s">
        <v>810</v>
      </c>
      <c r="K850" s="7">
        <v>3.2420698451721286</v>
      </c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x14ac:dyDescent="0.25" r="851" customHeight="1" ht="12.75">
      <c r="A851" s="5" t="s">
        <v>22</v>
      </c>
      <c r="B851" s="6">
        <v>0.0004997000000000001</v>
      </c>
      <c r="C851" s="3"/>
      <c r="D851" s="5" t="s">
        <v>181</v>
      </c>
      <c r="E851" s="6">
        <v>0.02364968730456535</v>
      </c>
      <c r="F851" s="3"/>
      <c r="G851" s="5" t="s">
        <v>854</v>
      </c>
      <c r="H851" s="6">
        <v>8.1107234</v>
      </c>
      <c r="I851" s="3"/>
      <c r="J851" s="5" t="s">
        <v>231</v>
      </c>
      <c r="K851" s="7">
        <v>3.096042535454598</v>
      </c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x14ac:dyDescent="0.25" r="852" customHeight="1" ht="12.75">
      <c r="A852" s="5" t="s">
        <v>841</v>
      </c>
      <c r="B852" s="6">
        <v>0.0004551725</v>
      </c>
      <c r="C852" s="3"/>
      <c r="D852" s="5" t="s">
        <v>7</v>
      </c>
      <c r="E852" s="6">
        <v>0.021380522404001956</v>
      </c>
      <c r="F852" s="3"/>
      <c r="G852" s="5" t="s">
        <v>759</v>
      </c>
      <c r="H852" s="6">
        <v>7.189131106010453</v>
      </c>
      <c r="I852" s="3"/>
      <c r="J852" s="5" t="s">
        <v>22</v>
      </c>
      <c r="K852" s="7">
        <v>2.5304662862900322</v>
      </c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x14ac:dyDescent="0.25" r="853" customHeight="1" ht="12.75">
      <c r="A853" s="5"/>
      <c r="B853" s="6"/>
      <c r="C853" s="3"/>
      <c r="D853" s="5"/>
      <c r="E853" s="6"/>
      <c r="F853" s="3"/>
      <c r="G853" s="5"/>
      <c r="H853" s="6"/>
      <c r="I853" s="3"/>
      <c r="J853" s="5"/>
      <c r="K853" s="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x14ac:dyDescent="0.25" r="854" customHeight="1" ht="12.75">
      <c r="A854" s="5"/>
      <c r="B854" s="6"/>
      <c r="C854" s="3"/>
      <c r="D854" s="5"/>
      <c r="E854" s="6"/>
      <c r="F854" s="3"/>
      <c r="G854" s="5"/>
      <c r="H854" s="6"/>
      <c r="I854" s="3"/>
      <c r="J854" s="5"/>
      <c r="K854" s="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x14ac:dyDescent="0.25" r="855" customHeight="1" ht="12.75">
      <c r="A855" s="5"/>
      <c r="B855" s="6"/>
      <c r="C855" s="3"/>
      <c r="D855" s="5"/>
      <c r="E855" s="6"/>
      <c r="F855" s="3"/>
      <c r="G855" s="5"/>
      <c r="H855" s="6"/>
      <c r="I855" s="3"/>
      <c r="J855" s="5"/>
      <c r="K855" s="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x14ac:dyDescent="0.25" r="856" customHeight="1" ht="12.75">
      <c r="A856" s="5"/>
      <c r="B856" s="6"/>
      <c r="C856" s="3"/>
      <c r="D856" s="5"/>
      <c r="E856" s="6"/>
      <c r="F856" s="3"/>
      <c r="G856" s="5"/>
      <c r="H856" s="6"/>
      <c r="I856" s="3"/>
      <c r="J856" s="5"/>
      <c r="K856" s="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x14ac:dyDescent="0.25" r="857" customHeight="1" ht="12.75">
      <c r="A857" s="5"/>
      <c r="B857" s="6"/>
      <c r="C857" s="3"/>
      <c r="D857" s="5"/>
      <c r="E857" s="6"/>
      <c r="F857" s="3"/>
      <c r="G857" s="5"/>
      <c r="H857" s="6"/>
      <c r="I857" s="3"/>
      <c r="J857" s="5"/>
      <c r="K857" s="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x14ac:dyDescent="0.25" r="858" customHeight="1" ht="12.75">
      <c r="A858" s="5"/>
      <c r="B858" s="6"/>
      <c r="C858" s="3"/>
      <c r="D858" s="5"/>
      <c r="E858" s="6"/>
      <c r="F858" s="3"/>
      <c r="G858" s="5"/>
      <c r="H858" s="6"/>
      <c r="I858" s="3"/>
      <c r="J858" s="5"/>
      <c r="K858" s="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x14ac:dyDescent="0.25" r="859" customHeight="1" ht="12.75">
      <c r="A859" s="5"/>
      <c r="B859" s="6"/>
      <c r="C859" s="3"/>
      <c r="D859" s="5"/>
      <c r="E859" s="6"/>
      <c r="F859" s="3"/>
      <c r="G859" s="5"/>
      <c r="H859" s="6"/>
      <c r="I859" s="3"/>
      <c r="J859" s="5"/>
      <c r="K859" s="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x14ac:dyDescent="0.25" r="860" customHeight="1" ht="12.75">
      <c r="A860" s="5"/>
      <c r="B860" s="6"/>
      <c r="C860" s="3"/>
      <c r="D860" s="5"/>
      <c r="E860" s="6"/>
      <c r="F860" s="3"/>
      <c r="G860" s="5"/>
      <c r="H860" s="6"/>
      <c r="I860" s="3"/>
      <c r="J860" s="5"/>
      <c r="K860" s="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x14ac:dyDescent="0.25" r="861" customHeight="1" ht="12.75">
      <c r="A861" s="5"/>
      <c r="B861" s="6"/>
      <c r="C861" s="3"/>
      <c r="D861" s="5"/>
      <c r="E861" s="6"/>
      <c r="F861" s="3"/>
      <c r="G861" s="5"/>
      <c r="H861" s="6"/>
      <c r="I861" s="3"/>
      <c r="J861" s="5"/>
      <c r="K861" s="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x14ac:dyDescent="0.25" r="862" customHeight="1" ht="12.75">
      <c r="A862" s="5"/>
      <c r="B862" s="6"/>
      <c r="C862" s="3"/>
      <c r="D862" s="5"/>
      <c r="E862" s="6"/>
      <c r="F862" s="3"/>
      <c r="G862" s="5"/>
      <c r="H862" s="6"/>
      <c r="I862" s="3"/>
      <c r="J862" s="5"/>
      <c r="K862" s="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x14ac:dyDescent="0.25" r="863" customHeight="1" ht="12.75">
      <c r="A863" s="5"/>
      <c r="B863" s="6"/>
      <c r="C863" s="3"/>
      <c r="D863" s="5"/>
      <c r="E863" s="6"/>
      <c r="F863" s="3"/>
      <c r="G863" s="5"/>
      <c r="H863" s="6"/>
      <c r="I863" s="3"/>
      <c r="J863" s="5"/>
      <c r="K863" s="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x14ac:dyDescent="0.25" r="864" customHeight="1" ht="12.75">
      <c r="A864" s="5"/>
      <c r="B864" s="6"/>
      <c r="C864" s="3"/>
      <c r="D864" s="5"/>
      <c r="E864" s="6"/>
      <c r="F864" s="3"/>
      <c r="G864" s="5"/>
      <c r="H864" s="6"/>
      <c r="I864" s="3"/>
      <c r="J864" s="5"/>
      <c r="K864" s="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x14ac:dyDescent="0.25" r="865" customHeight="1" ht="12.75">
      <c r="A865" s="5"/>
      <c r="B865" s="6"/>
      <c r="C865" s="3"/>
      <c r="D865" s="5"/>
      <c r="E865" s="6"/>
      <c r="F865" s="3"/>
      <c r="G865" s="5"/>
      <c r="H865" s="6"/>
      <c r="I865" s="3"/>
      <c r="J865" s="5"/>
      <c r="K865" s="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x14ac:dyDescent="0.25" r="866" customHeight="1" ht="12.75">
      <c r="A866" s="5"/>
      <c r="B866" s="6"/>
      <c r="C866" s="3"/>
      <c r="D866" s="5"/>
      <c r="E866" s="6"/>
      <c r="F866" s="3"/>
      <c r="G866" s="5"/>
      <c r="H866" s="6"/>
      <c r="I866" s="3"/>
      <c r="J866" s="5"/>
      <c r="K866" s="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x14ac:dyDescent="0.25" r="867" customHeight="1" ht="12.75">
      <c r="A867" s="5"/>
      <c r="B867" s="6"/>
      <c r="C867" s="3"/>
      <c r="D867" s="5"/>
      <c r="E867" s="6"/>
      <c r="F867" s="3"/>
      <c r="G867" s="5"/>
      <c r="H867" s="6"/>
      <c r="I867" s="3"/>
      <c r="J867" s="5"/>
      <c r="K867" s="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x14ac:dyDescent="0.25" r="868" customHeight="1" ht="12.75">
      <c r="A868" s="5"/>
      <c r="B868" s="6"/>
      <c r="C868" s="3"/>
      <c r="D868" s="5"/>
      <c r="E868" s="6"/>
      <c r="F868" s="3"/>
      <c r="G868" s="5"/>
      <c r="H868" s="6"/>
      <c r="I868" s="3"/>
      <c r="J868" s="5"/>
      <c r="K868" s="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x14ac:dyDescent="0.25" r="869" customHeight="1" ht="12.75">
      <c r="A869" s="5"/>
      <c r="B869" s="6"/>
      <c r="C869" s="3"/>
      <c r="D869" s="5"/>
      <c r="E869" s="6"/>
      <c r="F869" s="3"/>
      <c r="G869" s="5"/>
      <c r="H869" s="6"/>
      <c r="I869" s="3"/>
      <c r="J869" s="5"/>
      <c r="K869" s="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x14ac:dyDescent="0.25" r="870" customHeight="1" ht="12.75">
      <c r="A870" s="5"/>
      <c r="B870" s="6"/>
      <c r="C870" s="3"/>
      <c r="D870" s="5"/>
      <c r="E870" s="6"/>
      <c r="F870" s="3"/>
      <c r="G870" s="5"/>
      <c r="H870" s="6"/>
      <c r="I870" s="3"/>
      <c r="J870" s="5"/>
      <c r="K870" s="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x14ac:dyDescent="0.25" r="871" customHeight="1" ht="12.75">
      <c r="A871" s="5"/>
      <c r="B871" s="6"/>
      <c r="C871" s="3"/>
      <c r="D871" s="5"/>
      <c r="E871" s="6"/>
      <c r="F871" s="3"/>
      <c r="G871" s="5"/>
      <c r="H871" s="6"/>
      <c r="I871" s="3"/>
      <c r="J871" s="5"/>
      <c r="K871" s="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x14ac:dyDescent="0.25" r="872" customHeight="1" ht="12.75">
      <c r="A872" s="5"/>
      <c r="B872" s="6"/>
      <c r="C872" s="3"/>
      <c r="D872" s="5"/>
      <c r="E872" s="6"/>
      <c r="F872" s="3"/>
      <c r="G872" s="5"/>
      <c r="H872" s="6"/>
      <c r="I872" s="3"/>
      <c r="J872" s="5"/>
      <c r="K872" s="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x14ac:dyDescent="0.25" r="873" customHeight="1" ht="12.75">
      <c r="A873" s="5"/>
      <c r="B873" s="6"/>
      <c r="C873" s="3"/>
      <c r="D873" s="5"/>
      <c r="E873" s="6"/>
      <c r="F873" s="3"/>
      <c r="G873" s="5"/>
      <c r="H873" s="6"/>
      <c r="I873" s="3"/>
      <c r="J873" s="5"/>
      <c r="K873" s="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x14ac:dyDescent="0.25" r="874" customHeight="1" ht="12.75">
      <c r="A874" s="5"/>
      <c r="B874" s="6"/>
      <c r="C874" s="3"/>
      <c r="D874" s="5"/>
      <c r="E874" s="6"/>
      <c r="F874" s="3"/>
      <c r="G874" s="5"/>
      <c r="H874" s="6"/>
      <c r="I874" s="3"/>
      <c r="J874" s="5"/>
      <c r="K874" s="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x14ac:dyDescent="0.25" r="875" customHeight="1" ht="12.75">
      <c r="A875" s="5"/>
      <c r="B875" s="6"/>
      <c r="C875" s="3"/>
      <c r="D875" s="5"/>
      <c r="E875" s="6"/>
      <c r="F875" s="3"/>
      <c r="G875" s="5"/>
      <c r="H875" s="6"/>
      <c r="I875" s="3"/>
      <c r="J875" s="5"/>
      <c r="K875" s="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x14ac:dyDescent="0.25" r="876" customHeight="1" ht="12.75">
      <c r="A876" s="5"/>
      <c r="B876" s="6"/>
      <c r="C876" s="3"/>
      <c r="D876" s="5"/>
      <c r="E876" s="6"/>
      <c r="F876" s="3"/>
      <c r="G876" s="5"/>
      <c r="H876" s="6"/>
      <c r="I876" s="3"/>
      <c r="J876" s="5"/>
      <c r="K876" s="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x14ac:dyDescent="0.25" r="877" customHeight="1" ht="12.75">
      <c r="A877" s="5"/>
      <c r="B877" s="6"/>
      <c r="C877" s="3"/>
      <c r="D877" s="5"/>
      <c r="E877" s="6"/>
      <c r="F877" s="3"/>
      <c r="G877" s="5"/>
      <c r="H877" s="6"/>
      <c r="I877" s="3"/>
      <c r="J877" s="5"/>
      <c r="K877" s="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x14ac:dyDescent="0.25" r="878" customHeight="1" ht="12.75">
      <c r="A878" s="5"/>
      <c r="B878" s="6"/>
      <c r="C878" s="3"/>
      <c r="D878" s="5"/>
      <c r="E878" s="6"/>
      <c r="F878" s="3"/>
      <c r="G878" s="5"/>
      <c r="H878" s="6"/>
      <c r="I878" s="3"/>
      <c r="J878" s="5"/>
      <c r="K878" s="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x14ac:dyDescent="0.25" r="879" customHeight="1" ht="12.75">
      <c r="A879" s="5"/>
      <c r="B879" s="6"/>
      <c r="C879" s="3"/>
      <c r="D879" s="5"/>
      <c r="E879" s="6"/>
      <c r="F879" s="3"/>
      <c r="G879" s="5"/>
      <c r="H879" s="6"/>
      <c r="I879" s="3"/>
      <c r="J879" s="5"/>
      <c r="K879" s="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x14ac:dyDescent="0.25" r="880" customHeight="1" ht="12.75">
      <c r="A880" s="5"/>
      <c r="B880" s="6"/>
      <c r="C880" s="3"/>
      <c r="D880" s="5"/>
      <c r="E880" s="6"/>
      <c r="F880" s="3"/>
      <c r="G880" s="5"/>
      <c r="H880" s="6"/>
      <c r="I880" s="3"/>
      <c r="J880" s="5"/>
      <c r="K880" s="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x14ac:dyDescent="0.25" r="881" customHeight="1" ht="12.75">
      <c r="A881" s="5"/>
      <c r="B881" s="6"/>
      <c r="C881" s="3"/>
      <c r="D881" s="5"/>
      <c r="E881" s="6"/>
      <c r="F881" s="3"/>
      <c r="G881" s="5"/>
      <c r="H881" s="6"/>
      <c r="I881" s="3"/>
      <c r="J881" s="5"/>
      <c r="K881" s="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x14ac:dyDescent="0.25" r="882" customHeight="1" ht="12.75">
      <c r="A882" s="5"/>
      <c r="B882" s="6"/>
      <c r="C882" s="3"/>
      <c r="D882" s="5"/>
      <c r="E882" s="6"/>
      <c r="F882" s="3"/>
      <c r="G882" s="5"/>
      <c r="H882" s="6"/>
      <c r="I882" s="3"/>
      <c r="J882" s="5"/>
      <c r="K882" s="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x14ac:dyDescent="0.25" r="883" customHeight="1" ht="12.75">
      <c r="A883" s="5"/>
      <c r="B883" s="6"/>
      <c r="C883" s="3"/>
      <c r="D883" s="5"/>
      <c r="E883" s="6"/>
      <c r="F883" s="3"/>
      <c r="G883" s="5"/>
      <c r="H883" s="6"/>
      <c r="I883" s="3"/>
      <c r="J883" s="5"/>
      <c r="K883" s="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x14ac:dyDescent="0.25" r="884" customHeight="1" ht="12.75">
      <c r="A884" s="5"/>
      <c r="B884" s="6"/>
      <c r="C884" s="3"/>
      <c r="D884" s="5"/>
      <c r="E884" s="6"/>
      <c r="F884" s="3"/>
      <c r="G884" s="5"/>
      <c r="H884" s="6"/>
      <c r="I884" s="3"/>
      <c r="J884" s="5"/>
      <c r="K884" s="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x14ac:dyDescent="0.25" r="885" customHeight="1" ht="12.75">
      <c r="A885" s="5"/>
      <c r="B885" s="6"/>
      <c r="C885" s="3"/>
      <c r="D885" s="5"/>
      <c r="E885" s="6"/>
      <c r="F885" s="3"/>
      <c r="G885" s="5"/>
      <c r="H885" s="6"/>
      <c r="I885" s="3"/>
      <c r="J885" s="5"/>
      <c r="K885" s="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x14ac:dyDescent="0.25" r="886" customHeight="1" ht="12.75">
      <c r="A886" s="5"/>
      <c r="B886" s="6"/>
      <c r="C886" s="3"/>
      <c r="D886" s="5"/>
      <c r="E886" s="6"/>
      <c r="F886" s="3"/>
      <c r="G886" s="5"/>
      <c r="H886" s="6"/>
      <c r="I886" s="3"/>
      <c r="J886" s="5"/>
      <c r="K886" s="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x14ac:dyDescent="0.25" r="887" customHeight="1" ht="12.75">
      <c r="A887" s="5"/>
      <c r="B887" s="6"/>
      <c r="C887" s="3"/>
      <c r="D887" s="5"/>
      <c r="E887" s="6"/>
      <c r="F887" s="3"/>
      <c r="G887" s="5"/>
      <c r="H887" s="6"/>
      <c r="I887" s="3"/>
      <c r="J887" s="5"/>
      <c r="K887" s="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x14ac:dyDescent="0.25" r="888" customHeight="1" ht="12.75">
      <c r="A888" s="5"/>
      <c r="B888" s="6"/>
      <c r="C888" s="3"/>
      <c r="D888" s="5"/>
      <c r="E888" s="6"/>
      <c r="F888" s="3"/>
      <c r="G888" s="5"/>
      <c r="H888" s="6"/>
      <c r="I888" s="3"/>
      <c r="J888" s="5"/>
      <c r="K888" s="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x14ac:dyDescent="0.25" r="889" customHeight="1" ht="12.75">
      <c r="A889" s="5"/>
      <c r="B889" s="6"/>
      <c r="C889" s="3"/>
      <c r="D889" s="5"/>
      <c r="E889" s="6"/>
      <c r="F889" s="3"/>
      <c r="G889" s="5"/>
      <c r="H889" s="6"/>
      <c r="I889" s="3"/>
      <c r="J889" s="5"/>
      <c r="K889" s="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x14ac:dyDescent="0.25" r="890" customHeight="1" ht="12.75">
      <c r="A890" s="5"/>
      <c r="B890" s="6"/>
      <c r="C890" s="3"/>
      <c r="D890" s="5"/>
      <c r="E890" s="6"/>
      <c r="F890" s="3"/>
      <c r="G890" s="5"/>
      <c r="H890" s="6"/>
      <c r="I890" s="3"/>
      <c r="J890" s="5"/>
      <c r="K890" s="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x14ac:dyDescent="0.25" r="891" customHeight="1" ht="12.75">
      <c r="A891" s="5"/>
      <c r="B891" s="6"/>
      <c r="C891" s="3"/>
      <c r="D891" s="5"/>
      <c r="E891" s="6"/>
      <c r="F891" s="3"/>
      <c r="G891" s="5"/>
      <c r="H891" s="6"/>
      <c r="I891" s="3"/>
      <c r="J891" s="5"/>
      <c r="K891" s="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x14ac:dyDescent="0.25" r="892" customHeight="1" ht="12.75">
      <c r="A892" s="5"/>
      <c r="B892" s="6"/>
      <c r="C892" s="3"/>
      <c r="D892" s="5"/>
      <c r="E892" s="6"/>
      <c r="F892" s="3"/>
      <c r="G892" s="5"/>
      <c r="H892" s="6"/>
      <c r="I892" s="3"/>
      <c r="J892" s="5"/>
      <c r="K892" s="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x14ac:dyDescent="0.25" r="893" customHeight="1" ht="12.75">
      <c r="A893" s="5"/>
      <c r="B893" s="6"/>
      <c r="C893" s="3"/>
      <c r="D893" s="5"/>
      <c r="E893" s="6"/>
      <c r="F893" s="3"/>
      <c r="G893" s="5"/>
      <c r="H893" s="6"/>
      <c r="I893" s="3"/>
      <c r="J893" s="5"/>
      <c r="K893" s="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x14ac:dyDescent="0.25" r="894" customHeight="1" ht="12.75">
      <c r="A894" s="5"/>
      <c r="B894" s="6"/>
      <c r="C894" s="3"/>
      <c r="D894" s="5"/>
      <c r="E894" s="6"/>
      <c r="F894" s="3"/>
      <c r="G894" s="5"/>
      <c r="H894" s="6"/>
      <c r="I894" s="3"/>
      <c r="J894" s="5"/>
      <c r="K894" s="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x14ac:dyDescent="0.25" r="895" customHeight="1" ht="12.75">
      <c r="A895" s="5"/>
      <c r="B895" s="6"/>
      <c r="C895" s="3"/>
      <c r="D895" s="5"/>
      <c r="E895" s="6"/>
      <c r="F895" s="3"/>
      <c r="G895" s="5"/>
      <c r="H895" s="6"/>
      <c r="I895" s="3"/>
      <c r="J895" s="5"/>
      <c r="K895" s="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x14ac:dyDescent="0.25" r="896" customHeight="1" ht="12.75">
      <c r="A896" s="5"/>
      <c r="B896" s="6"/>
      <c r="C896" s="3"/>
      <c r="D896" s="5"/>
      <c r="E896" s="6"/>
      <c r="F896" s="3"/>
      <c r="G896" s="5"/>
      <c r="H896" s="6"/>
      <c r="I896" s="3"/>
      <c r="J896" s="5"/>
      <c r="K896" s="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x14ac:dyDescent="0.25" r="897" customHeight="1" ht="12.75">
      <c r="A897" s="5"/>
      <c r="B897" s="6"/>
      <c r="C897" s="3"/>
      <c r="D897" s="5"/>
      <c r="E897" s="6"/>
      <c r="F897" s="3"/>
      <c r="G897" s="5"/>
      <c r="H897" s="6"/>
      <c r="I897" s="3"/>
      <c r="J897" s="5"/>
      <c r="K897" s="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x14ac:dyDescent="0.25" r="898" customHeight="1" ht="12.75">
      <c r="A898" s="5"/>
      <c r="B898" s="6"/>
      <c r="C898" s="3"/>
      <c r="D898" s="5"/>
      <c r="E898" s="6"/>
      <c r="F898" s="3"/>
      <c r="G898" s="5"/>
      <c r="H898" s="6"/>
      <c r="I898" s="3"/>
      <c r="J898" s="5"/>
      <c r="K898" s="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x14ac:dyDescent="0.25" r="899" customHeight="1" ht="12.75">
      <c r="A899" s="5"/>
      <c r="B899" s="6"/>
      <c r="C899" s="3"/>
      <c r="D899" s="5"/>
      <c r="E899" s="6"/>
      <c r="F899" s="3"/>
      <c r="G899" s="5"/>
      <c r="H899" s="6"/>
      <c r="I899" s="3"/>
      <c r="J899" s="5"/>
      <c r="K899" s="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x14ac:dyDescent="0.25" r="900" customHeight="1" ht="12.75">
      <c r="A900" s="5"/>
      <c r="B900" s="6"/>
      <c r="C900" s="3"/>
      <c r="D900" s="5"/>
      <c r="E900" s="6"/>
      <c r="F900" s="3"/>
      <c r="G900" s="5"/>
      <c r="H900" s="6"/>
      <c r="I900" s="3"/>
      <c r="J900" s="5"/>
      <c r="K900" s="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x14ac:dyDescent="0.25" r="901" customHeight="1" ht="12.75">
      <c r="A901" s="5"/>
      <c r="B901" s="6"/>
      <c r="C901" s="3"/>
      <c r="D901" s="5"/>
      <c r="E901" s="6"/>
      <c r="F901" s="3"/>
      <c r="G901" s="5"/>
      <c r="H901" s="6"/>
      <c r="I901" s="3"/>
      <c r="J901" s="5"/>
      <c r="K901" s="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x14ac:dyDescent="0.25" r="902" customHeight="1" ht="12.75">
      <c r="A902" s="5"/>
      <c r="B902" s="6"/>
      <c r="C902" s="3"/>
      <c r="D902" s="5"/>
      <c r="E902" s="6"/>
      <c r="F902" s="3"/>
      <c r="G902" s="5"/>
      <c r="H902" s="6"/>
      <c r="I902" s="3"/>
      <c r="J902" s="5"/>
      <c r="K902" s="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x14ac:dyDescent="0.25" r="903" customHeight="1" ht="12.75">
      <c r="A903" s="5"/>
      <c r="B903" s="6"/>
      <c r="C903" s="3"/>
      <c r="D903" s="5"/>
      <c r="E903" s="6"/>
      <c r="F903" s="3"/>
      <c r="G903" s="5"/>
      <c r="H903" s="6"/>
      <c r="I903" s="3"/>
      <c r="J903" s="5"/>
      <c r="K903" s="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x14ac:dyDescent="0.25" r="904" customHeight="1" ht="12.75">
      <c r="A904" s="5"/>
      <c r="B904" s="6"/>
      <c r="C904" s="3"/>
      <c r="D904" s="5"/>
      <c r="E904" s="6"/>
      <c r="F904" s="3"/>
      <c r="G904" s="5"/>
      <c r="H904" s="6"/>
      <c r="I904" s="3"/>
      <c r="J904" s="5"/>
      <c r="K904" s="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x14ac:dyDescent="0.25" r="905" customHeight="1" ht="12.75">
      <c r="A905" s="5"/>
      <c r="B905" s="6"/>
      <c r="C905" s="3"/>
      <c r="D905" s="5"/>
      <c r="E905" s="6"/>
      <c r="F905" s="3"/>
      <c r="G905" s="5"/>
      <c r="H905" s="6"/>
      <c r="I905" s="3"/>
      <c r="J905" s="5"/>
      <c r="K905" s="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x14ac:dyDescent="0.25" r="906" customHeight="1" ht="12.75">
      <c r="A906" s="5"/>
      <c r="B906" s="6"/>
      <c r="C906" s="3"/>
      <c r="D906" s="5"/>
      <c r="E906" s="6"/>
      <c r="F906" s="3"/>
      <c r="G906" s="5"/>
      <c r="H906" s="6"/>
      <c r="I906" s="3"/>
      <c r="J906" s="5"/>
      <c r="K906" s="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x14ac:dyDescent="0.25" r="907" customHeight="1" ht="12.75">
      <c r="A907" s="5"/>
      <c r="B907" s="6"/>
      <c r="C907" s="3"/>
      <c r="D907" s="5"/>
      <c r="E907" s="6"/>
      <c r="F907" s="3"/>
      <c r="G907" s="5"/>
      <c r="H907" s="6"/>
      <c r="I907" s="3"/>
      <c r="J907" s="5"/>
      <c r="K907" s="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x14ac:dyDescent="0.25" r="908" customHeight="1" ht="12.75">
      <c r="A908" s="5"/>
      <c r="B908" s="6"/>
      <c r="C908" s="3"/>
      <c r="D908" s="5"/>
      <c r="E908" s="6"/>
      <c r="F908" s="3"/>
      <c r="G908" s="5"/>
      <c r="H908" s="6"/>
      <c r="I908" s="3"/>
      <c r="J908" s="5"/>
      <c r="K908" s="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x14ac:dyDescent="0.25" r="909" customHeight="1" ht="12.75">
      <c r="A909" s="5"/>
      <c r="B909" s="6"/>
      <c r="C909" s="3"/>
      <c r="D909" s="5"/>
      <c r="E909" s="6"/>
      <c r="F909" s="3"/>
      <c r="G909" s="5"/>
      <c r="H909" s="6"/>
      <c r="I909" s="3"/>
      <c r="J909" s="5"/>
      <c r="K909" s="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x14ac:dyDescent="0.25" r="910" customHeight="1" ht="12.75">
      <c r="A910" s="5"/>
      <c r="B910" s="6"/>
      <c r="C910" s="3"/>
      <c r="D910" s="5"/>
      <c r="E910" s="6"/>
      <c r="F910" s="3"/>
      <c r="G910" s="5"/>
      <c r="H910" s="6"/>
      <c r="I910" s="3"/>
      <c r="J910" s="5"/>
      <c r="K910" s="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x14ac:dyDescent="0.25" r="911" customHeight="1" ht="12.75">
      <c r="A911" s="5"/>
      <c r="B911" s="6"/>
      <c r="C911" s="3"/>
      <c r="D911" s="5"/>
      <c r="E911" s="6"/>
      <c r="F911" s="3"/>
      <c r="G911" s="5"/>
      <c r="H911" s="6"/>
      <c r="I911" s="3"/>
      <c r="J911" s="5"/>
      <c r="K911" s="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x14ac:dyDescent="0.25" r="912" customHeight="1" ht="12.75">
      <c r="A912" s="5"/>
      <c r="B912" s="6"/>
      <c r="C912" s="3"/>
      <c r="D912" s="5"/>
      <c r="E912" s="6"/>
      <c r="F912" s="3"/>
      <c r="G912" s="5"/>
      <c r="H912" s="6"/>
      <c r="I912" s="3"/>
      <c r="J912" s="5"/>
      <c r="K912" s="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x14ac:dyDescent="0.25" r="913" customHeight="1" ht="12.75">
      <c r="A913" s="5"/>
      <c r="B913" s="6"/>
      <c r="C913" s="3"/>
      <c r="D913" s="5"/>
      <c r="E913" s="6"/>
      <c r="F913" s="3"/>
      <c r="G913" s="5"/>
      <c r="H913" s="6"/>
      <c r="I913" s="3"/>
      <c r="J913" s="5"/>
      <c r="K913" s="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x14ac:dyDescent="0.25" r="914" customHeight="1" ht="12.75">
      <c r="A914" s="5"/>
      <c r="B914" s="6"/>
      <c r="C914" s="3"/>
      <c r="D914" s="5"/>
      <c r="E914" s="6"/>
      <c r="F914" s="3"/>
      <c r="G914" s="5"/>
      <c r="H914" s="6"/>
      <c r="I914" s="3"/>
      <c r="J914" s="5"/>
      <c r="K914" s="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x14ac:dyDescent="0.25" r="915" customHeight="1" ht="12.75">
      <c r="A915" s="5"/>
      <c r="B915" s="6"/>
      <c r="C915" s="3"/>
      <c r="D915" s="5"/>
      <c r="E915" s="6"/>
      <c r="F915" s="3"/>
      <c r="G915" s="5"/>
      <c r="H915" s="6"/>
      <c r="I915" s="3"/>
      <c r="J915" s="5"/>
      <c r="K915" s="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x14ac:dyDescent="0.25" r="916" customHeight="1" ht="12.75">
      <c r="A916" s="5"/>
      <c r="B916" s="6"/>
      <c r="C916" s="3"/>
      <c r="D916" s="5"/>
      <c r="E916" s="6"/>
      <c r="F916" s="3"/>
      <c r="G916" s="5"/>
      <c r="H916" s="6"/>
      <c r="I916" s="3"/>
      <c r="J916" s="5"/>
      <c r="K916" s="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x14ac:dyDescent="0.25" r="917" customHeight="1" ht="12.75">
      <c r="A917" s="5"/>
      <c r="B917" s="6"/>
      <c r="C917" s="3"/>
      <c r="D917" s="5"/>
      <c r="E917" s="6"/>
      <c r="F917" s="3"/>
      <c r="G917" s="5"/>
      <c r="H917" s="6"/>
      <c r="I917" s="3"/>
      <c r="J917" s="5"/>
      <c r="K917" s="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x14ac:dyDescent="0.25" r="918" customHeight="1" ht="12.75">
      <c r="A918" s="5"/>
      <c r="B918" s="6"/>
      <c r="C918" s="3"/>
      <c r="D918" s="5"/>
      <c r="E918" s="6"/>
      <c r="F918" s="3"/>
      <c r="G918" s="5"/>
      <c r="H918" s="6"/>
      <c r="I918" s="3"/>
      <c r="J918" s="5"/>
      <c r="K918" s="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x14ac:dyDescent="0.25" r="919" customHeight="1" ht="12.75">
      <c r="A919" s="5"/>
      <c r="B919" s="6"/>
      <c r="C919" s="3"/>
      <c r="D919" s="5"/>
      <c r="E919" s="6"/>
      <c r="F919" s="3"/>
      <c r="G919" s="5"/>
      <c r="H919" s="6"/>
      <c r="I919" s="3"/>
      <c r="J919" s="5"/>
      <c r="K919" s="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x14ac:dyDescent="0.25" r="920" customHeight="1" ht="12.75">
      <c r="A920" s="5"/>
      <c r="B920" s="6"/>
      <c r="C920" s="3"/>
      <c r="D920" s="5"/>
      <c r="E920" s="6"/>
      <c r="F920" s="3"/>
      <c r="G920" s="5"/>
      <c r="H920" s="6"/>
      <c r="I920" s="3"/>
      <c r="J920" s="5"/>
      <c r="K920" s="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x14ac:dyDescent="0.25" r="921" customHeight="1" ht="12.75">
      <c r="A921" s="5"/>
      <c r="B921" s="6"/>
      <c r="C921" s="3"/>
      <c r="D921" s="5"/>
      <c r="E921" s="6"/>
      <c r="F921" s="3"/>
      <c r="G921" s="5"/>
      <c r="H921" s="6"/>
      <c r="I921" s="3"/>
      <c r="J921" s="5"/>
      <c r="K921" s="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x14ac:dyDescent="0.25" r="922" customHeight="1" ht="12.75">
      <c r="A922" s="5"/>
      <c r="B922" s="6"/>
      <c r="C922" s="3"/>
      <c r="D922" s="5"/>
      <c r="E922" s="6"/>
      <c r="F922" s="3"/>
      <c r="G922" s="5"/>
      <c r="H922" s="6"/>
      <c r="I922" s="3"/>
      <c r="J922" s="5"/>
      <c r="K922" s="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x14ac:dyDescent="0.25" r="923" customHeight="1" ht="12.75">
      <c r="A923" s="5"/>
      <c r="B923" s="6"/>
      <c r="C923" s="3"/>
      <c r="D923" s="5"/>
      <c r="E923" s="6"/>
      <c r="F923" s="3"/>
      <c r="G923" s="5"/>
      <c r="H923" s="6"/>
      <c r="I923" s="3"/>
      <c r="J923" s="5"/>
      <c r="K923" s="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x14ac:dyDescent="0.25" r="924" customHeight="1" ht="12.75">
      <c r="A924" s="5"/>
      <c r="B924" s="6"/>
      <c r="C924" s="3"/>
      <c r="D924" s="5"/>
      <c r="E924" s="6"/>
      <c r="F924" s="3"/>
      <c r="G924" s="5"/>
      <c r="H924" s="6"/>
      <c r="I924" s="3"/>
      <c r="J924" s="5"/>
      <c r="K924" s="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x14ac:dyDescent="0.25" r="925" customHeight="1" ht="12.75">
      <c r="A925" s="5"/>
      <c r="B925" s="6"/>
      <c r="C925" s="3"/>
      <c r="D925" s="5"/>
      <c r="E925" s="6"/>
      <c r="F925" s="3"/>
      <c r="G925" s="5"/>
      <c r="H925" s="6"/>
      <c r="I925" s="3"/>
      <c r="J925" s="5"/>
      <c r="K925" s="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x14ac:dyDescent="0.25" r="926" customHeight="1" ht="12.75">
      <c r="A926" s="5"/>
      <c r="B926" s="6"/>
      <c r="C926" s="3"/>
      <c r="D926" s="5"/>
      <c r="E926" s="6"/>
      <c r="F926" s="3"/>
      <c r="G926" s="5"/>
      <c r="H926" s="6"/>
      <c r="I926" s="3"/>
      <c r="J926" s="5"/>
      <c r="K926" s="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x14ac:dyDescent="0.25" r="927" customHeight="1" ht="12.75">
      <c r="A927" s="5"/>
      <c r="B927" s="6"/>
      <c r="C927" s="3"/>
      <c r="D927" s="5"/>
      <c r="E927" s="6"/>
      <c r="F927" s="3"/>
      <c r="G927" s="5"/>
      <c r="H927" s="6"/>
      <c r="I927" s="3"/>
      <c r="J927" s="5"/>
      <c r="K927" s="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x14ac:dyDescent="0.25" r="928" customHeight="1" ht="12.75">
      <c r="A928" s="5"/>
      <c r="B928" s="6"/>
      <c r="C928" s="3"/>
      <c r="D928" s="5"/>
      <c r="E928" s="6"/>
      <c r="F928" s="3"/>
      <c r="G928" s="5"/>
      <c r="H928" s="6"/>
      <c r="I928" s="3"/>
      <c r="J928" s="5"/>
      <c r="K928" s="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x14ac:dyDescent="0.25" r="929" customHeight="1" ht="12.75">
      <c r="A929" s="5"/>
      <c r="B929" s="6"/>
      <c r="C929" s="3"/>
      <c r="D929" s="5"/>
      <c r="E929" s="6"/>
      <c r="F929" s="3"/>
      <c r="G929" s="5"/>
      <c r="H929" s="6"/>
      <c r="I929" s="3"/>
      <c r="J929" s="5"/>
      <c r="K929" s="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x14ac:dyDescent="0.25" r="930" customHeight="1" ht="12.75">
      <c r="A930" s="5"/>
      <c r="B930" s="6"/>
      <c r="C930" s="3"/>
      <c r="D930" s="5"/>
      <c r="E930" s="6"/>
      <c r="F930" s="3"/>
      <c r="G930" s="5"/>
      <c r="H930" s="6"/>
      <c r="I930" s="3"/>
      <c r="J930" s="5"/>
      <c r="K930" s="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x14ac:dyDescent="0.25" r="931" customHeight="1" ht="12.75">
      <c r="A931" s="5"/>
      <c r="B931" s="6"/>
      <c r="C931" s="3"/>
      <c r="D931" s="5"/>
      <c r="E931" s="6"/>
      <c r="F931" s="3"/>
      <c r="G931" s="5"/>
      <c r="H931" s="6"/>
      <c r="I931" s="3"/>
      <c r="J931" s="5"/>
      <c r="K931" s="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x14ac:dyDescent="0.25" r="932" customHeight="1" ht="12.75">
      <c r="A932" s="5"/>
      <c r="B932" s="6"/>
      <c r="C932" s="3"/>
      <c r="D932" s="5"/>
      <c r="E932" s="6"/>
      <c r="F932" s="3"/>
      <c r="G932" s="5"/>
      <c r="H932" s="6"/>
      <c r="I932" s="3"/>
      <c r="J932" s="5"/>
      <c r="K932" s="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x14ac:dyDescent="0.25" r="933" customHeight="1" ht="12.75">
      <c r="A933" s="5"/>
      <c r="B933" s="6"/>
      <c r="C933" s="3"/>
      <c r="D933" s="5"/>
      <c r="E933" s="6"/>
      <c r="F933" s="3"/>
      <c r="G933" s="5"/>
      <c r="H933" s="6"/>
      <c r="I933" s="3"/>
      <c r="J933" s="5"/>
      <c r="K933" s="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x14ac:dyDescent="0.25" r="934" customHeight="1" ht="12.75">
      <c r="A934" s="5"/>
      <c r="B934" s="6"/>
      <c r="C934" s="3"/>
      <c r="D934" s="5"/>
      <c r="E934" s="6"/>
      <c r="F934" s="3"/>
      <c r="G934" s="5"/>
      <c r="H934" s="6"/>
      <c r="I934" s="3"/>
      <c r="J934" s="5"/>
      <c r="K934" s="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x14ac:dyDescent="0.25" r="935" customHeight="1" ht="12.75">
      <c r="A935" s="5"/>
      <c r="B935" s="6"/>
      <c r="C935" s="3"/>
      <c r="D935" s="5"/>
      <c r="E935" s="6"/>
      <c r="F935" s="3"/>
      <c r="G935" s="5"/>
      <c r="H935" s="6"/>
      <c r="I935" s="3"/>
      <c r="J935" s="5"/>
      <c r="K935" s="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x14ac:dyDescent="0.25" r="936" customHeight="1" ht="12.75">
      <c r="A936" s="5"/>
      <c r="B936" s="6"/>
      <c r="C936" s="3"/>
      <c r="D936" s="5"/>
      <c r="E936" s="6"/>
      <c r="F936" s="3"/>
      <c r="G936" s="5"/>
      <c r="H936" s="6"/>
      <c r="I936" s="3"/>
      <c r="J936" s="5"/>
      <c r="K936" s="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x14ac:dyDescent="0.25" r="937" customHeight="1" ht="12.75">
      <c r="A937" s="5"/>
      <c r="B937" s="6"/>
      <c r="C937" s="3"/>
      <c r="D937" s="5"/>
      <c r="E937" s="6"/>
      <c r="F937" s="3"/>
      <c r="G937" s="5"/>
      <c r="H937" s="6"/>
      <c r="I937" s="3"/>
      <c r="J937" s="5"/>
      <c r="K937" s="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x14ac:dyDescent="0.25" r="938" customHeight="1" ht="12.75">
      <c r="A938" s="5"/>
      <c r="B938" s="6"/>
      <c r="C938" s="3"/>
      <c r="D938" s="5"/>
      <c r="E938" s="6"/>
      <c r="F938" s="3"/>
      <c r="G938" s="5"/>
      <c r="H938" s="6"/>
      <c r="I938" s="3"/>
      <c r="J938" s="5"/>
      <c r="K938" s="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x14ac:dyDescent="0.25" r="939" customHeight="1" ht="12.75">
      <c r="A939" s="5"/>
      <c r="B939" s="6"/>
      <c r="C939" s="3"/>
      <c r="D939" s="5"/>
      <c r="E939" s="6"/>
      <c r="F939" s="3"/>
      <c r="G939" s="5"/>
      <c r="H939" s="6"/>
      <c r="I939" s="3"/>
      <c r="J939" s="5"/>
      <c r="K939" s="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x14ac:dyDescent="0.25" r="940" customHeight="1" ht="12.75">
      <c r="A940" s="5"/>
      <c r="B940" s="6"/>
      <c r="C940" s="3"/>
      <c r="D940" s="5"/>
      <c r="E940" s="6"/>
      <c r="F940" s="3"/>
      <c r="G940" s="5"/>
      <c r="H940" s="6"/>
      <c r="I940" s="3"/>
      <c r="J940" s="5"/>
      <c r="K940" s="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x14ac:dyDescent="0.25" r="941" customHeight="1" ht="12.75">
      <c r="A941" s="5"/>
      <c r="B941" s="6"/>
      <c r="C941" s="3"/>
      <c r="D941" s="5"/>
      <c r="E941" s="6"/>
      <c r="F941" s="3"/>
      <c r="G941" s="5"/>
      <c r="H941" s="6"/>
      <c r="I941" s="3"/>
      <c r="J941" s="5"/>
      <c r="K941" s="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x14ac:dyDescent="0.25" r="942" customHeight="1" ht="12.75">
      <c r="A942" s="5"/>
      <c r="B942" s="6"/>
      <c r="C942" s="3"/>
      <c r="D942" s="5"/>
      <c r="E942" s="6"/>
      <c r="F942" s="3"/>
      <c r="G942" s="5"/>
      <c r="H942" s="6"/>
      <c r="I942" s="3"/>
      <c r="J942" s="5"/>
      <c r="K942" s="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x14ac:dyDescent="0.25" r="943" customHeight="1" ht="12.75">
      <c r="A943" s="5"/>
      <c r="B943" s="6"/>
      <c r="C943" s="3"/>
      <c r="D943" s="5"/>
      <c r="E943" s="6"/>
      <c r="F943" s="3"/>
      <c r="G943" s="5"/>
      <c r="H943" s="6"/>
      <c r="I943" s="3"/>
      <c r="J943" s="5"/>
      <c r="K943" s="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x14ac:dyDescent="0.25" r="944" customHeight="1" ht="12.75">
      <c r="A944" s="5"/>
      <c r="B944" s="6"/>
      <c r="C944" s="3"/>
      <c r="D944" s="5"/>
      <c r="E944" s="6"/>
      <c r="F944" s="3"/>
      <c r="G944" s="5"/>
      <c r="H944" s="6"/>
      <c r="I944" s="3"/>
      <c r="J944" s="5"/>
      <c r="K944" s="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x14ac:dyDescent="0.25" r="945" customHeight="1" ht="12.75">
      <c r="A945" s="5"/>
      <c r="B945" s="6"/>
      <c r="C945" s="3"/>
      <c r="D945" s="5"/>
      <c r="E945" s="6"/>
      <c r="F945" s="3"/>
      <c r="G945" s="5"/>
      <c r="H945" s="6"/>
      <c r="I945" s="3"/>
      <c r="J945" s="5"/>
      <c r="K945" s="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x14ac:dyDescent="0.25" r="946" customHeight="1" ht="12.75">
      <c r="A946" s="5"/>
      <c r="B946" s="6"/>
      <c r="C946" s="3"/>
      <c r="D946" s="5"/>
      <c r="E946" s="6"/>
      <c r="F946" s="3"/>
      <c r="G946" s="5"/>
      <c r="H946" s="6"/>
      <c r="I946" s="3"/>
      <c r="J946" s="5"/>
      <c r="K946" s="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x14ac:dyDescent="0.25" r="947" customHeight="1" ht="12.75">
      <c r="A947" s="5"/>
      <c r="B947" s="6"/>
      <c r="C947" s="3"/>
      <c r="D947" s="5"/>
      <c r="E947" s="6"/>
      <c r="F947" s="3"/>
      <c r="G947" s="5"/>
      <c r="H947" s="6"/>
      <c r="I947" s="3"/>
      <c r="J947" s="5"/>
      <c r="K947" s="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x14ac:dyDescent="0.25" r="948" customHeight="1" ht="12.75">
      <c r="A948" s="5"/>
      <c r="B948" s="6"/>
      <c r="C948" s="3"/>
      <c r="D948" s="5"/>
      <c r="E948" s="6"/>
      <c r="F948" s="3"/>
      <c r="G948" s="5"/>
      <c r="H948" s="6"/>
      <c r="I948" s="3"/>
      <c r="J948" s="5"/>
      <c r="K948" s="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x14ac:dyDescent="0.25" r="949" customHeight="1" ht="12.75">
      <c r="A949" s="5"/>
      <c r="B949" s="6"/>
      <c r="C949" s="3"/>
      <c r="D949" s="5"/>
      <c r="E949" s="6"/>
      <c r="F949" s="3"/>
      <c r="G949" s="5"/>
      <c r="H949" s="6"/>
      <c r="I949" s="3"/>
      <c r="J949" s="5"/>
      <c r="K949" s="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x14ac:dyDescent="0.25" r="950" customHeight="1" ht="12.75">
      <c r="A950" s="5"/>
      <c r="B950" s="6"/>
      <c r="C950" s="3"/>
      <c r="D950" s="5"/>
      <c r="E950" s="6"/>
      <c r="F950" s="3"/>
      <c r="G950" s="5"/>
      <c r="H950" s="6"/>
      <c r="I950" s="3"/>
      <c r="J950" s="5"/>
      <c r="K950" s="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x14ac:dyDescent="0.25" r="951" customHeight="1" ht="12.75">
      <c r="A951" s="5"/>
      <c r="B951" s="6"/>
      <c r="C951" s="3"/>
      <c r="D951" s="5"/>
      <c r="E951" s="6"/>
      <c r="F951" s="3"/>
      <c r="G951" s="5"/>
      <c r="H951" s="6"/>
      <c r="I951" s="3"/>
      <c r="J951" s="5"/>
      <c r="K951" s="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x14ac:dyDescent="0.25" r="952" customHeight="1" ht="12.75">
      <c r="A952" s="5"/>
      <c r="B952" s="6"/>
      <c r="C952" s="3"/>
      <c r="D952" s="5"/>
      <c r="E952" s="6"/>
      <c r="F952" s="3"/>
      <c r="G952" s="5"/>
      <c r="H952" s="6"/>
      <c r="I952" s="3"/>
      <c r="J952" s="5"/>
      <c r="K952" s="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x14ac:dyDescent="0.25" r="953" customHeight="1" ht="12.75">
      <c r="A953" s="5"/>
      <c r="B953" s="6"/>
      <c r="C953" s="3"/>
      <c r="D953" s="5"/>
      <c r="E953" s="6"/>
      <c r="F953" s="3"/>
      <c r="G953" s="5"/>
      <c r="H953" s="6"/>
      <c r="I953" s="3"/>
      <c r="J953" s="5"/>
      <c r="K953" s="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x14ac:dyDescent="0.25" r="954" customHeight="1" ht="12.75">
      <c r="A954" s="5"/>
      <c r="B954" s="6"/>
      <c r="C954" s="3"/>
      <c r="D954" s="5"/>
      <c r="E954" s="6"/>
      <c r="F954" s="3"/>
      <c r="G954" s="5"/>
      <c r="H954" s="6"/>
      <c r="I954" s="3"/>
      <c r="J954" s="5"/>
      <c r="K954" s="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x14ac:dyDescent="0.25" r="955" customHeight="1" ht="12.75">
      <c r="A955" s="5"/>
      <c r="B955" s="6"/>
      <c r="C955" s="3"/>
      <c r="D955" s="5"/>
      <c r="E955" s="6"/>
      <c r="F955" s="3"/>
      <c r="G955" s="5"/>
      <c r="H955" s="6"/>
      <c r="I955" s="3"/>
      <c r="J955" s="5"/>
      <c r="K955" s="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x14ac:dyDescent="0.25" r="956" customHeight="1" ht="12.75">
      <c r="A956" s="5"/>
      <c r="B956" s="6"/>
      <c r="C956" s="3"/>
      <c r="D956" s="5"/>
      <c r="E956" s="6"/>
      <c r="F956" s="3"/>
      <c r="G956" s="5"/>
      <c r="H956" s="6"/>
      <c r="I956" s="3"/>
      <c r="J956" s="5"/>
      <c r="K956" s="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x14ac:dyDescent="0.25" r="957" customHeight="1" ht="12.75">
      <c r="A957" s="5"/>
      <c r="B957" s="6"/>
      <c r="C957" s="3"/>
      <c r="D957" s="5"/>
      <c r="E957" s="6"/>
      <c r="F957" s="3"/>
      <c r="G957" s="5"/>
      <c r="H957" s="6"/>
      <c r="I957" s="3"/>
      <c r="J957" s="5"/>
      <c r="K957" s="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x14ac:dyDescent="0.25" r="958" customHeight="1" ht="12.75">
      <c r="A958" s="5"/>
      <c r="B958" s="6"/>
      <c r="C958" s="3"/>
      <c r="D958" s="5"/>
      <c r="E958" s="6"/>
      <c r="F958" s="3"/>
      <c r="G958" s="5"/>
      <c r="H958" s="6"/>
      <c r="I958" s="3"/>
      <c r="J958" s="5"/>
      <c r="K958" s="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x14ac:dyDescent="0.25" r="959" customHeight="1" ht="12.75">
      <c r="A959" s="5"/>
      <c r="B959" s="6"/>
      <c r="C959" s="3"/>
      <c r="D959" s="5"/>
      <c r="E959" s="6"/>
      <c r="F959" s="3"/>
      <c r="G959" s="5"/>
      <c r="H959" s="6"/>
      <c r="I959" s="3"/>
      <c r="J959" s="5"/>
      <c r="K959" s="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x14ac:dyDescent="0.25" r="960" customHeight="1" ht="12.75">
      <c r="A960" s="5"/>
      <c r="B960" s="6"/>
      <c r="C960" s="3"/>
      <c r="D960" s="5"/>
      <c r="E960" s="6"/>
      <c r="F960" s="3"/>
      <c r="G960" s="5"/>
      <c r="H960" s="6"/>
      <c r="I960" s="3"/>
      <c r="J960" s="5"/>
      <c r="K960" s="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x14ac:dyDescent="0.25" r="961" customHeight="1" ht="12.75">
      <c r="A961" s="5"/>
      <c r="B961" s="6"/>
      <c r="C961" s="3"/>
      <c r="D961" s="5"/>
      <c r="E961" s="6"/>
      <c r="F961" s="3"/>
      <c r="G961" s="5"/>
      <c r="H961" s="6"/>
      <c r="I961" s="3"/>
      <c r="J961" s="5"/>
      <c r="K961" s="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x14ac:dyDescent="0.25" r="962" customHeight="1" ht="12.75">
      <c r="A962" s="5"/>
      <c r="B962" s="6"/>
      <c r="C962" s="3"/>
      <c r="D962" s="5"/>
      <c r="E962" s="6"/>
      <c r="F962" s="3"/>
      <c r="G962" s="5"/>
      <c r="H962" s="6"/>
      <c r="I962" s="3"/>
      <c r="J962" s="5"/>
      <c r="K962" s="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x14ac:dyDescent="0.25" r="963" customHeight="1" ht="12.75">
      <c r="A963" s="5"/>
      <c r="B963" s="6"/>
      <c r="C963" s="3"/>
      <c r="D963" s="5"/>
      <c r="E963" s="6"/>
      <c r="F963" s="3"/>
      <c r="G963" s="5"/>
      <c r="H963" s="6"/>
      <c r="I963" s="3"/>
      <c r="J963" s="5"/>
      <c r="K963" s="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x14ac:dyDescent="0.25" r="964" customHeight="1" ht="12.75">
      <c r="A964" s="5"/>
      <c r="B964" s="6"/>
      <c r="C964" s="3"/>
      <c r="D964" s="5"/>
      <c r="E964" s="6"/>
      <c r="F964" s="3"/>
      <c r="G964" s="5"/>
      <c r="H964" s="6"/>
      <c r="I964" s="3"/>
      <c r="J964" s="5"/>
      <c r="K964" s="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x14ac:dyDescent="0.25" r="965" customHeight="1" ht="12.75">
      <c r="A965" s="5"/>
      <c r="B965" s="6"/>
      <c r="C965" s="3"/>
      <c r="D965" s="5"/>
      <c r="E965" s="6"/>
      <c r="F965" s="3"/>
      <c r="G965" s="5"/>
      <c r="H965" s="6"/>
      <c r="I965" s="3"/>
      <c r="J965" s="5"/>
      <c r="K965" s="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x14ac:dyDescent="0.25" r="966" customHeight="1" ht="12.75">
      <c r="A966" s="5"/>
      <c r="B966" s="6"/>
      <c r="C966" s="3"/>
      <c r="D966" s="5"/>
      <c r="E966" s="6"/>
      <c r="F966" s="3"/>
      <c r="G966" s="5"/>
      <c r="H966" s="6"/>
      <c r="I966" s="3"/>
      <c r="J966" s="5"/>
      <c r="K966" s="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x14ac:dyDescent="0.25" r="967" customHeight="1" ht="12.75">
      <c r="A967" s="5"/>
      <c r="B967" s="6"/>
      <c r="C967" s="3"/>
      <c r="D967" s="5"/>
      <c r="E967" s="6"/>
      <c r="F967" s="3"/>
      <c r="G967" s="5"/>
      <c r="H967" s="6"/>
      <c r="I967" s="3"/>
      <c r="J967" s="5"/>
      <c r="K967" s="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x14ac:dyDescent="0.25" r="968" customHeight="1" ht="12.75">
      <c r="A968" s="5"/>
      <c r="B968" s="6"/>
      <c r="C968" s="3"/>
      <c r="D968" s="5"/>
      <c r="E968" s="6"/>
      <c r="F968" s="3"/>
      <c r="G968" s="5"/>
      <c r="H968" s="6"/>
      <c r="I968" s="3"/>
      <c r="J968" s="5"/>
      <c r="K968" s="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x14ac:dyDescent="0.25" r="969" customHeight="1" ht="12.75">
      <c r="A969" s="5"/>
      <c r="B969" s="6"/>
      <c r="C969" s="3"/>
      <c r="D969" s="5"/>
      <c r="E969" s="6"/>
      <c r="F969" s="3"/>
      <c r="G969" s="5"/>
      <c r="H969" s="6"/>
      <c r="I969" s="3"/>
      <c r="J969" s="5"/>
      <c r="K969" s="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x14ac:dyDescent="0.25" r="970" customHeight="1" ht="12.75">
      <c r="A970" s="5"/>
      <c r="B970" s="6"/>
      <c r="C970" s="3"/>
      <c r="D970" s="5"/>
      <c r="E970" s="6"/>
      <c r="F970" s="3"/>
      <c r="G970" s="5"/>
      <c r="H970" s="6"/>
      <c r="I970" s="3"/>
      <c r="J970" s="5"/>
      <c r="K970" s="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x14ac:dyDescent="0.25" r="971" customHeight="1" ht="12.75">
      <c r="A971" s="5"/>
      <c r="B971" s="6"/>
      <c r="C971" s="3"/>
      <c r="D971" s="5"/>
      <c r="E971" s="6"/>
      <c r="F971" s="3"/>
      <c r="G971" s="5"/>
      <c r="H971" s="6"/>
      <c r="I971" s="3"/>
      <c r="J971" s="5"/>
      <c r="K971" s="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x14ac:dyDescent="0.25" r="972" customHeight="1" ht="12.75">
      <c r="A972" s="5"/>
      <c r="B972" s="6"/>
      <c r="C972" s="3"/>
      <c r="D972" s="5"/>
      <c r="E972" s="6"/>
      <c r="F972" s="3"/>
      <c r="G972" s="5"/>
      <c r="H972" s="6"/>
      <c r="I972" s="3"/>
      <c r="J972" s="5"/>
      <c r="K972" s="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x14ac:dyDescent="0.25" r="973" customHeight="1" ht="12.75">
      <c r="A973" s="5"/>
      <c r="B973" s="6"/>
      <c r="C973" s="3"/>
      <c r="D973" s="5"/>
      <c r="E973" s="6"/>
      <c r="F973" s="3"/>
      <c r="G973" s="5"/>
      <c r="H973" s="6"/>
      <c r="I973" s="3"/>
      <c r="J973" s="5"/>
      <c r="K973" s="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x14ac:dyDescent="0.25" r="974" customHeight="1" ht="12.75">
      <c r="A974" s="5"/>
      <c r="B974" s="6"/>
      <c r="C974" s="3"/>
      <c r="D974" s="5"/>
      <c r="E974" s="6"/>
      <c r="F974" s="3"/>
      <c r="G974" s="5"/>
      <c r="H974" s="6"/>
      <c r="I974" s="3"/>
      <c r="J974" s="5"/>
      <c r="K974" s="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x14ac:dyDescent="0.25" r="975" customHeight="1" ht="12.75">
      <c r="A975" s="5"/>
      <c r="B975" s="6"/>
      <c r="C975" s="3"/>
      <c r="D975" s="5"/>
      <c r="E975" s="6"/>
      <c r="F975" s="3"/>
      <c r="G975" s="5"/>
      <c r="H975" s="6"/>
      <c r="I975" s="3"/>
      <c r="J975" s="5"/>
      <c r="K975" s="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x14ac:dyDescent="0.25" r="976" customHeight="1" ht="12.75">
      <c r="A976" s="5"/>
      <c r="B976" s="6"/>
      <c r="C976" s="3"/>
      <c r="D976" s="5"/>
      <c r="E976" s="6"/>
      <c r="F976" s="3"/>
      <c r="G976" s="5"/>
      <c r="H976" s="6"/>
      <c r="I976" s="3"/>
      <c r="J976" s="5"/>
      <c r="K976" s="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x14ac:dyDescent="0.25" r="977" customHeight="1" ht="12.75">
      <c r="A977" s="5"/>
      <c r="B977" s="6"/>
      <c r="C977" s="3"/>
      <c r="D977" s="5"/>
      <c r="E977" s="6"/>
      <c r="F977" s="3"/>
      <c r="G977" s="5"/>
      <c r="H977" s="6"/>
      <c r="I977" s="3"/>
      <c r="J977" s="5"/>
      <c r="K977" s="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x14ac:dyDescent="0.25" r="978" customHeight="1" ht="12.75">
      <c r="A978" s="5"/>
      <c r="B978" s="6"/>
      <c r="C978" s="3"/>
      <c r="D978" s="5"/>
      <c r="E978" s="6"/>
      <c r="F978" s="3"/>
      <c r="G978" s="5"/>
      <c r="H978" s="6"/>
      <c r="I978" s="3"/>
      <c r="J978" s="5"/>
      <c r="K978" s="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x14ac:dyDescent="0.25" r="979" customHeight="1" ht="12.75">
      <c r="A979" s="5"/>
      <c r="B979" s="6"/>
      <c r="C979" s="3"/>
      <c r="D979" s="5"/>
      <c r="E979" s="6"/>
      <c r="F979" s="3"/>
      <c r="G979" s="5"/>
      <c r="H979" s="6"/>
      <c r="I979" s="3"/>
      <c r="J979" s="5"/>
      <c r="K979" s="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x14ac:dyDescent="0.25" r="980" customHeight="1" ht="12.75">
      <c r="A980" s="5"/>
      <c r="B980" s="6"/>
      <c r="C980" s="3"/>
      <c r="D980" s="5"/>
      <c r="E980" s="6"/>
      <c r="F980" s="3"/>
      <c r="G980" s="5"/>
      <c r="H980" s="6"/>
      <c r="I980" s="3"/>
      <c r="J980" s="5"/>
      <c r="K980" s="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x14ac:dyDescent="0.25" r="981" customHeight="1" ht="12.75">
      <c r="A981" s="5"/>
      <c r="B981" s="6"/>
      <c r="C981" s="3"/>
      <c r="D981" s="5"/>
      <c r="E981" s="6"/>
      <c r="F981" s="3"/>
      <c r="G981" s="5"/>
      <c r="H981" s="6"/>
      <c r="I981" s="3"/>
      <c r="J981" s="5"/>
      <c r="K981" s="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x14ac:dyDescent="0.25" r="982" customHeight="1" ht="12.75">
      <c r="A982" s="5"/>
      <c r="B982" s="6"/>
      <c r="C982" s="3"/>
      <c r="D982" s="5"/>
      <c r="E982" s="6"/>
      <c r="F982" s="3"/>
      <c r="G982" s="5"/>
      <c r="H982" s="6"/>
      <c r="I982" s="3"/>
      <c r="J982" s="5"/>
      <c r="K982" s="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x14ac:dyDescent="0.25" r="983" customHeight="1" ht="12.75">
      <c r="A983" s="5"/>
      <c r="B983" s="6"/>
      <c r="C983" s="3"/>
      <c r="D983" s="5"/>
      <c r="E983" s="6"/>
      <c r="F983" s="3"/>
      <c r="G983" s="5"/>
      <c r="H983" s="6"/>
      <c r="I983" s="3"/>
      <c r="J983" s="5"/>
      <c r="K983" s="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x14ac:dyDescent="0.25" r="984" customHeight="1" ht="12.75">
      <c r="A984" s="5"/>
      <c r="B984" s="6"/>
      <c r="C984" s="3"/>
      <c r="D984" s="5"/>
      <c r="E984" s="6"/>
      <c r="F984" s="3"/>
      <c r="G984" s="5"/>
      <c r="H984" s="6"/>
      <c r="I984" s="3"/>
      <c r="J984" s="5"/>
      <c r="K984" s="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x14ac:dyDescent="0.25" r="985" customHeight="1" ht="12.75">
      <c r="A985" s="5"/>
      <c r="B985" s="6"/>
      <c r="C985" s="3"/>
      <c r="D985" s="5"/>
      <c r="E985" s="6"/>
      <c r="F985" s="3"/>
      <c r="G985" s="5"/>
      <c r="H985" s="6"/>
      <c r="I985" s="3"/>
      <c r="J985" s="5"/>
      <c r="K985" s="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x14ac:dyDescent="0.25" r="986" customHeight="1" ht="12.75">
      <c r="A986" s="5"/>
      <c r="B986" s="6"/>
      <c r="C986" s="3"/>
      <c r="D986" s="5"/>
      <c r="E986" s="6"/>
      <c r="F986" s="3"/>
      <c r="G986" s="5"/>
      <c r="H986" s="6"/>
      <c r="I986" s="3"/>
      <c r="J986" s="5"/>
      <c r="K986" s="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x14ac:dyDescent="0.25" r="987" customHeight="1" ht="12.75">
      <c r="A987" s="5"/>
      <c r="B987" s="6"/>
      <c r="C987" s="3"/>
      <c r="D987" s="5"/>
      <c r="E987" s="6"/>
      <c r="F987" s="3"/>
      <c r="G987" s="5"/>
      <c r="H987" s="6"/>
      <c r="I987" s="3"/>
      <c r="J987" s="5"/>
      <c r="K987" s="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x14ac:dyDescent="0.25" r="988" customHeight="1" ht="12.75">
      <c r="A988" s="5"/>
      <c r="B988" s="6"/>
      <c r="C988" s="3"/>
      <c r="D988" s="5"/>
      <c r="E988" s="6"/>
      <c r="F988" s="3"/>
      <c r="G988" s="5"/>
      <c r="H988" s="6"/>
      <c r="I988" s="3"/>
      <c r="J988" s="5"/>
      <c r="K988" s="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x14ac:dyDescent="0.25" r="989" customHeight="1" ht="12.75">
      <c r="A989" s="5"/>
      <c r="B989" s="6"/>
      <c r="C989" s="3"/>
      <c r="D989" s="5"/>
      <c r="E989" s="6"/>
      <c r="F989" s="3"/>
      <c r="G989" s="5"/>
      <c r="H989" s="6"/>
      <c r="I989" s="3"/>
      <c r="J989" s="5"/>
      <c r="K989" s="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x14ac:dyDescent="0.25" r="990" customHeight="1" ht="12.75">
      <c r="A990" s="5"/>
      <c r="B990" s="6"/>
      <c r="C990" s="3"/>
      <c r="D990" s="5"/>
      <c r="E990" s="6"/>
      <c r="F990" s="3"/>
      <c r="G990" s="5"/>
      <c r="H990" s="6"/>
      <c r="I990" s="3"/>
      <c r="J990" s="5"/>
      <c r="K990" s="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x14ac:dyDescent="0.25" r="991" customHeight="1" ht="12.75">
      <c r="A991" s="5"/>
      <c r="B991" s="6"/>
      <c r="C991" s="3"/>
      <c r="D991" s="5"/>
      <c r="E991" s="6"/>
      <c r="F991" s="3"/>
      <c r="G991" s="5"/>
      <c r="H991" s="6"/>
      <c r="I991" s="3"/>
      <c r="J991" s="5"/>
      <c r="K991" s="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x14ac:dyDescent="0.25" r="992" customHeight="1" ht="12.75">
      <c r="A992" s="5"/>
      <c r="B992" s="6"/>
      <c r="C992" s="3"/>
      <c r="D992" s="5"/>
      <c r="E992" s="6"/>
      <c r="F992" s="3"/>
      <c r="G992" s="5"/>
      <c r="H992" s="6"/>
      <c r="I992" s="3"/>
      <c r="J992" s="5"/>
      <c r="K992" s="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x14ac:dyDescent="0.25" r="993" customHeight="1" ht="12.75">
      <c r="A993" s="5"/>
      <c r="B993" s="6"/>
      <c r="C993" s="3"/>
      <c r="D993" s="5"/>
      <c r="E993" s="6"/>
      <c r="F993" s="3"/>
      <c r="G993" s="5"/>
      <c r="H993" s="6"/>
      <c r="I993" s="3"/>
      <c r="J993" s="5"/>
      <c r="K993" s="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x14ac:dyDescent="0.25" r="994" customHeight="1" ht="12.75">
      <c r="A994" s="5"/>
      <c r="B994" s="6"/>
      <c r="C994" s="3"/>
      <c r="D994" s="5"/>
      <c r="E994" s="6"/>
      <c r="F994" s="3"/>
      <c r="G994" s="5"/>
      <c r="H994" s="6"/>
      <c r="I994" s="3"/>
      <c r="J994" s="5"/>
      <c r="K994" s="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x14ac:dyDescent="0.25" r="995" customHeight="1" ht="12.75">
      <c r="A995" s="5"/>
      <c r="B995" s="6"/>
      <c r="C995" s="3"/>
      <c r="D995" s="5"/>
      <c r="E995" s="6"/>
      <c r="F995" s="3"/>
      <c r="G995" s="5"/>
      <c r="H995" s="6"/>
      <c r="I995" s="3"/>
      <c r="J995" s="5"/>
      <c r="K995" s="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x14ac:dyDescent="0.25" r="996" customHeight="1" ht="12.75">
      <c r="A996" s="5"/>
      <c r="B996" s="6"/>
      <c r="C996" s="3"/>
      <c r="D996" s="5"/>
      <c r="E996" s="6"/>
      <c r="F996" s="3"/>
      <c r="G996" s="5"/>
      <c r="H996" s="6"/>
      <c r="I996" s="3"/>
      <c r="J996" s="5"/>
      <c r="K996" s="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x14ac:dyDescent="0.25" r="997" customHeight="1" ht="12.75">
      <c r="A997" s="5"/>
      <c r="B997" s="6"/>
      <c r="C997" s="3"/>
      <c r="D997" s="5"/>
      <c r="E997" s="6"/>
      <c r="F997" s="3"/>
      <c r="G997" s="5"/>
      <c r="H997" s="6"/>
      <c r="I997" s="3"/>
      <c r="J997" s="5"/>
      <c r="K997" s="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x14ac:dyDescent="0.25" r="998" customHeight="1" ht="12.75">
      <c r="A998" s="5"/>
      <c r="B998" s="6"/>
      <c r="C998" s="3"/>
      <c r="D998" s="5"/>
      <c r="E998" s="6"/>
      <c r="F998" s="3"/>
      <c r="G998" s="5"/>
      <c r="H998" s="6"/>
      <c r="I998" s="3"/>
      <c r="J998" s="5"/>
      <c r="K998" s="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x14ac:dyDescent="0.25" r="999" customHeight="1" ht="12.75">
      <c r="A999" s="5"/>
      <c r="B999" s="6"/>
      <c r="C999" s="3"/>
      <c r="D999" s="5"/>
      <c r="E999" s="6"/>
      <c r="F999" s="3"/>
      <c r="G999" s="5"/>
      <c r="H999" s="6"/>
      <c r="I999" s="3"/>
      <c r="J999" s="5"/>
      <c r="K999" s="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x14ac:dyDescent="0.25" r="1000" customHeight="1" ht="12.75">
      <c r="A1000" s="5"/>
      <c r="B1000" s="6"/>
      <c r="C1000" s="3"/>
      <c r="D1000" s="5"/>
      <c r="E1000" s="6"/>
      <c r="F1000" s="3"/>
      <c r="G1000" s="5"/>
      <c r="H1000" s="6"/>
      <c r="I1000" s="3"/>
      <c r="J1000" s="5"/>
      <c r="K1000" s="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MasterData</vt:lpstr>
      <vt:lpstr>Country</vt:lpstr>
      <vt:lpstr>Sorted Dep Types</vt:lpstr>
      <vt:lpstr>MainProd vs ByProd</vt:lpstr>
      <vt:lpstr>Sorted Size Grade Value</vt:lpstr>
      <vt:lpstr>Metal vs Grade Pb</vt:lpstr>
      <vt:lpstr>Metal vs Grade Zn</vt:lpstr>
      <vt:lpstr>Metal vs Grade ALL</vt:lpstr>
      <vt:lpstr>Metal vs Unit Ore Value ALL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2024-06-29T07:24:55.549Z</dcterms:created>
  <dcterms:modified xsi:type="dcterms:W3CDTF">2024-06-29T07:24:55.549Z</dcterms:modified>
</cp:coreProperties>
</file>